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<sst xmlns="http://schemas.openxmlformats.org/spreadsheetml/2006/main" count="23852" uniqueCount="2651">
  <si>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</si>
  <si>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</si>
  <si>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</si>
  <si>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</si>
  <si>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</si>
  <si>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</si>
  <si>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</si>
  <si>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</si>
  <si>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</si>
  <si>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</si>
  <si>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</si>
  <si>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</si>
  <si>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</si>
  <si>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</si>
  <si>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</si>
  <si>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</si>
  <si>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</si>
  <si>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</si>
  <si>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</si>
  <si>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</si>
  <si>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</si>
  <si>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</si>
  <si>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</si>
  <si>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</si>
  <si>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</si>
  <si>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</si>
  <si>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</si>
  <si>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</si>
  <si>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</si>
  <si>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</si>
  <si>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</si>
  <si>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</si>
  <si>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</si>
  <si>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</si>
  <si>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</si>
  <si>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</si>
  <si>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</si>
  <si>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</si>
  <si>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</si>
  <si>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</si>
  <si>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</si>
  <si>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</si>
  <si>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</si>
  <si>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</si>
  <si>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</si>
  <si>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</si>
  <si>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</si>
  <si>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</si>
  <si>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</si>
  <si>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</si>
  <si>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</si>
  <si>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</si>
  <si>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</si>
  <si>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</si>
  <si>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</si>
  <si>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</si>
  <si>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</si>
  <si>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</si>
  <si>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</si>
  <si>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</si>
  <si>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</si>
  <si>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</si>
  <si>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</si>
  <si>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</si>
  <si>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</si>
  <si>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</si>
  <si>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</si>
  <si>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</si>
  <si>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</si>
  <si>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</si>
  <si>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</si>
  <si>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</si>
  <si>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</si>
  <si>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</si>
  <si>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</si>
  <si>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</si>
  <si>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</si>
  <si>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</si>
  <si>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</si>
  <si>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</si>
  <si>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</si>
  <si>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</si>
  <si>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</si>
  <si>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</si>
  <si>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</si>
  <si>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</si>
  <si>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</si>
  <si>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</si>
  <si>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</si>
  <si>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</si>
  <si>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</si>
  <si>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</si>
  <si>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</si>
  <si>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</si>
  <si>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</si>
  <si>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</si>
  <si>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</si>
  <si>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</si>
  <si>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</si>
  <si>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</si>
  <si>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</si>
  <si>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</si>
  <si>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</si>
  <si>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</si>
  <si>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</si>
  <si>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</si>
  <si>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</si>
  <si>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</si>
  <si>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</si>
  <si>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</si>
  <si>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</si>
  <si>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</si>
  <si>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</si>
  <si>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</si>
  <si>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</si>
  <si>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</si>
  <si>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</si>
  <si>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</si>
  <si>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</si>
  <si>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</si>
  <si>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</si>
  <si>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</si>
  <si>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</si>
  <si>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</si>
  <si>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</si>
  <si>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</si>
  <si>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</si>
  <si>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</si>
  <si>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</si>
  <si>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</si>
  <si>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</si>
  <si>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</si>
  <si>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</si>
  <si>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</si>
  <si>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</si>
  <si>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</si>
  <si>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</si>
  <si>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</si>
  <si>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</si>
  <si>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</si>
  <si>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</si>
  <si>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</si>
  <si>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</si>
  <si>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</si>
  <si>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</si>
  <si>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</si>
  <si>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</si>
  <si>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</si>
  <si>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</si>
  <si>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</si>
  <si>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</si>
  <si>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</si>
  <si>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</si>
  <si>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</si>
  <si>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</si>
  <si>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</si>
  <si>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</si>
  <si>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</si>
  <si>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</si>
  <si>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</si>
  <si>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</si>
  <si>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</si>
  <si>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</si>
  <si>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</si>
  <si>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</si>
  <si>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</si>
  <si>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</si>
  <si>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</si>
  <si>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</si>
  <si>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</si>
  <si>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</si>
  <si>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</si>
  <si>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</si>
  <si>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</si>
  <si>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</si>
  <si>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</si>
  <si>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</si>
  <si>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</si>
  <si>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</si>
  <si>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</si>
  <si>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</si>
  <si>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</si>
  <si>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</si>
  <si>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</si>
  <si>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</si>
  <si>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</si>
  <si>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</si>
  <si>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</si>
  <si>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</si>
  <si>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</si>
  <si>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</si>
  <si>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</si>
  <si>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</si>
  <si>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</si>
  <si>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</si>
  <si>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</si>
  <si>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</si>
  <si>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</si>
  <si>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</si>
  <si>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</si>
  <si>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</si>
  <si>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</si>
  <si>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</si>
  <si>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</si>
  <si>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</si>
  <si>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</si>
  <si>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</si>
  <si>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</si>
  <si>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</si>
  <si>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</si>
  <si>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</si>
  <si>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</si>
  <si>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</si>
  <si>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</si>
  <si>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</si>
  <si>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</si>
  <si>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</si>
  <si>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</si>
  <si>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</si>
  <si>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</si>
  <si>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</si>
  <si>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</si>
  <si>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</si>
  <si>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</si>
  <si>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</si>
  <si>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tapioylipuranen</t>
  </si>
  <si>
    <t>jaakkoha</t>
  </si>
  <si>
    <t>jmkorhonen</t>
  </si>
  <si>
    <t>sari62494762</t>
  </si>
  <si>
    <t>v_pikkarainen</t>
  </si>
  <si>
    <t>teemupekkarinen</t>
  </si>
  <si>
    <t>makisenjussi</t>
  </si>
  <si>
    <t>pvesterbacka</t>
  </si>
  <si>
    <t>roope_uusitalo</t>
  </si>
  <si>
    <t>rsiivonen</t>
  </si>
  <si>
    <t>vatt_tutkimus</t>
  </si>
  <si>
    <t>susannarosin</t>
  </si>
  <si>
    <t>saarasofia</t>
  </si>
  <si>
    <t>fatimdiarra</t>
  </si>
  <si>
    <t>qsisto</t>
  </si>
  <si>
    <t>artahy</t>
  </si>
  <si>
    <t>tty_taloustiede</t>
  </si>
  <si>
    <t>anttiripatti</t>
  </si>
  <si>
    <t>aapostenhammar</t>
  </si>
  <si>
    <t>tainakyllonen</t>
  </si>
  <si>
    <t>kaisaahonen</t>
  </si>
  <si>
    <t>nikumaattanen</t>
  </si>
  <si>
    <t>avaattanen</t>
  </si>
  <si>
    <t>matiasmakynen</t>
  </si>
  <si>
    <t>jarijarvenpaa</t>
  </si>
  <si>
    <t>teemu_roos</t>
  </si>
  <si>
    <t>jtwiitteri</t>
  </si>
  <si>
    <t>moocfi</t>
  </si>
  <si>
    <t>tsaarimaa</t>
  </si>
  <si>
    <t>mlhalko</t>
  </si>
  <si>
    <t>sarasvuojari</t>
  </si>
  <si>
    <t>sakarirokkanen</t>
  </si>
  <si>
    <t>inkanokso</t>
  </si>
  <si>
    <t>minnamakitalo</t>
  </si>
  <si>
    <t>tuomasmatikka</t>
  </si>
  <si>
    <t>suomenpankki</t>
  </si>
  <si>
    <t>jennihellstrom</t>
  </si>
  <si>
    <t>minisalkku2021</t>
  </si>
  <si>
    <t>thuotila</t>
  </si>
  <si>
    <t>mikakorte</t>
  </si>
  <si>
    <t>korhonenmla</t>
  </si>
  <si>
    <t>iivoi</t>
  </si>
  <si>
    <t>granlundmarkus</t>
  </si>
  <si>
    <t>tainac</t>
  </si>
  <si>
    <t>juhokauppi</t>
  </si>
  <si>
    <t>christamakinen</t>
  </si>
  <si>
    <t>akikangasharju</t>
  </si>
  <si>
    <t>villepeltola</t>
  </si>
  <si>
    <t>markkuilmari</t>
  </si>
  <si>
    <t>paananentanja</t>
  </si>
  <si>
    <t>rebekka_nylund</t>
  </si>
  <si>
    <t>anttihuotari7</t>
  </si>
  <si>
    <t>janneartell</t>
  </si>
  <si>
    <t>vuokkotee</t>
  </si>
  <si>
    <t>kkouzmitchev</t>
  </si>
  <si>
    <t>petterihaveri</t>
  </si>
  <si>
    <t>joonastuhkuri</t>
  </si>
  <si>
    <t>tomassjoblom</t>
  </si>
  <si>
    <t>atromakila</t>
  </si>
  <si>
    <t>aaltobiz</t>
  </si>
  <si>
    <t>jmerilainen</t>
  </si>
  <si>
    <t>mikaparkkari</t>
  </si>
  <si>
    <t>heikkio</t>
  </si>
  <si>
    <t>fysman</t>
  </si>
  <si>
    <t>op_ryhma</t>
  </si>
  <si>
    <t>oskarinokso</t>
  </si>
  <si>
    <t>socscihelsinki</t>
  </si>
  <si>
    <t>wiscoosi</t>
  </si>
  <si>
    <t>helsinkigse</t>
  </si>
  <si>
    <t>sklehtonen</t>
  </si>
  <si>
    <t>suomenekonomit</t>
  </si>
  <si>
    <t>idalevanen</t>
  </si>
  <si>
    <t>juliathuren</t>
  </si>
  <si>
    <t>tanjaremes</t>
  </si>
  <si>
    <t>helsinkiuni</t>
  </si>
  <si>
    <t>krista_ri_</t>
  </si>
  <si>
    <t>sapakarinen</t>
  </si>
  <si>
    <t>aaltouniversity</t>
  </si>
  <si>
    <t>radiosuomi</t>
  </si>
  <si>
    <t>ophelsinki</t>
  </si>
  <si>
    <t>Retweet</t>
  </si>
  <si>
    <t>MentionsInRetweet</t>
  </si>
  <si>
    <t>Mentions</t>
  </si>
  <si>
    <t>Replies to</t>
  </si>
  <si>
    <t>Olitpa taloudesta mitä mieltä tahansa, niin tämä kurssi kannattaa suorittaa. Hieno työtä @HelsinkiGSE #talouskurssi https://t.co/QVz3xm844f</t>
  </si>
  <si>
    <t>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</si>
  <si>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Vaikuttaa mainiolta kurssilta! Kannattaa tutustua. Laadukas sisältö avoimesti tutustuttavissa. Myös opintopisteitä tarjolla. _xD83D__xDC4D_ 
Kestävä talous on kestävän kehityksen peruspilari, joten kaikki maailmanparantajat tarvitsevat ymmärryksen siitä, miten talous toimii. #talouskurssi https://t.co/aR4TxMaCvF</t>
  </si>
  <si>
    <t>Mahtavaa, @HelsinkiGSE toi kaikille avoimen ja maksuttoman taloustieten verkkokurssin! Opiskelu ja itsensä sivistäminen kannattaa aina, sillä  - Smart is the new sexy 
#talouskurssi @AaltoUniversity @helsinkiuni https://t.co/vvhceNXikM</t>
  </si>
  <si>
    <t>Nyt on jälleen kova, suorastaan must! Hyvä jatko @helsinkiuni vastuullisuus- ja yrittäjyyskursseille. _xD83D__xDC4D__xD83C__xDFFB_ Kauppatieteilijä minussa kiittää. _xD83E__xDD29_ #talouskurssi #kansalaistaito #mooc #talous https://t.co/yfFb040OWw</t>
  </si>
  <si>
    <t>Kuuntele @radiosuomi klo 12.18 alkaen, kun kurssin akateeminen johtaja prof. Juuso  Välimäki kertoo kurssin taustoista. 
#talouskurssi https://t.co/qcmAhAVGl4</t>
  </si>
  <si>
    <t>Esimerkiksi näitä kysymyksiä kurssi käsittelee. #talouskurssi https://t.co/JZXXStj8u0</t>
  </si>
  <si>
    <t>Tästähän tuli ihan mielettömän hyvä!
#talouskurssi #taloustiede https://t.co/vrzRIJyKAt</t>
  </si>
  <si>
    <t>#talouskurssi on kaikille avoin verkkokurssi taloudesta ja sen vaikutuksesta meihin jokaiseen. @HelsinkiGSE​n tänään julkaiseman kurssin tavoitteena on tehdä suomalaisista maailman paras talouskansa. @SuomenPankki on ilolla mukana tukemassa https://t.co/MyrSH4CdC6. https://t.co/61TGhkKUVH</t>
  </si>
  <si>
    <t>Maksuton ja kaikille avoin #talouskurssi siitä, miten leipä löytää pöytäämme, varallisuus maailmassa jakautuu ja maailman suuret ongelmat syntyvät ja voidaan myös ratkaista. #JatkuvaOppiminen on_xD83D__xDC8E_ Kiitos @AaltoUniversity ja @helsinkiuni https://t.co/AH2a7R9lLI</t>
  </si>
  <si>
    <t>Kaikille avoin #verkkokurssi taloudesta ja sen vaikutuksista elämäämme.
#talouskurssi 
@AaltoUniversity @helsinkiuni
Miten talous toimii? 
_xD83D__xDC49_ https://t.co/f9tNzDpSwQ 
_xD83D__xDCB7__xD83D__xDCB0__xD83D__xDCB6__xD83D__xDCB1__xD83D__xDCB5__xD83D__xDCB3__xD83D__xDCB4__xD83D__xDCB2__xD83C__xDFB0_ https://t.co/2bQEFNLL0t https://t.co/cVNfgBmkfP</t>
  </si>
  <si>
    <t>Tämä menee kyllä heti to do -listalle! Kiinnostavaa!
#talouskurssi @AaltoUniversity @helsinkiuni https://t.co/kiLivIFPSM</t>
  </si>
  <si>
    <t>Ettei pääsisi ylpistymään, #talouskurssi on kuitenkin vain vähän tappiolla höpöhöpölle Suomi-Twitterissä. 
Ei mitään höpöhöpöä, vaan tutkittua tietoa
_xD83D__xDC49_https://t.co/bH8YeFhiiH https://t.co/IchNZb9vkU</t>
  </si>
  <si>
    <t>Tänään @HelsinkiGSE julkaisi Miten talous toimii -verkkokurssin. 
Heti perään toinen ilouutinen! @SuomenEkonomit järjestää Talouskinkerit eli opintopiirin, jossa opiskelet talouskurssin hauskasti. Kinkerit vetää @juliathuren. 
#talouskurssi #talouskinkerit
https://t.co/pJhsFp9rQL https://t.co/h0tSID42JM</t>
  </si>
  <si>
    <t>@HelsinkiGSE Verkkokurssin ovat toteuttaneet Taloustieteen keskus Helsinki GSE ja rahoittaneet Helsingin yliopisto ja Aalto-yliopisto. OP Ryhmä on kurssin viestintäkumppani. @HelsinkiGSE @helsinkiuni @AaltoUniversity @OPHelsinki #talouskurssi #OPmukana</t>
  </si>
  <si>
    <t>Miten talous toimii? -kaikille avoin verkkokurssi tarkastelee talouden vaikutuksia elämäämme. Kurssi on suunnattu erityisesti lukiolaisille, mutta sen suorittamisesta on hyötyä kaikille taloudesta kiinnostuneille. 
Tutustu: https://t.co/7bqD7Z4kip
@HelsinkiGSE  #talouskurssi</t>
  </si>
  <si>
    <t>Professori Juuso Välimäki kertoo #talouskurssi'sta Radio Suomen päivässä. 
https://t.co/yvaLdeBOU4</t>
  </si>
  <si>
    <t>Miten leipä löytää pöytäämme, miten varallisuus maailmassa jakautuu ja kuinka talous ja ilmastonmuutos kietoutuvat toisiinsa? 
Tänään julkaistu MOOC-kurssi houkuttelee ainakin minua opiskeluhommiin! _xD83E__xDD13_ 
#talouskurssi #mitentaloustoimii https://t.co/tPGBxa9J54</t>
  </si>
  <si>
    <t>Kiitos Atte! Toivottavasti kurssista on hyötyä ihan kaikille. #talouskurssi https://t.co/5EUtFU5ah1</t>
  </si>
  <si>
    <t>Kiitos Matias suosituksesta! #talouskurssi'in perehtyminen todella kannattaa. https://t.co/vQJKOy7zEZ</t>
  </si>
  <si>
    <t>OP toimii kurssin viestintäkumppanina. Mahtavaa, että olette mukana edistämässä suomalaisten talousosaamista. #talouskurssi https://t.co/oKIyYTm1bQ</t>
  </si>
  <si>
    <t>https://talouskurssi.fi/ https://twitter.com/helsinkigse/status/1448530102837514240</t>
  </si>
  <si>
    <t>https://talouskurssi.fi/ https://twitter.com/HelsinkiGSE/status/1448530102837514240</t>
  </si>
  <si>
    <t>https://www.ekonomit.fi/ajankohtaista/tule-mukaan-talouskinkereille-opi-olennainen-taloudesta-viihdyttavasti-julia-thurenin-ja-vieraiden-seurassa/ https://twitter.com/IdaLevanen/status/1448555809940643840</t>
  </si>
  <si>
    <t>twitter.com</t>
  </si>
  <si>
    <t>talouskurssi.fi</t>
  </si>
  <si>
    <t>talouskurssi.fi twitter.com</t>
  </si>
  <si>
    <t>ekonomit.fi twitter.com</t>
  </si>
  <si>
    <t>yle.fi</t>
  </si>
  <si>
    <t>talouskurssi</t>
  </si>
  <si>
    <t>talouskurssi kansalaistaito mooc talous</t>
  </si>
  <si>
    <t>talouskurssi taloustiede</t>
  </si>
  <si>
    <t>talouskurssi jatkuvaoppiminen</t>
  </si>
  <si>
    <t>verkkokurssi talouskurssi</t>
  </si>
  <si>
    <t>talouskurssi talouskinkerit</t>
  </si>
  <si>
    <t>talouskurssi opmukana</t>
  </si>
  <si>
    <t>talouskurssi mitentaloustoimii</t>
  </si>
  <si>
    <t>06:11:46</t>
  </si>
  <si>
    <t>06:17:49</t>
  </si>
  <si>
    <t>06:19:11</t>
  </si>
  <si>
    <t>06:20:27</t>
  </si>
  <si>
    <t>06:21:28</t>
  </si>
  <si>
    <t>06:22:11</t>
  </si>
  <si>
    <t>06:41:03</t>
  </si>
  <si>
    <t>06:41:05</t>
  </si>
  <si>
    <t>06:41:53</t>
  </si>
  <si>
    <t>06:42:04</t>
  </si>
  <si>
    <t>06:55:31</t>
  </si>
  <si>
    <t>07:14:20</t>
  </si>
  <si>
    <t>07:37:17</t>
  </si>
  <si>
    <t>07:39:19</t>
  </si>
  <si>
    <t>07:41:05</t>
  </si>
  <si>
    <t>07:53:55</t>
  </si>
  <si>
    <t>07:54:55</t>
  </si>
  <si>
    <t>08:07:59</t>
  </si>
  <si>
    <t>08:12:51</t>
  </si>
  <si>
    <t>08:15:08</t>
  </si>
  <si>
    <t>08:15:53</t>
  </si>
  <si>
    <t>08:22:07</t>
  </si>
  <si>
    <t>08:27:09</t>
  </si>
  <si>
    <t>08:28:38</t>
  </si>
  <si>
    <t>08:35:16</t>
  </si>
  <si>
    <t>08:37:51</t>
  </si>
  <si>
    <t>08:40:05</t>
  </si>
  <si>
    <t>08:45:18</t>
  </si>
  <si>
    <t>08:46:13</t>
  </si>
  <si>
    <t>08:10:21</t>
  </si>
  <si>
    <t>08:53:32</t>
  </si>
  <si>
    <t>09:04:16</t>
  </si>
  <si>
    <t>09:30:39</t>
  </si>
  <si>
    <t>09:36:53</t>
  </si>
  <si>
    <t>09:37:08</t>
  </si>
  <si>
    <t>09:54:42</t>
  </si>
  <si>
    <t>08:33:19</t>
  </si>
  <si>
    <t>09:55:16</t>
  </si>
  <si>
    <t>09:55:31</t>
  </si>
  <si>
    <t>10:07:38</t>
  </si>
  <si>
    <t>10:13:41</t>
  </si>
  <si>
    <t>10:16:56</t>
  </si>
  <si>
    <t>10:27:21</t>
  </si>
  <si>
    <t>10:39:42</t>
  </si>
  <si>
    <t>10:58:04</t>
  </si>
  <si>
    <t>11:01:15</t>
  </si>
  <si>
    <t>11:20:32</t>
  </si>
  <si>
    <t>11:21:18</t>
  </si>
  <si>
    <t>11:34:54</t>
  </si>
  <si>
    <t>08:43:08</t>
  </si>
  <si>
    <t>11:37:01</t>
  </si>
  <si>
    <t>08:17:28</t>
  </si>
  <si>
    <t>11:48:17</t>
  </si>
  <si>
    <t>11:48:26</t>
  </si>
  <si>
    <t>11:49:26</t>
  </si>
  <si>
    <t>11:53:34</t>
  </si>
  <si>
    <t>11:54:20</t>
  </si>
  <si>
    <t>11:56:22</t>
  </si>
  <si>
    <t>12:03:55</t>
  </si>
  <si>
    <t>12:31:32</t>
  </si>
  <si>
    <t>12:35:28</t>
  </si>
  <si>
    <t>07:07:23</t>
  </si>
  <si>
    <t>09:03:31</t>
  </si>
  <si>
    <t>12:46:37</t>
  </si>
  <si>
    <t>12:49:28</t>
  </si>
  <si>
    <t>12:52:14</t>
  </si>
  <si>
    <t>14:05:04</t>
  </si>
  <si>
    <t>14:17:54</t>
  </si>
  <si>
    <t>13:35:53</t>
  </si>
  <si>
    <t>13:56:51</t>
  </si>
  <si>
    <t>16:12:00</t>
  </si>
  <si>
    <t>16:13:54</t>
  </si>
  <si>
    <t>06:06:04</t>
  </si>
  <si>
    <t>09:18:33</t>
  </si>
  <si>
    <t>13:01:48</t>
  </si>
  <si>
    <t>13:57:09</t>
  </si>
  <si>
    <t>16:31:50</t>
  </si>
  <si>
    <t>08:20:34</t>
  </si>
  <si>
    <t>11:39:27</t>
  </si>
  <si>
    <t>12:02:10</t>
  </si>
  <si>
    <t>09:17:02</t>
  </si>
  <si>
    <t>12:33:28</t>
  </si>
  <si>
    <t>16:44:45</t>
  </si>
  <si>
    <t>07:46:32</t>
  </si>
  <si>
    <t>16:57:24</t>
  </si>
  <si>
    <t>12:08:57</t>
  </si>
  <si>
    <t>06:04:23</t>
  </si>
  <si>
    <t>17:20:50</t>
  </si>
  <si>
    <t>12:17:57</t>
  </si>
  <si>
    <t>12:19:25</t>
  </si>
  <si>
    <t>12:35:38</t>
  </si>
  <si>
    <t>13:36:17</t>
  </si>
  <si>
    <t>16:33:43</t>
  </si>
  <si>
    <t>06:08:01</t>
  </si>
  <si>
    <t>1448531960385638400</t>
  </si>
  <si>
    <t>1448533484453117953</t>
  </si>
  <si>
    <t>1448533825550786562</t>
  </si>
  <si>
    <t>1448534146310152195</t>
  </si>
  <si>
    <t>1448534401835585536</t>
  </si>
  <si>
    <t>1448534580252880899</t>
  </si>
  <si>
    <t>1448539328561491973</t>
  </si>
  <si>
    <t>1448539337134592000</t>
  </si>
  <si>
    <t>1448539540080242689</t>
  </si>
  <si>
    <t>1448539584493727748</t>
  </si>
  <si>
    <t>1448542971025149955</t>
  </si>
  <si>
    <t>1448547705329012737</t>
  </si>
  <si>
    <t>1448553480109666305</t>
  </si>
  <si>
    <t>1448553992074809350</t>
  </si>
  <si>
    <t>1448554437304332291</t>
  </si>
  <si>
    <t>1448557667321094146</t>
  </si>
  <si>
    <t>1448557917502910465</t>
  </si>
  <si>
    <t>1448561208341245953</t>
  </si>
  <si>
    <t>1448562433639993350</t>
  </si>
  <si>
    <t>1448563008083484672</t>
  </si>
  <si>
    <t>1448563196328128515</t>
  </si>
  <si>
    <t>1448564762288271361</t>
  </si>
  <si>
    <t>1448566032696807427</t>
  </si>
  <si>
    <t>1448566403532042244</t>
  </si>
  <si>
    <t>1448568074400145415</t>
  </si>
  <si>
    <t>1448568723367989254</t>
  </si>
  <si>
    <t>1448569286516166657</t>
  </si>
  <si>
    <t>1448570598217732100</t>
  </si>
  <si>
    <t>1448570828371734530</t>
  </si>
  <si>
    <t>1448561802434985986</t>
  </si>
  <si>
    <t>1448572669490782209</t>
  </si>
  <si>
    <t>1448575371436244997</t>
  </si>
  <si>
    <t>1448582010797236225</t>
  </si>
  <si>
    <t>1448583578531553286</t>
  </si>
  <si>
    <t>1448583644881297410</t>
  </si>
  <si>
    <t>1448588062422929413</t>
  </si>
  <si>
    <t>1448567582785740800</t>
  </si>
  <si>
    <t>1448588205067063299</t>
  </si>
  <si>
    <t>1448588269051076621</t>
  </si>
  <si>
    <t>1448591318884696069</t>
  </si>
  <si>
    <t>1448592839873531907</t>
  </si>
  <si>
    <t>1448593659440545797</t>
  </si>
  <si>
    <t>1448596278754091011</t>
  </si>
  <si>
    <t>1448599387274362886</t>
  </si>
  <si>
    <t>1448604010395705345</t>
  </si>
  <si>
    <t>1448604809989431299</t>
  </si>
  <si>
    <t>1448609665139548165</t>
  </si>
  <si>
    <t>1448609857393893376</t>
  </si>
  <si>
    <t>1448613278930935811</t>
  </si>
  <si>
    <t>1448570051527860224</t>
  </si>
  <si>
    <t>1448613812261826561</t>
  </si>
  <si>
    <t>1448563595244101633</t>
  </si>
  <si>
    <t>1448616647888150533</t>
  </si>
  <si>
    <t>1448616685041291264</t>
  </si>
  <si>
    <t>1448616935319609346</t>
  </si>
  <si>
    <t>1448617978006839303</t>
  </si>
  <si>
    <t>1448618171490050050</t>
  </si>
  <si>
    <t>1448618681018290184</t>
  </si>
  <si>
    <t>1448620583810478080</t>
  </si>
  <si>
    <t>1448627531955982345</t>
  </si>
  <si>
    <t>1448628520289247234</t>
  </si>
  <si>
    <t>1448545958615203845</t>
  </si>
  <si>
    <t>1448575183573430272</t>
  </si>
  <si>
    <t>1448631327348121602</t>
  </si>
  <si>
    <t>1448632043282239488</t>
  </si>
  <si>
    <t>1448632742032420867</t>
  </si>
  <si>
    <t>1448651069546917903</t>
  </si>
  <si>
    <t>1448654300729643009</t>
  </si>
  <si>
    <t>1448643726872485889</t>
  </si>
  <si>
    <t>1448649002853888002</t>
  </si>
  <si>
    <t>1448683013412433927</t>
  </si>
  <si>
    <t>1448683492506804230</t>
  </si>
  <si>
    <t>1448530527087206401</t>
  </si>
  <si>
    <t>1448578966487437313</t>
  </si>
  <si>
    <t>1448635148946247686</t>
  </si>
  <si>
    <t>1448649080264003587</t>
  </si>
  <si>
    <t>1448688007482118153</t>
  </si>
  <si>
    <t>1448564372968775680</t>
  </si>
  <si>
    <t>1448614426278510595</t>
  </si>
  <si>
    <t>1448620143584612365</t>
  </si>
  <si>
    <t>1448578583425949704</t>
  </si>
  <si>
    <t>1448628020026224644</t>
  </si>
  <si>
    <t>1448691256624881669</t>
  </si>
  <si>
    <t>1448555809940643840</t>
  </si>
  <si>
    <t>1448694439304744968</t>
  </si>
  <si>
    <t>1448621847738732547</t>
  </si>
  <si>
    <t>1448530102837514240</t>
  </si>
  <si>
    <t>1448700336106049542</t>
  </si>
  <si>
    <t>1448624113568858114</t>
  </si>
  <si>
    <t>1448624481002573824</t>
  </si>
  <si>
    <t>1448628564241403907</t>
  </si>
  <si>
    <t>1448643825103114251</t>
  </si>
  <si>
    <t>1448688480666759169</t>
  </si>
  <si>
    <t>1448531015937536003</t>
  </si>
  <si>
    <t>1448643609901744129</t>
  </si>
  <si>
    <t/>
  </si>
  <si>
    <t>157958595</t>
  </si>
  <si>
    <t>fi</t>
  </si>
  <si>
    <t>1448566055861948418</t>
  </si>
  <si>
    <t>1448617819982241796</t>
  </si>
  <si>
    <t>1448626251804053506</t>
  </si>
  <si>
    <t>1448647975987650570</t>
  </si>
  <si>
    <t>Twitter Web App</t>
  </si>
  <si>
    <t>Twitter for iPhone</t>
  </si>
  <si>
    <t>Twitter for iPad</t>
  </si>
  <si>
    <t>Twitter for Android</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</si>
  <si>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</si>
  <si>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</si>
  <si>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</si>
  <si>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</si>
  <si>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</si>
  <si>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</si>
  <si>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</si>
  <si>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</si>
  <si>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</si>
  <si>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</si>
  <si>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</si>
  <si>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</si>
  <si>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</si>
  <si>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</si>
  <si>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</si>
  <si>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</si>
  <si>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</si>
  <si>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</si>
  <si>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</si>
  <si>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</si>
  <si>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</si>
  <si>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</si>
  <si>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</si>
  <si>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</si>
  <si>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Taloustieteen keskus Helsinki GSE</t>
  </si>
  <si>
    <t>Tapio Ylipuranen</t>
  </si>
  <si>
    <t>Jaakko Haikonen</t>
  </si>
  <si>
    <t>University of Helsinki</t>
  </si>
  <si>
    <t>Aalto University</t>
  </si>
  <si>
    <t>Janne M. Korhonen _xD83C__xDDEB__xD83C__xDDEE__xD83C__xDDEA__xD83C__xDDFA__xD83D__xDC1F_</t>
  </si>
  <si>
    <t>Sari _xD83C__xDDEB__xD83C__xDDEE__xD83C__xDDEA__xD83C__xDDFA__xD83D__xDC15_</t>
  </si>
  <si>
    <t>Ville Pikkarainen</t>
  </si>
  <si>
    <t>Teemu Pekkarinen</t>
  </si>
  <si>
    <t>Jussi Mäkinen</t>
  </si>
  <si>
    <t>Peter Vesterbacka</t>
  </si>
  <si>
    <t>Roope Uusitalo</t>
  </si>
  <si>
    <t>Riku Siivonen</t>
  </si>
  <si>
    <t>VATT</t>
  </si>
  <si>
    <t>Susanna Rosin</t>
  </si>
  <si>
    <t>Saara-Sofia Sirén</t>
  </si>
  <si>
    <t>Mika Kuusisto</t>
  </si>
  <si>
    <t>Ari Hyytinen</t>
  </si>
  <si>
    <t>Taloustieteellinen Yhdistys</t>
  </si>
  <si>
    <t>Antti Ripatti</t>
  </si>
  <si>
    <t>Aapo Stenhammar</t>
  </si>
  <si>
    <t>Taina Kyllönen</t>
  </si>
  <si>
    <t>Kaisa Ahonen</t>
  </si>
  <si>
    <t>Niku Määttänen</t>
  </si>
  <si>
    <t>Yle Radio Suomi</t>
  </si>
  <si>
    <t>Anni Väättänen</t>
  </si>
  <si>
    <t>Matias Mäkynen</t>
  </si>
  <si>
    <t>Jari Järvenpää</t>
  </si>
  <si>
    <t>Teemu Roos</t>
  </si>
  <si>
    <t>J</t>
  </si>
  <si>
    <t>mooc.fi</t>
  </si>
  <si>
    <t>Tuukka Saarimaa</t>
  </si>
  <si>
    <t>Marja-Liisa Halko</t>
  </si>
  <si>
    <t>Jari Sarasvuo</t>
  </si>
  <si>
    <t>Sakari Rokkanen</t>
  </si>
  <si>
    <t>Inka Nokso-Koivisto</t>
  </si>
  <si>
    <t>Minna Mäkitalo</t>
  </si>
  <si>
    <t>Tuomas Matikka</t>
  </si>
  <si>
    <t>Suomen Pankki</t>
  </si>
  <si>
    <t>Jenni Hellström</t>
  </si>
  <si>
    <t>Minisalkku2021</t>
  </si>
  <si>
    <t>Topias Uotila</t>
  </si>
  <si>
    <t>Mika Kortelainen</t>
  </si>
  <si>
    <t>Maarit Korhonen</t>
  </si>
  <si>
    <t>Tanja Paananen</t>
  </si>
  <si>
    <t>Iivo Vehviläinen</t>
  </si>
  <si>
    <t>Markus Granlund</t>
  </si>
  <si>
    <t>Taina Vallander</t>
  </si>
  <si>
    <t>Juho Kauppi</t>
  </si>
  <si>
    <t>Christa Mäkinen</t>
  </si>
  <si>
    <t>Aki Kangasharju</t>
  </si>
  <si>
    <t>Ville Peltola</t>
  </si>
  <si>
    <t>Markku Stenborg _xD83C__xDFF0_</t>
  </si>
  <si>
    <t>Rebekka Nylund</t>
  </si>
  <si>
    <t>Antti Huotari</t>
  </si>
  <si>
    <t>Janne Artell</t>
  </si>
  <si>
    <t>Vuokko Tervola</t>
  </si>
  <si>
    <t>Sanna Lehtonen</t>
  </si>
  <si>
    <t>Konstantin Kouzmitchev</t>
  </si>
  <si>
    <t>Petteri Haveri</t>
  </si>
  <si>
    <t>Joonas Tuhkuri</t>
  </si>
  <si>
    <t>Tomas Sjöblom</t>
  </si>
  <si>
    <t>Atro Mäkilä</t>
  </si>
  <si>
    <t>Aalto BIZ</t>
  </si>
  <si>
    <t>Jaakko Meriläinen</t>
  </si>
  <si>
    <t>Mika Parkkari</t>
  </si>
  <si>
    <t>Julia Thurén</t>
  </si>
  <si>
    <t>Suomen Ekonomit</t>
  </si>
  <si>
    <t>Ida Levänen</t>
  </si>
  <si>
    <t>Heikki Ojanperä</t>
  </si>
  <si>
    <t>Tomi Korpi</t>
  </si>
  <si>
    <t>OP</t>
  </si>
  <si>
    <t>OP Helsinki</t>
  </si>
  <si>
    <t>OskariNokso-Koivisto</t>
  </si>
  <si>
    <t>Faculty of Social Sciences, HelsinkiUni</t>
  </si>
  <si>
    <t>Victor Snellman</t>
  </si>
  <si>
    <t>Tanja Remes</t>
  </si>
  <si>
    <t>Krista Riukula</t>
  </si>
  <si>
    <t>Sami Pakarinen</t>
  </si>
  <si>
    <t>1008979201532317696</t>
  </si>
  <si>
    <t>408253712</t>
  </si>
  <si>
    <t>23583485</t>
  </si>
  <si>
    <t>168607383</t>
  </si>
  <si>
    <t>90345811</t>
  </si>
  <si>
    <t>62264590</t>
  </si>
  <si>
    <t>1155809028704034817</t>
  </si>
  <si>
    <t>222802607</t>
  </si>
  <si>
    <t>866356546355245056</t>
  </si>
  <si>
    <t>303911418</t>
  </si>
  <si>
    <t>15456487</t>
  </si>
  <si>
    <t>794922078503895040</t>
  </si>
  <si>
    <t>146746789</t>
  </si>
  <si>
    <t>2242325766</t>
  </si>
  <si>
    <t>204251257</t>
  </si>
  <si>
    <t>26616416</t>
  </si>
  <si>
    <t>15163076</t>
  </si>
  <si>
    <t>32650413</t>
  </si>
  <si>
    <t>1327451425</t>
  </si>
  <si>
    <t>1195335592357355522</t>
  </si>
  <si>
    <t>414737854</t>
  </si>
  <si>
    <t>490142860</t>
  </si>
  <si>
    <t>714755503763681281</t>
  </si>
  <si>
    <t>1906962980</t>
  </si>
  <si>
    <t>862242501423452160</t>
  </si>
  <si>
    <t>556844611</t>
  </si>
  <si>
    <t>212236024</t>
  </si>
  <si>
    <t>111561793</t>
  </si>
  <si>
    <t>16376520</t>
  </si>
  <si>
    <t>775588820175781888</t>
  </si>
  <si>
    <t>3929949375</t>
  </si>
  <si>
    <t>407765954</t>
  </si>
  <si>
    <t>854462688</t>
  </si>
  <si>
    <t>544039969</t>
  </si>
  <si>
    <t>1055255910</t>
  </si>
  <si>
    <t>1672396344</t>
  </si>
  <si>
    <t>2765635282</t>
  </si>
  <si>
    <t>2459578357</t>
  </si>
  <si>
    <t>880307742661062656</t>
  </si>
  <si>
    <t>171478294</t>
  </si>
  <si>
    <t>2596076112</t>
  </si>
  <si>
    <t>1345062191326777348</t>
  </si>
  <si>
    <t>2380640833</t>
  </si>
  <si>
    <t>906836640</t>
  </si>
  <si>
    <t>3197922796</t>
  </si>
  <si>
    <t>376146034</t>
  </si>
  <si>
    <t>115729710</t>
  </si>
  <si>
    <t>2436765558</t>
  </si>
  <si>
    <t>23919762</t>
  </si>
  <si>
    <t>96761126</t>
  </si>
  <si>
    <t>178286401</t>
  </si>
  <si>
    <t>502777215</t>
  </si>
  <si>
    <t>19486753</t>
  </si>
  <si>
    <t>54544774</t>
  </si>
  <si>
    <t>783641808341467137</t>
  </si>
  <si>
    <t>3662561292</t>
  </si>
  <si>
    <t>3301658513</t>
  </si>
  <si>
    <t>910949378688417798</t>
  </si>
  <si>
    <t>978565938013450240</t>
  </si>
  <si>
    <t>1137774052653883393</t>
  </si>
  <si>
    <t>1438779582413516800</t>
  </si>
  <si>
    <t>633859223</t>
  </si>
  <si>
    <t>902880159262543873</t>
  </si>
  <si>
    <t>1305480188</t>
  </si>
  <si>
    <t>2320734500</t>
  </si>
  <si>
    <t>106511778</t>
  </si>
  <si>
    <t>2212509561</t>
  </si>
  <si>
    <t>58438271</t>
  </si>
  <si>
    <t>511666494</t>
  </si>
  <si>
    <t>720584205571387392</t>
  </si>
  <si>
    <t>771149623</t>
  </si>
  <si>
    <t>369536119</t>
  </si>
  <si>
    <t>1196678697627070464</t>
  </si>
  <si>
    <t>2417183801</t>
  </si>
  <si>
    <t>1027200392202014721</t>
  </si>
  <si>
    <t>745386888</t>
  </si>
  <si>
    <t>583643859</t>
  </si>
  <si>
    <t>1667581850</t>
  </si>
  <si>
    <t>2710024153</t>
  </si>
  <si>
    <t>Helsinki Graduate School of Economics is an academic initiative bringing together @AaltoUniversity, @Hanken_fi, and @helsinkiuni</t>
  </si>
  <si>
    <t>isä kolmelle lapselle, aviomies, yrittäjä, arvokonservatiivi ja talousliberaali sekä markkinatalouden kannattaja.</t>
  </si>
  <si>
    <t>Communication professional who lives in Puotila, Helsinki with wife and three kids. Trains, cafés, bars and good newspapers _xD83C__xDDE9__xD83C__xDDEA__xD83C__xDDEB__xD83C__xDDEE__xD83C__xDDFA__xD83C__xDDF8_ EU-fantsuttelija.</t>
  </si>
  <si>
    <t>University of Helsinki - Helsingin yliopisto is Finland’s largest, oldest and internationally most esteemed research university. #HelsinkiUni #WeAreHelsinkiUni</t>
  </si>
  <si>
    <t>Aalto University (Aalto-yliopisto) is a multidisciplinary university, where science and art meet technology and business.#aalto #aaltoyliopisto #aaltouniversity</t>
  </si>
  <si>
    <t>Rajallisella pallolla yksilöiden vallalle tarvitaan oikeudenmukaiset rajat.
Poliittisesti olen reilusti.</t>
  </si>
  <si>
    <t>Economist @SuomenPankki / PhD candidate @HelsinkiUni &amp; @HelsinkiGSE, interested in macro &amp; monetary policy &amp; development economics</t>
  </si>
  <si>
    <t>A PhD candidate @HelsinkiGSE delving into information economics &amp; game theory. Otherwise, an art lover and a fledgling painter. _xD83D__xDC68_‍_xD83C__xDFA8__xD83C__xDF31__xD83C__xDF0D_</t>
  </si>
  <si>
    <t>Toimittaja, keskustelija ja kuuntelija. Urheilumiehiä. Omia havaintoja sekä hassutteluja.</t>
  </si>
  <si>
    <t>Creating gravity. Enabling future growth. Building the Tunnel. 
Former Mighty Eagle at Angry Birds, founder of Slush and MobileMonday, the one with the balls;-)</t>
  </si>
  <si>
    <t>Professori, Helsingin yliopisto</t>
  </si>
  <si>
    <t>Co-founder of @LongPlay_fi. Independent tinker. Kattilanpaikkaaja. Tv-kuiskaaja ja käsikirjoittaja.</t>
  </si>
  <si>
    <t>#Taloustiede­ttä, Valtion taloudellinen tutkimuskeskus. Aiheita: #verotus #sosiaaliturva #koulutus #työmarkkinat #energia.
Applied #economics, @vatt_research.</t>
  </si>
  <si>
    <t>Comms &amp; marketing manager @AaltoBIZ. On Twitter as authorized nutritionist, language teacher and family mom &amp; farmer. Favourite place Åbolands skärgård. ❤️</t>
  </si>
  <si>
    <t>Kansanedustaja.  Kokoomusnaisten ja YK-liiton pj.  Ekonomi ja futuristi.  Liberaali sinivihreä sosiaalireformisti feministi perheenäiti.  Tsekkaa linkit ↘️</t>
  </si>
  <si>
    <t>Helsingin kaupunginvaltuuston puheenjohtaja Puheenjohtaja - Naisasialiitto Unioni Vihreät varakansanedustaja ja feministi</t>
  </si>
  <si>
    <t>Husband &amp; stepfather. QA Engineer, working at BCB Medical. Interested in scouting, politics, jogging, movies and pub quizzes.</t>
  </si>
  <si>
    <t>Professor of economics / Taloustieteen professori @Hanken_fi</t>
  </si>
  <si>
    <t>Taloustieteellinen Yhdistys / Nationalekonomiska Föreningen / Finnish Economic Association https://t.co/8GnVCqMwOT</t>
  </si>
  <si>
    <t>Professor of Economics at the University of Helsinki</t>
  </si>
  <si>
    <t>PhD Student in Economics at @AaltoUniversity. Junior Researcher @PTLaitos. YNWA.</t>
  </si>
  <si>
    <t>CCO @helsinkiuni, community &amp; corporate relations, fundraising, leadership &amp; culture, sustainability. Boardmember @sitowisegroup @hyplusglobal @UH_Innovation</t>
  </si>
  <si>
    <t>Making things happen @startupc @urbantechhel #urbantechhelsinki #startup #incubator. In private life tweets about books, reading and culture (mainly in Finnish)</t>
  </si>
  <si>
    <t>Professor of macroeconomics @helsinkiuni and @HelsinkiGSE.</t>
  </si>
  <si>
    <t>Aina läsnä #radiosuomi Whatsapp-viesti studioon: 040 14 55 666. Löydät meidät myös täältä: Facebook &amp; Instagram: @radiosuomi</t>
  </si>
  <si>
    <t>Economics | Alumna @HelsinkiGSE @HelsinkiUni and @UtrechtUni _xD83D__xDCDA_</t>
  </si>
  <si>
    <t>@Demarit varapuheenjohtaja, Kansanedustaja / MP. Vaasan valtuutettu &amp; Pohjanmaan valtuuston pj. #sosiaaliturva &amp; #mielenterveys. Seuraa arkea IG:ssä.</t>
  </si>
  <si>
    <t>Politiikka, Kiina ja kaskut. Taloustiede meets Talouspolitiikka @HelsinkiGSE. Stipendi teknisestä työstä. Kertoo olevansa kotoisin Forssasta.</t>
  </si>
  <si>
    <t>Your Friendly Neighborhood #AI Professor @helsinkiuni _xD83D__xDC68_‍_xD83C__xDFEB_ Lead Instructor #ElementsofAI _xD83D__xDC68_‍_xD83D__xDCBB_ @UnivHelsinkiCS @FCAI_fi #datascience #diversity #tekoäly he/him</t>
  </si>
  <si>
    <t>#koronafi
#veikkauskratia</t>
  </si>
  <si>
    <t>@HelsinkiUni tietojenkäsittelytieteen osaston ja kavereiden MOOCit.
High-quality MOOCs from Finland.</t>
  </si>
  <si>
    <t>Assistant Professor of Urban Economics @AaltoUniversity and @HelsinkiGSE.</t>
  </si>
  <si>
    <t>Tutkija, ekonomisti, joka ajattelee tunnejärjellä.</t>
  </si>
  <si>
    <t>Ilta on ihmisessä ja aamu on outo. Illasta aamuun on ihmisen souto. Illasta aamuun on yöllistä matkaa. Jos jaksat uskoa, jaksat jatkaa.</t>
  </si>
  <si>
    <t>Päivisin ekonomisti @vuokranantajat, iltaisin kaupunkipolitiikkaa Vantaalla ja HSL:ssä. Ajatuksia erityisesti talous- ja asuntopolitiikasta. Väliin kevennyksiä.</t>
  </si>
  <si>
    <t>Verkkokursseja rakastava yrittäjä @Ixir_Oy'ssa. Humanisti, FT, entinen #islam'in ja #tieteenhistoria'n tutkija.</t>
  </si>
  <si>
    <t>Yhteiskunnallisen vaikuttamisen asiantuntijana @aaltouniversity. Teologian maisteri. Tykkään mm. koulutuspolitiikasta ja hevosista. #yliopisto</t>
  </si>
  <si>
    <t>Johtava tutkija / Associate Research Professor 
@vatt_tutkimus @VATT_research
Tutkin verotusta ja sosiaaliturvaa. 
Doing research on taxes and social benefits.</t>
  </si>
  <si>
    <t>Suomen Pankki on Suomen keskuspankki. The Bank of Finland is Finland's central bank. 
Blogs: http://t.co/9UpWiV4Cwm 
Photos: http://t.co/9Mv9OciA6A</t>
  </si>
  <si>
    <t>Suomen Pankin viestintäpäällikkö | Head of Communications, Bank of Finland @suomenpankki</t>
  </si>
  <si>
    <t>Veikkauksen peleihin kuluu kuulemma n. 570-600€/hlö/v. Entäs jos 2021 tuon summan sijoittaisikin osakkeisiin? Miten käy? #sijoittaminen #LottorahatPörssiin</t>
  </si>
  <si>
    <t>Dude tweeting in English &amp; Finnish mostly about business and military affairs, but occasionally drifting to slapstick humor, diving &amp; boardgaming.</t>
  </si>
  <si>
    <t>Economics Professor (health, education, econometrics) @UniTurku @UTUEconomics @InFLAMES_Health | Chief researcher @vatt_tutkimus | Docent @helsinkiuni | tennis</t>
  </si>
  <si>
    <t>MAT mainoshoitaja, toimistosihteeri,
monitoiminainen, kirjoittaja,
mielipiteet omia. Konkariduunareille arvoa!</t>
  </si>
  <si>
    <t>Project Manager @HelsinkiUni, MSc Econ. and Mom &amp; Life-long learner #jatkuvaoppiminen #markkinointi #brändäys #viestintä #servicedesign #asiakasymmärrys</t>
  </si>
  <si>
    <t>Energy with facts. At the econ department at Aalto University.</t>
  </si>
  <si>
    <t>Isä. Professori. Dekaani. Jääkiekkoilija.
Dean #Turkuschoolofeconomics @UniTurku
#tiede #koulutus #vastuullisuus #biodiversity #icehockey #dogs #cats</t>
  </si>
  <si>
    <t>Yleisjantunen eli yhteiskuntavaikuttamisesta, strategiasta ja kehittämisestä vastaava johtaja @STTKMikonkatu.</t>
  </si>
  <si>
    <t>Painter of the blue blue sky. Dada engineer :: #democracy is doing. 
Gardening</t>
  </si>
  <si>
    <t>Communications specialist @helsinkiuni Tweets in Swedish, Finnish and English</t>
  </si>
  <si>
    <t>Toimitusjohtaja, Elinkeinoelämän tutkimuslaitos ETLA ja Elinkeinoelämän valtuuskunta EVA.</t>
  </si>
  <si>
    <t>Johtaja, Digitalisaatio - Teknologiateollisuus ry / Finnish Technology Industries</t>
  </si>
  <si>
    <t>Dos., PhD (Econ) Finanssineuvos, VM. Pj, tuottavuuslautakunta Hallituksen jäsen, Vaasan yo Opettelen uimaan Muuten normaali All Usual Disclaimers</t>
  </si>
  <si>
    <t>Koulutuksen asiantuntija, innokas sienestäjä ja luonossa liikkuja ja dekkareiden suurkuluttaja, vaimo, äiti ja koiran emäntä.</t>
  </si>
  <si>
    <t>Hallintotieteiden maisteriopiskelija @MAB_TampereUni. Kiinnostuksen kohteina yhteiskunnalliset asiat ja urheilu. Hallituksessa @RiihimaenVas</t>
  </si>
  <si>
    <t>Ecosystem service research manager &amp; senior scientist @LukeFinland.  Economics and environmental valuation. | Dosentti, mutta ei kaiken maailman osalta.</t>
  </si>
  <si>
    <t>Töissä @OP_Ryhma. ❤️ ihmiset, ilmiöt, kirjat &amp; _xD83C__xDFBC_. 
#hyvinvointi | #työelämä | #ihminenihmiselle | #yrityskulttuuri | #johtaminen | #talous | #yhteistoiminta</t>
  </si>
  <si>
    <t>Julkinen talous ▫️ Kuntatalous ▫️ Valtionavut ▫️ Sote-uudistus ▫️ 
Ekonomisti ▫️Nyt OKM ▫️1.11. alkaen Kuntaliitto▫️Historiaa VM &amp; VATT ▫️ 
☎️ 050-575 9090</t>
  </si>
  <si>
    <t>@SYL_FIN hallitus’21 ja ehdolla pjksi vuodelle 2022 | Tuotantotaloutta @AaltoUniversity | Investment Manager @WaveVentures _xD83C__xDF0A_ | Politiikkaa ja pöhinää_xD83D__xDC68_‍_xD83D__xDCBB_</t>
  </si>
  <si>
    <t>Future-oriented energy and climate economist with fresh views to share :)</t>
  </si>
  <si>
    <t>Economist, Ph.D. candidate @MIT at @mitecon. Research affiliate at @Harvard.</t>
  </si>
  <si>
    <t>Social media team lead &amp; scicomm stuff @helsinkiuni. History MA. Dad. Tweets about #research #scicomm #somefi #siksitiede &amp; life. _xD83C__xDDEB__xD83C__xDDEE__xD83C__xDDF8__xD83C__xDDEA__xD83C__xDDEC__xD83C__xDDE7_</t>
  </si>
  <si>
    <t>Global affairs, politics, economics, finance, science, nature, cycling, basketball.</t>
  </si>
  <si>
    <t>Aalto University School of Business − Aalto-yliopiston kauppakorkeakoulu. https://t.co/eekO0JtBOG, https://t.co/2a3GNwbKjl, https://t.co/bR6qpOg84Y</t>
  </si>
  <si>
    <t>Assistant Professor of Economics @ITAM_mx _xD83C__xDDF2__xD83C__xDDFD_, PhD @IIES_Sthlm _xD83C__xDDF8__xD83C__xDDEA_. I am a political economist, #FirstGen, an aspiring trumpetist, and dad of Mateo.</t>
  </si>
  <si>
    <t>In Helsinki from Finnish Lapland. During the days education policy. In the spare time energy policy, Russian language and #ravit.</t>
  </si>
  <si>
    <t>Raha, tasa-arvo, ympäristö • Ylellä podcast Melkein kaikki rahasta: https://t.co/T4WcaDQc3L</t>
  </si>
  <si>
    <t>Suomen Ekonomien tavoitteena on parempi #työelämä. Palvelemme jäseniämme heidän #ura'nsa kaikissa käänteissä. https://t.co/X3iheo9d3d</t>
  </si>
  <si>
    <t>Päivisin oma media, viestintä &amp; työelämä. #Ekonomilehti päätoimittaja &amp; @SuomenEkonomit viestintäpäällikkö. Iltaisin kaksoiselämää tanssi- ja pilatesopena.</t>
  </si>
  <si>
    <t>32 years of policies and lobbying for Finnish / European industries and trade.  Gimme break..!</t>
  </si>
  <si>
    <t>ft, TtM-opiskelija @ https://t.co/LeqcnFqFgp. Liike on jatkuvaa</t>
  </si>
  <si>
    <t>Twiittejä ja keskustelua ajankohtaisista finanssiasioista - ja joskus niiden vierestä. Asiakaspalvelutilanteissa ota yhteys: @OP_Aspa</t>
  </si>
  <si>
    <t>OP Helsinki tviittaa ajankohtaista taloudesta ja pankkimaailmasta sekä pääkaupunkiseudun asioista.</t>
  </si>
  <si>
    <t>Helsingin yliopiston valtiotieteellinen tiedekunta - Statsvetenskapliga fakulteten, Helsingfors universitet - Faculty of Social Sciences, University of Helsinki</t>
  </si>
  <si>
    <t>Intohimoinen osakesäästäjä, laatujuomien ystävä ja nörtti _xD83E__xDD13_ // Suomen Osakesäästäjien TJ @osakeliitto // Perustajaosakas https://t.co/ifFnjxCngQ .</t>
  </si>
  <si>
    <t>Yhteiskuntasuhteet - Public Affairs @helsinkiuni. Tweets about #siksitiede #sivistys #yliopistot #politiikka #kestävyys</t>
  </si>
  <si>
    <t>Researcher @EtlaNews (ETLA Economic Research). Dr. Sc. (Econ) @AaltoUniversity. Human capital development &amp; labour economics. Philomath. On maternity leave.</t>
  </si>
  <si>
    <t>Johtaja, FT | Director, PhD @Elinkeinoelama</t>
  </si>
  <si>
    <t>Helsinki, Finland</t>
  </si>
  <si>
    <t>Finland</t>
  </si>
  <si>
    <t>Helsinki, Suomi</t>
  </si>
  <si>
    <t>Tampere/Helsinki</t>
  </si>
  <si>
    <t>Heart of Eurasia</t>
  </si>
  <si>
    <t>Espoo, Suomi</t>
  </si>
  <si>
    <t>Turku Åbo</t>
  </si>
  <si>
    <t>Turku, Finland</t>
  </si>
  <si>
    <t xml:space="preserve">Helsinki, Finland </t>
  </si>
  <si>
    <t>Helsinki</t>
  </si>
  <si>
    <t>Uusimaa, Suomi</t>
  </si>
  <si>
    <t>Vaasa, Suomi</t>
  </si>
  <si>
    <t>Kumpula, Helsinki.</t>
  </si>
  <si>
    <t>Helsinki/Turku, Finland</t>
  </si>
  <si>
    <t>Lieto, Finland</t>
  </si>
  <si>
    <t>Riihimäki, Suomi</t>
  </si>
  <si>
    <t>Uusimaa</t>
  </si>
  <si>
    <t>Boston, MA</t>
  </si>
  <si>
    <t>CDMX</t>
  </si>
  <si>
    <t>Ratavartijankatu 2, Helsinki</t>
  </si>
  <si>
    <t>Lahti, Suomi</t>
  </si>
  <si>
    <t>Open Twitter Page for This Person</t>
  </si>
  <si>
    <t>tapioylipuranen
Olitpa taloudesta mitä mieltä tahansa,
niin tämä kurssi kannattaa suorittaa.
Hieno työtä @HelsinkiGSE #talouskurssi
https://t.co/QVz3xm844f</t>
  </si>
  <si>
    <t>jaakkoha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</si>
  <si>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helsinkiuni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</si>
  <si>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 xml:space="preserve">aaltouniversity
</t>
  </si>
  <si>
    <t>jmkorhonen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</si>
  <si>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sari62494762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</si>
  <si>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v_pikkarainen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</si>
  <si>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teemupekkarinen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</si>
  <si>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makisenjussi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</si>
  <si>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pvesterbacka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</si>
  <si>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roope_uusitalo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</si>
  <si>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rsiivonen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</si>
  <si>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susannarosin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</si>
  <si>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saarasofia
Vaikuttaa mainiolta kurssilta!
Kannattaa tutustua. Laadukas sisältö
avoimesti tutustuttavissa. Myös
opintopisteitä tarjolla. _xD83D__xDC4D_ Kestävä
talous on kestävän kehityksen peruspilari,
joten kaikki maailmanparantajat
tarvitsevat ymmärryksen siitä,
miten talous toimii. #talouskurssi
https://t.co/aR4TxMaCvF</t>
  </si>
  <si>
    <t>fatimdiarra
Mahtavaa, @HelsinkiGSE toi kaikille
avoimen ja maksuttoman taloustieten
verkkokurssin! Opiskelu ja itsensä
sivistäminen kannattaa aina, sillä
- Smart is the new sexy #talouskurssi
@AaltoUniversity @helsinkiuni https://t.co/vvhceNXikM</t>
  </si>
  <si>
    <t>qsisto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</si>
  <si>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artahy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</si>
  <si>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tty_taloustiede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</si>
  <si>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anttiripatti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</si>
  <si>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aapostenhammar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</si>
  <si>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tainakyllonen
Nyt on jälleen kova, suorastaan
must! Hyvä jatko @helsinkiuni vastuullisuus-
ja yrittäjyyskursseille. _xD83D__xDC4D__xD83C__xDFFB_ Kauppatieteilijä
minussa kiittää. _xD83E__xDD29_ #talouskurssi
#kansalaistaito #mooc #talous https://t.co/yfFb040OWw</t>
  </si>
  <si>
    <t>kaisaahonen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</si>
  <si>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nikumaattanen
Kuuntele @radiosuomi klo 12.18
alkaen, kun kurssin akateeminen
johtaja prof. Juuso Välimäki kertoo
kurssin taustoista. #talouskurssi
https://t.co/qcmAhAVGl4</t>
  </si>
  <si>
    <t xml:space="preserve">radiosuomi
</t>
  </si>
  <si>
    <t>avaattanen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</si>
  <si>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teemu_roos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</si>
  <si>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jtwiitteri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</si>
  <si>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moocfi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</si>
  <si>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tsaarimaa
Tästähän tuli ihan mielettömän
hyvä! #talouskurssi #taloustiede
https://t.co/vrzRIJyKAt</t>
  </si>
  <si>
    <t>mlhalko
Kuuntele @radiosuomi klo 12.18
alkaen, kun kurssin akateeminen
johtaja prof. Juuso Välimäki kertoo
kurssin taustoista. #talouskurssi
https://t.co/qcmAhAVGl4</t>
  </si>
  <si>
    <t>sarasvuojari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</si>
  <si>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sakarirokkanen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</si>
  <si>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inkanokso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</si>
  <si>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minnamakitalo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</si>
  <si>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tuomasmatikka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</si>
  <si>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suomenpankki
#talouskurssi on kaikille avoin
verkkokurssi taloudesta ja sen
vaikutuksesta meihin jokaiseen.
@HelsinkiGSE​n tänään julkaiseman
kurssin tavoitteena on tehdä suomalaisista
maailman paras talouskansa. @SuomenPankki
on ilolla mukana tukemassa https://t.co/MyrSH4CdC6.
https://t.co/61TGhkKUVH</t>
  </si>
  <si>
    <t>jennihellstrom
#talouskurssi on kaikille avoin
verkkokurssi taloudesta ja sen
vaikutuksesta meihin jokaiseen.
@HelsinkiGSE​n tänään julkaiseman
kurssin tavoitteena on tehdä suomalaisista
maailman paras talouskansa. @SuomenPankki
on ilolla mukana tukemassa https://t.co/MyrSH4CdC6.
https://t.co/61TGhkKUVH</t>
  </si>
  <si>
    <t>minisalkku2021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</si>
  <si>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thuotila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</si>
  <si>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mikakorte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</si>
  <si>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korhonenmla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</si>
  <si>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paananentanja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</si>
  <si>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iivoi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</si>
  <si>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granlundmarkus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</si>
  <si>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tainac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</si>
  <si>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juhokauppi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</si>
  <si>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christamakinen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</si>
  <si>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akikangasharju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</si>
  <si>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villepeltola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</si>
  <si>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rebekka_nylund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</si>
  <si>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anttihuotari7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</si>
  <si>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janneartell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</si>
  <si>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vuokkotee
Kaikille avoin #verkkokurssi taloudesta
ja sen vaikutuksista elämäämme.
#talouskurssi @AaltoUniversity
@helsinkiuni Miten talous toimii?
_xD83D__xDC49_ https://t.co/f9tNzDpSwQ _xD83D__xDCB7__xD83D__xDCB0__xD83D__xDCB6__xD83D__xDCB1__xD83D__xDCB5__xD83D__xDCB3__xD83D__xDCB4__xD83D__xDCB2__xD83C__xDFB0_
https://t.co/2bQEFNLL0t https://t.co/cVNfgBmkfP</t>
  </si>
  <si>
    <t>sklehtonen
Kaikille avoin #verkkokurssi taloudesta
ja sen vaikutuksista elämäämme.
#talouskurssi @AaltoUniversity
@helsinkiuni Miten talous toimii?
_xD83D__xDC49_ https://t.co/f9tNzDpSwQ _xD83D__xDCB7__xD83D__xDCB0__xD83D__xDCB6__xD83D__xDCB1__xD83D__xDCB5__xD83D__xDCB3__xD83D__xDCB4__xD83D__xDCB2__xD83C__xDFB0_
https://t.co/2bQEFNLL0t https://t.co/cVNfgBmkfP</t>
  </si>
  <si>
    <t>kkouzmitchev
Tämä menee kyllä heti to do -listalle!
Kiinnostavaa! #talouskurssi @AaltoUniversity
@helsinkiuni https://t.co/kiLivIFPSM</t>
  </si>
  <si>
    <t>petterihaveri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</si>
  <si>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joonastuhkuri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</si>
  <si>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tomassjoblom
Ettei pääsisi ylpistymään, #talouskurssi
on kuitenkin vain vähän tappiolla
höpöhöpölle Suomi-Twitterissä.
Ei mitään höpöhöpöä, vaan tutkittua
tietoa _xD83D__xDC49_https://t.co/bH8YeFhiiH
https://t.co/IchNZb9vkU</t>
  </si>
  <si>
    <t>atromakila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</si>
  <si>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aaltobiz
Ettei pääsisi ylpistymään, #talouskurssi
on kuitenkin vain vähän tappiolla
höpöhöpölle Suomi-Twitterissä.
Ei mitään höpöhöpöä, vaan tutkittua
tietoa _xD83D__xDC49_https://t.co/bH8YeFhiiH
https://t.co/IchNZb9vkU</t>
  </si>
  <si>
    <t>jmerilainen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</si>
  <si>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juliathuren
Tänään @HelsinkiGSE julkaisi Miten
talous toimii -verkkokurssin. Heti
perään toinen ilouutinen! @SuomenEkonomit
järjestää Talouskinkerit eli opintopiirin,
jossa opiskelet talouskurssin hauskasti.
Kinkerit vetää @juliathuren. #talouskurssi
#talouskinkerit https://t.co/pJhsFp9rQL
https://t.co/h0tSID42JM</t>
  </si>
  <si>
    <t>suomenekonomit
Miten leipä löytää pöytäämme, miten
varallisuus maailmassa jakautuu
ja kuinka talous ja ilmastonmuutos
kietoutuvat toisiinsa? Tänään julkaistu
MOOC-kurssi houkuttelee ainakin
minua opiskeluhommiin! _xD83E__xDD13_ #talouskurssi
#mitentaloustoimii https://t.co/tPGBxa9J54</t>
  </si>
  <si>
    <t>idalevanen
Tänään @HelsinkiGSE julkaisi Miten
talous toimii -verkkokurssin. Heti
perään toinen ilouutinen! @SuomenEkonomit
järjestää Talouskinkerit eli opintopiirin,
jossa opiskelet talouskurssin hauskasti.
Kinkerit vetää @juliathuren. #talouskurssi
#talouskinkerit https://t.co/pJhsFp9rQL
https://t.co/h0tSID42JM</t>
  </si>
  <si>
    <t>heikkio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</si>
  <si>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fysman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</si>
  <si>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op_ryhma
@HelsinkiGSE Verkkokurssin ovat
toteuttaneet Taloustieteen keskus
Helsinki GSE ja rahoittaneet Helsingin
yliopisto ja Aalto-yliopisto. OP
Ryhmä on kurssin viestintäkumppani.
@HelsinkiGSE @helsinkiuni @AaltoUniversity
@OPHelsinki #talouskurssi #OPmukana</t>
  </si>
  <si>
    <t xml:space="preserve">ophelsinki
</t>
  </si>
  <si>
    <t>oskarinokso
Miten talous toimii? -kaikille
avoin verkkokurssi tarkastelee
talouden vaikutuksia elämäämme.
Kurssi on suunnattu erityisesti
lukiolaisille, mutta sen suorittamisesta
on hyötyä kaikille taloudesta kiinnostuneille.
Tutustu: https://t.co/7bqD7Z4kip
@HelsinkiGSE #talouskurssi</t>
  </si>
  <si>
    <t>socscihelsinki
Miten talous toimii? -kaikille
avoin verkkokurssi tarkastelee
talouden vaikutuksia elämäämme.
Kurssi on suunnattu erityisesti
lukiolaisille, mutta sen suorittamisesta
on hyötyä kaikille taloudesta kiinnostuneille.
Tutustu: https://t.co/7bqD7Z4kip
@HelsinkiGSE #talouskurssi</t>
  </si>
  <si>
    <t>wiscoosi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</si>
  <si>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tanjaremes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</si>
  <si>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krista_ri_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</si>
  <si>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sapakarinen
Olitpa taloudesta mitä mieltä tahansa,
niin tämä kurssi kannattaa suorittaa.
Hieno työtä @HelsinkiGSE #talouskurssi
https://t.co/QVz3xm844f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</si>
  <si>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</si>
  <si>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</si>
  <si>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</si>
  <si>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</si>
  <si>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</si>
  <si>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</si>
  <si>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</si>
  <si>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</si>
  <si>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</si>
  <si>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</si>
  <si>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</si>
  <si>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</si>
  <si>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</si>
  <si>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</si>
  <si>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</si>
  <si>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</si>
  <si>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</si>
  <si>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</si>
  <si>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</si>
  <si>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</si>
  <si>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</si>
  <si>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</si>
  <si>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</si>
  <si>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</si>
  <si>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</si>
  <si>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</si>
  <si>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</si>
  <si>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</si>
  <si>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talous</t>
  </si>
  <si>
    <t>elämäämme</t>
  </si>
  <si>
    <t>#talouskurssi</t>
  </si>
  <si>
    <t>toimii</t>
  </si>
  <si>
    <t>taloudesta</t>
  </si>
  <si>
    <t>verkkokurssin</t>
  </si>
  <si>
    <t>vaikutuksista</t>
  </si>
  <si>
    <t>tutustu</t>
  </si>
  <si>
    <t>avoimen</t>
  </si>
  <si>
    <t>halusimmepa</t>
  </si>
  <si>
    <t>määrittelee</t>
  </si>
  <si>
    <t>monella</t>
  </si>
  <si>
    <t>julkaisseet</t>
  </si>
  <si>
    <t>opiskele</t>
  </si>
  <si>
    <t>kurssin</t>
  </si>
  <si>
    <t>avoin</t>
  </si>
  <si>
    <t>juuso</t>
  </si>
  <si>
    <t>välimäki</t>
  </si>
  <si>
    <t>kertoo</t>
  </si>
  <si>
    <t>kurssi</t>
  </si>
  <si>
    <t>kuuntele</t>
  </si>
  <si>
    <t>klo</t>
  </si>
  <si>
    <t>12</t>
  </si>
  <si>
    <t>18</t>
  </si>
  <si>
    <t>alkaen</t>
  </si>
  <si>
    <t>akateeminen</t>
  </si>
  <si>
    <t>johtaja</t>
  </si>
  <si>
    <t>prof</t>
  </si>
  <si>
    <t>taustoista</t>
  </si>
  <si>
    <t>leipä</t>
  </si>
  <si>
    <t>löytää</t>
  </si>
  <si>
    <t>pöytäämme</t>
  </si>
  <si>
    <t>varallisuus</t>
  </si>
  <si>
    <t>maailmassa</t>
  </si>
  <si>
    <t>jakautuu</t>
  </si>
  <si>
    <t>maailman</t>
  </si>
  <si>
    <t>verkkokurssi</t>
  </si>
  <si>
    <t>julkaisi</t>
  </si>
  <si>
    <t>perään</t>
  </si>
  <si>
    <t>ilouutinen</t>
  </si>
  <si>
    <t>järjestää</t>
  </si>
  <si>
    <t>talouskinkerit</t>
  </si>
  <si>
    <t>opintopiirin</t>
  </si>
  <si>
    <t>opiskelet</t>
  </si>
  <si>
    <t>talouskurssin</t>
  </si>
  <si>
    <t>hauskasti</t>
  </si>
  <si>
    <t>kinkerit</t>
  </si>
  <si>
    <t>vetää</t>
  </si>
  <si>
    <t>#talouskinkerit</t>
  </si>
  <si>
    <t>yliopisto</t>
  </si>
  <si>
    <t>maksuton</t>
  </si>
  <si>
    <t>ongelmat</t>
  </si>
  <si>
    <t>syntyvät</t>
  </si>
  <si>
    <t>ratkaista</t>
  </si>
  <si>
    <t>#jatkuvaoppiminen</t>
  </si>
  <si>
    <t>hyötyä</t>
  </si>
  <si>
    <t>op</t>
  </si>
  <si>
    <t>pääsisi</t>
  </si>
  <si>
    <t>ylpistymään</t>
  </si>
  <si>
    <t>tappiolla</t>
  </si>
  <si>
    <t>höpöhöpölle</t>
  </si>
  <si>
    <t>suomi</t>
  </si>
  <si>
    <t>twitterissä</t>
  </si>
  <si>
    <t>höpöhöpöä</t>
  </si>
  <si>
    <t>tutkittua</t>
  </si>
  <si>
    <t>tietoa</t>
  </si>
  <si>
    <t>https</t>
  </si>
  <si>
    <t>t</t>
  </si>
  <si>
    <t>co</t>
  </si>
  <si>
    <t>bh8yefhiih</t>
  </si>
  <si>
    <t>#verkkokurssi</t>
  </si>
  <si>
    <t>tarkastelee</t>
  </si>
  <si>
    <t>talouden</t>
  </si>
  <si>
    <t>vaikutuksia</t>
  </si>
  <si>
    <t>suunnattu</t>
  </si>
  <si>
    <t>lukiolaisille</t>
  </si>
  <si>
    <t>suorittamisesta</t>
  </si>
  <si>
    <t>kiinnostuneille</t>
  </si>
  <si>
    <t>toteuttaneet</t>
  </si>
  <si>
    <t>taloustieteen</t>
  </si>
  <si>
    <t>keskus</t>
  </si>
  <si>
    <t>helsinki</t>
  </si>
  <si>
    <t>gse</t>
  </si>
  <si>
    <t>rahoittaneet</t>
  </si>
  <si>
    <t>helsingin</t>
  </si>
  <si>
    <t>aalto</t>
  </si>
  <si>
    <t>ryhmä</t>
  </si>
  <si>
    <t>viestintäkumppani</t>
  </si>
  <si>
    <t>#opmukana</t>
  </si>
  <si>
    <t>professori</t>
  </si>
  <si>
    <t>#talouskurssi'sta</t>
  </si>
  <si>
    <t>radio</t>
  </si>
  <si>
    <t>suomen</t>
  </si>
  <si>
    <t>päivässä</t>
  </si>
  <si>
    <t>ilmastonmuutos</t>
  </si>
  <si>
    <t>kietoutuvat</t>
  </si>
  <si>
    <t>toisiinsa</t>
  </si>
  <si>
    <t>julkaistu</t>
  </si>
  <si>
    <t>mooc</t>
  </si>
  <si>
    <t>houkuttelee</t>
  </si>
  <si>
    <t>minua</t>
  </si>
  <si>
    <t>opiskeluhommiin</t>
  </si>
  <si>
    <t>#mitentaloustoimii</t>
  </si>
  <si>
    <t>vaikutuksesta</t>
  </si>
  <si>
    <t>meihin</t>
  </si>
  <si>
    <t>jokaiseen</t>
  </si>
  <si>
    <t>n</t>
  </si>
  <si>
    <t>julkaiseman</t>
  </si>
  <si>
    <t>tehdä</t>
  </si>
  <si>
    <t>suomalaisista</t>
  </si>
  <si>
    <t>paras</t>
  </si>
  <si>
    <t>talouskansa</t>
  </si>
  <si>
    <t>ilolla</t>
  </si>
  <si>
    <t>tukemassa</t>
  </si>
  <si>
    <t>mahtavaa</t>
  </si>
  <si>
    <t>olitpa</t>
  </si>
  <si>
    <t>mieltä</t>
  </si>
  <si>
    <t>suorittaa</t>
  </si>
  <si>
    <t>hieno</t>
  </si>
  <si>
    <t>työtä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</si>
  <si>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</si>
  <si>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</si>
  <si>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</si>
  <si>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</si>
  <si>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</si>
  <si>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</si>
  <si>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</si>
  <si>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</si>
  <si>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</si>
  <si>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</si>
  <si>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</si>
  <si>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</si>
  <si>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</si>
  <si>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</si>
  <si>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</si>
  <si>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</si>
  <si>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</si>
  <si>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</si>
  <si>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</si>
  <si>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</si>
  <si>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</si>
  <si>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</si>
  <si>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</si>
  <si>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</si>
  <si>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</si>
  <si>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</si>
  <si>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</si>
  <si>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</si>
  <si>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</si>
  <si>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</si>
  <si>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Halusimmepa</t>
  </si>
  <si>
    <t>tai</t>
  </si>
  <si>
    <t>emme</t>
  </si>
  <si>
    <t>tavalla</t>
  </si>
  <si>
    <t>Siksi</t>
  </si>
  <si>
    <t>olemme</t>
  </si>
  <si>
    <t>tänään</t>
  </si>
  <si>
    <t>ja</t>
  </si>
  <si>
    <t>sen</t>
  </si>
  <si>
    <t>Tutustu</t>
  </si>
  <si>
    <t>Miten</t>
  </si>
  <si>
    <t>AaltoUniversity</t>
  </si>
  <si>
    <t>kaikille</t>
  </si>
  <si>
    <t>Kurssi</t>
  </si>
  <si>
    <t>on</t>
  </si>
  <si>
    <t>erityisesti</t>
  </si>
  <si>
    <t>mutta</t>
  </si>
  <si>
    <t>HelsinkiGSE</t>
  </si>
  <si>
    <t>Tänään</t>
  </si>
  <si>
    <t>Heti</t>
  </si>
  <si>
    <t>toinen</t>
  </si>
  <si>
    <t>SuomenEkonomit</t>
  </si>
  <si>
    <t>Talouskinkerit</t>
  </si>
  <si>
    <t>eli</t>
  </si>
  <si>
    <t>jossa</t>
  </si>
  <si>
    <t>Kinkerit</t>
  </si>
  <si>
    <t>Verkkokurssin</t>
  </si>
  <si>
    <t>ovat</t>
  </si>
  <si>
    <t>Taloustieteen</t>
  </si>
  <si>
    <t>GSE</t>
  </si>
  <si>
    <t>Helsingin</t>
  </si>
  <si>
    <t>Aalto</t>
  </si>
  <si>
    <t>Ryhmä</t>
  </si>
  <si>
    <t>OPHelsinki</t>
  </si>
  <si>
    <t>OPmukana</t>
  </si>
  <si>
    <t>Professori</t>
  </si>
  <si>
    <t>Juuso</t>
  </si>
  <si>
    <t>Välimäki</t>
  </si>
  <si>
    <t>talouskurssi'sta</t>
  </si>
  <si>
    <t>Radio</t>
  </si>
  <si>
    <t>Suomen</t>
  </si>
  <si>
    <t>Kuuntele</t>
  </si>
  <si>
    <t>kun</t>
  </si>
  <si>
    <t>miten</t>
  </si>
  <si>
    <t>kuinka</t>
  </si>
  <si>
    <t>MOOC</t>
  </si>
  <si>
    <t>ainakin</t>
  </si>
  <si>
    <t>mitentaloustoimii</t>
  </si>
  <si>
    <t>Ettei</t>
  </si>
  <si>
    <t>kuitenkin</t>
  </si>
  <si>
    <t>vain</t>
  </si>
  <si>
    <t>vähän</t>
  </si>
  <si>
    <t>Suomi</t>
  </si>
  <si>
    <t>Twitterissä</t>
  </si>
  <si>
    <t>Ei</t>
  </si>
  <si>
    <t>mitään</t>
  </si>
  <si>
    <t>vaan</t>
  </si>
  <si>
    <t>bH8YeFhiiH</t>
  </si>
  <si>
    <t>Tämä</t>
  </si>
  <si>
    <t>menee</t>
  </si>
  <si>
    <t>kyllä</t>
  </si>
  <si>
    <t>heti</t>
  </si>
  <si>
    <t>to</t>
  </si>
  <si>
    <t>do</t>
  </si>
  <si>
    <t>listalle</t>
  </si>
  <si>
    <t>Kiinnostavaa</t>
  </si>
  <si>
    <t>Kaikille</t>
  </si>
  <si>
    <t>Maksuton</t>
  </si>
  <si>
    <t>siitä</t>
  </si>
  <si>
    <t>suuret</t>
  </si>
  <si>
    <t>voidaan</t>
  </si>
  <si>
    <t>myös</t>
  </si>
  <si>
    <t>JatkuvaOppiminen</t>
  </si>
  <si>
    <t>Kiitos</t>
  </si>
  <si>
    <t>tavoitteena</t>
  </si>
  <si>
    <t>SuomenPankki</t>
  </si>
  <si>
    <t>mukana</t>
  </si>
  <si>
    <t>Tästähän</t>
  </si>
  <si>
    <t>tuli</t>
  </si>
  <si>
    <t>ihan</t>
  </si>
  <si>
    <t>mielettömän</t>
  </si>
  <si>
    <t>hyvä</t>
  </si>
  <si>
    <t>taloustiede</t>
  </si>
  <si>
    <t>Esimerkiksi</t>
  </si>
  <si>
    <t>näitä</t>
  </si>
  <si>
    <t>kysymyksiä</t>
  </si>
  <si>
    <t>käsittelee</t>
  </si>
  <si>
    <t>Nyt</t>
  </si>
  <si>
    <t>jälleen</t>
  </si>
  <si>
    <t>kova</t>
  </si>
  <si>
    <t>suorastaan</t>
  </si>
  <si>
    <t>must</t>
  </si>
  <si>
    <t>Hyvä</t>
  </si>
  <si>
    <t>jatko</t>
  </si>
  <si>
    <t>vastuullisuus</t>
  </si>
  <si>
    <t>yrittäjyyskursseille</t>
  </si>
  <si>
    <t>Kauppatieteilijä</t>
  </si>
  <si>
    <t>minussa</t>
  </si>
  <si>
    <t>kiittää</t>
  </si>
  <si>
    <t>kansalaistaito</t>
  </si>
  <si>
    <t>Mahtavaa</t>
  </si>
  <si>
    <t>toi</t>
  </si>
  <si>
    <t>maksuttoman</t>
  </si>
  <si>
    <t>taloustieten</t>
  </si>
  <si>
    <t>Opiskelu</t>
  </si>
  <si>
    <t>itsensä</t>
  </si>
  <si>
    <t>sivistäminen</t>
  </si>
  <si>
    <t>kannattaa</t>
  </si>
  <si>
    <t>aina</t>
  </si>
  <si>
    <t>sillä</t>
  </si>
  <si>
    <t>Smart</t>
  </si>
  <si>
    <t>is</t>
  </si>
  <si>
    <t>the</t>
  </si>
  <si>
    <t>new</t>
  </si>
  <si>
    <t>sexy</t>
  </si>
  <si>
    <t>Vaikuttaa</t>
  </si>
  <si>
    <t>mainiolta</t>
  </si>
  <si>
    <t>kurssilta</t>
  </si>
  <si>
    <t>Kannattaa</t>
  </si>
  <si>
    <t>tutustua</t>
  </si>
  <si>
    <t>Laadukas</t>
  </si>
  <si>
    <t>sisältö</t>
  </si>
  <si>
    <t>avoimesti</t>
  </si>
  <si>
    <t>tutustuttavissa</t>
  </si>
  <si>
    <t>Myös</t>
  </si>
  <si>
    <t>opintopisteitä</t>
  </si>
  <si>
    <t>tarjolla</t>
  </si>
  <si>
    <t>Kestävä</t>
  </si>
  <si>
    <t>kestävän</t>
  </si>
  <si>
    <t>kehityksen</t>
  </si>
  <si>
    <t>peruspilari</t>
  </si>
  <si>
    <t>joten</t>
  </si>
  <si>
    <t>kaikki</t>
  </si>
  <si>
    <t>maailmanparantajat</t>
  </si>
  <si>
    <t>tarvitsevat</t>
  </si>
  <si>
    <t>ymmärryksen</t>
  </si>
  <si>
    <t>Olitpa</t>
  </si>
  <si>
    <t>mitä</t>
  </si>
  <si>
    <t>tahansa</t>
  </si>
  <si>
    <t>niin</t>
  </si>
  <si>
    <t>tämä</t>
  </si>
  <si>
    <t>Hieno</t>
  </si>
  <si>
    <t>viestintäkumppanina</t>
  </si>
  <si>
    <t>että</t>
  </si>
  <si>
    <t>olette</t>
  </si>
  <si>
    <t>edistämässä</t>
  </si>
  <si>
    <t>suomalaisten</t>
  </si>
  <si>
    <t>talousosaamista</t>
  </si>
  <si>
    <t>Matias</t>
  </si>
  <si>
    <t>suosituksesta</t>
  </si>
  <si>
    <t>talouskurssi'in</t>
  </si>
  <si>
    <t>perehtyminen</t>
  </si>
  <si>
    <t>todella</t>
  </si>
  <si>
    <t>Atte</t>
  </si>
  <si>
    <t>Toivottavasti</t>
  </si>
  <si>
    <t>kurssista</t>
  </si>
  <si>
    <t>aiemmin</t>
  </si>
  <si>
    <t>aika</t>
  </si>
  <si>
    <t>aikaa</t>
  </si>
  <si>
    <t>aikaan</t>
  </si>
  <si>
    <t>aikaisemmin</t>
  </si>
  <si>
    <t>aikaisin</t>
  </si>
  <si>
    <t>aikajen</t>
  </si>
  <si>
    <t>aikana</t>
  </si>
  <si>
    <t>aikoina</t>
  </si>
  <si>
    <t>aikoo</t>
  </si>
  <si>
    <t>aikovat</t>
  </si>
  <si>
    <t>ainakaan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</si>
  <si>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</si>
  <si>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</si>
  <si>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</si>
  <si>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</si>
  <si>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</si>
  <si>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</si>
  <si>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</si>
  <si>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</si>
  <si>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</si>
  <si>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</si>
  <si>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</si>
  <si>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</si>
  <si>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</si>
  <si>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</si>
  <si>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</si>
  <si>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</si>
  <si>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</si>
  <si>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</si>
  <si>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</si>
  <si>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</si>
  <si>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</si>
  <si>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</si>
  <si>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</si>
  <si>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</si>
  <si>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</si>
  <si>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</si>
  <si>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</si>
  <si>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</si>
  <si>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</si>
  <si>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</si>
  <si>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</si>
  <si>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</si>
  <si>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</si>
  <si>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</si>
  <si>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</si>
  <si>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</si>
  <si>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</si>
  <si>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</si>
  <si>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</si>
  <si>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</si>
  <si>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</si>
  <si>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</si>
  <si>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</si>
  <si>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</si>
  <si>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</si>
  <si>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</si>
  <si>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</si>
  <si>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</si>
  <si>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</si>
  <si>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</si>
  <si>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</si>
  <si>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</si>
  <si>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</si>
  <si>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</si>
  <si>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</si>
  <si>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</si>
  <si>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</si>
  <si>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</si>
  <si>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</si>
  <si>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</si>
  <si>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</si>
  <si>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</si>
  <si>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</si>
  <si>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</si>
  <si>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</si>
  <si>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</si>
  <si>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</si>
  <si>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</si>
  <si>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</si>
  <si>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</si>
  <si>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ellei</t>
  </si>
  <si>
    <t>elleivät</t>
  </si>
  <si>
    <t>ellemme</t>
  </si>
  <si>
    <t>ellen</t>
  </si>
  <si>
    <t>ellet</t>
  </si>
  <si>
    <t>ellette</t>
  </si>
  <si>
    <t>en</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</si>
  <si>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</si>
  <si>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</si>
  <si>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</si>
  <si>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</si>
  <si>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</si>
  <si>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</si>
  <si>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</si>
  <si>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</si>
  <si>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</si>
  <si>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</si>
  <si>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</si>
  <si>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</si>
  <si>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</si>
  <si>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</si>
  <si>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</si>
  <si>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</si>
  <si>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</si>
  <si>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</si>
  <si>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</si>
  <si>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</si>
  <si>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</si>
  <si>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</si>
  <si>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</si>
  <si>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</si>
  <si>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</si>
  <si>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esi</t>
  </si>
  <si>
    <t>esiin</t>
  </si>
  <si>
    <t>esillä</t>
  </si>
  <si>
    <t>esimerkiksi</t>
  </si>
  <si>
    <t>et</t>
  </si>
  <si>
    <t>eteen</t>
  </si>
  <si>
    <t>etenkin</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</si>
  <si>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</si>
  <si>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</si>
  <si>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</si>
  <si>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</si>
  <si>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</si>
  <si>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</si>
  <si>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</si>
  <si>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</si>
  <si>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</si>
  <si>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</si>
  <si>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</si>
  <si>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</si>
  <si>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</si>
  <si>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</si>
  <si>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</si>
  <si>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</si>
  <si>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</si>
  <si>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</si>
  <si>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</si>
  <si>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</si>
  <si>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</si>
  <si>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</si>
  <si>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</si>
  <si>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</si>
  <si>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</si>
  <si>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</si>
  <si>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</si>
  <si>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</si>
  <si>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</si>
  <si>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</si>
  <si>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</si>
  <si>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</si>
  <si>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</si>
  <si>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</si>
  <si>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</si>
  <si>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</si>
  <si>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</si>
  <si>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</si>
  <si>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hetkellä</t>
  </si>
  <si>
    <t>hieman</t>
  </si>
  <si>
    <t>huolimatta</t>
  </si>
  <si>
    <t>huomenna</t>
  </si>
  <si>
    <t>hyvää</t>
  </si>
  <si>
    <t>hyvät</t>
  </si>
  <si>
    <t>hyviä</t>
  </si>
  <si>
    <t>hyvien</t>
  </si>
  <si>
    <t>hyviin</t>
  </si>
  <si>
    <t>hyviksi</t>
  </si>
  <si>
    <t>hyville</t>
  </si>
  <si>
    <t>hyviltä</t>
  </si>
  <si>
    <t>hyvin</t>
  </si>
  <si>
    <t>hyvinä</t>
  </si>
  <si>
    <t>hyvissä</t>
  </si>
  <si>
    <t>hyvistä</t>
  </si>
  <si>
    <t>ilman</t>
  </si>
  <si>
    <t>ilmeisesti</t>
  </si>
  <si>
    <t>itse</t>
  </si>
  <si>
    <t>itseään</t>
  </si>
  <si>
    <t>jää</t>
  </si>
  <si>
    <t>jälkeen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</si>
  <si>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</si>
  <si>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</si>
  <si>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</si>
  <si>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</si>
  <si>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</si>
  <si>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</si>
  <si>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</si>
  <si>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</si>
  <si>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</si>
  <si>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</si>
  <si>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</si>
  <si>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</si>
  <si>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</si>
  <si>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</si>
  <si>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</si>
  <si>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</si>
  <si>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</si>
  <si>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</si>
  <si>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</si>
  <si>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</si>
  <si>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</si>
  <si>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</si>
  <si>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</si>
  <si>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</si>
  <si>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</si>
  <si>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</si>
  <si>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</si>
  <si>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</si>
  <si>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josta</t>
  </si>
  <si>
    <t>jota</t>
  </si>
  <si>
    <t>jotain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</si>
  <si>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</si>
  <si>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</si>
  <si>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</si>
  <si>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</si>
  <si>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</si>
  <si>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</si>
  <si>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</si>
  <si>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</si>
  <si>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</si>
  <si>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</si>
  <si>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</si>
  <si>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</si>
  <si>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</si>
  <si>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</si>
  <si>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</si>
  <si>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</si>
  <si>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</si>
  <si>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</si>
  <si>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</si>
  <si>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</si>
  <si>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</si>
  <si>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</si>
  <si>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</si>
  <si>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</si>
  <si>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</si>
  <si>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</si>
  <si>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</si>
  <si>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</si>
  <si>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</si>
  <si>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</si>
  <si>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</si>
  <si>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</si>
  <si>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</si>
  <si>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kaikilta</t>
  </si>
  <si>
    <t>kaikkea</t>
  </si>
  <si>
    <t>kaikkia</t>
  </si>
  <si>
    <t>kaikkiaan</t>
  </si>
  <si>
    <t>kaikkialla</t>
  </si>
  <si>
    <t>kaikkialle</t>
  </si>
  <si>
    <t>kaikkialta</t>
  </si>
  <si>
    <t>kaikkien</t>
  </si>
  <si>
    <t>kaikkin</t>
  </si>
  <si>
    <t>kaksi</t>
  </si>
  <si>
    <t>kannalta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</si>
  <si>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</si>
  <si>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</si>
  <si>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</si>
  <si>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</si>
  <si>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</si>
  <si>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</si>
  <si>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</si>
  <si>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</si>
  <si>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</si>
  <si>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</si>
  <si>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</si>
  <si>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</si>
  <si>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</si>
  <si>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</si>
  <si>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</si>
  <si>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</si>
  <si>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</si>
  <si>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</si>
  <si>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</si>
  <si>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</si>
  <si>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</si>
  <si>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</si>
  <si>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</si>
  <si>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</si>
  <si>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</si>
  <si>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</si>
  <si>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</si>
  <si>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</si>
  <si>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</si>
  <si>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</si>
  <si>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</si>
  <si>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</si>
  <si>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</si>
  <si>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</si>
  <si>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</si>
  <si>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</si>
  <si>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</si>
  <si>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</si>
  <si>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</si>
  <si>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</si>
  <si>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</si>
  <si>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</si>
  <si>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</si>
  <si>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</si>
  <si>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</si>
  <si>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</si>
  <si>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</si>
  <si>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</si>
  <si>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</si>
  <si>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</si>
  <si>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</si>
  <si>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</si>
  <si>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</si>
  <si>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kuitenkaan</t>
  </si>
  <si>
    <t>kuka</t>
  </si>
  <si>
    <t>kukaan</t>
  </si>
  <si>
    <t>kukin</t>
  </si>
  <si>
    <t>kumpainen</t>
  </si>
  <si>
    <t>kumpainenkaan</t>
  </si>
  <si>
    <t>kumpi</t>
  </si>
  <si>
    <t>kumpikaan</t>
  </si>
  <si>
    <t>kumpikin</t>
  </si>
  <si>
    <t>kuten</t>
  </si>
  <si>
    <t>kuuden</t>
  </si>
  <si>
    <t>kuusi</t>
  </si>
  <si>
    <t>kuutta</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</si>
  <si>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</si>
  <si>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</si>
  <si>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</si>
  <si>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</si>
  <si>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</si>
  <si>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</si>
  <si>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</si>
  <si>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</si>
  <si>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</si>
  <si>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</si>
  <si>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</si>
  <si>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</si>
  <si>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</si>
  <si>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</si>
  <si>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</si>
  <si>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</si>
  <si>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</si>
  <si>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</si>
  <si>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</si>
  <si>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</si>
  <si>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</si>
  <si>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</si>
  <si>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</si>
  <si>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</si>
  <si>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</si>
  <si>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</si>
  <si>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</si>
  <si>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</si>
  <si>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</si>
  <si>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</si>
  <si>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</si>
  <si>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</si>
  <si>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</si>
  <si>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</si>
  <si>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</si>
  <si>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</si>
  <si>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</si>
  <si>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</si>
  <si>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</si>
  <si>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</si>
  <si>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</si>
  <si>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</si>
  <si>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</si>
  <si>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</si>
  <si>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</si>
  <si>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</si>
  <si>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</si>
  <si>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</si>
  <si>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</si>
  <si>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</si>
  <si>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</si>
  <si>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moi</t>
  </si>
  <si>
    <t>molemmat</t>
  </si>
  <si>
    <t>mones</t>
  </si>
  <si>
    <t>monesti</t>
  </si>
  <si>
    <t>monet</t>
  </si>
  <si>
    <t>moni</t>
  </si>
  <si>
    <t>moniaalla</t>
  </si>
  <si>
    <t>moniaalle</t>
  </si>
  <si>
    <t>moniaalta</t>
  </si>
  <si>
    <t>monta</t>
  </si>
  <si>
    <t>muassa</t>
  </si>
  <si>
    <t>muiden</t>
  </si>
  <si>
    <t>muita</t>
  </si>
  <si>
    <t>muka</t>
  </si>
  <si>
    <t>mukaan</t>
  </si>
  <si>
    <t>mukaansa</t>
  </si>
  <si>
    <t>muu</t>
  </si>
  <si>
    <t>muualla</t>
  </si>
  <si>
    <t>muualle</t>
  </si>
  <si>
    <t>muualta</t>
  </si>
  <si>
    <t>muuanne</t>
  </si>
  <si>
    <t>muulloin</t>
  </si>
  <si>
    <t>muun</t>
  </si>
  <si>
    <t>muut</t>
  </si>
  <si>
    <t>muuta</t>
  </si>
  <si>
    <t>muutama</t>
  </si>
  <si>
    <t>muutaman</t>
  </si>
  <si>
    <t>muuten</t>
  </si>
  <si>
    <t>myöhemmin</t>
  </si>
  <si>
    <t>myöskään</t>
  </si>
  <si>
    <t>myöskin</t>
  </si>
  <si>
    <t>myötä</t>
  </si>
  <si>
    <t>näiden</t>
  </si>
  <si>
    <t>näin</t>
  </si>
  <si>
    <t>näissä</t>
  </si>
  <si>
    <t>näissähin</t>
  </si>
  <si>
    <t>näissälle</t>
  </si>
  <si>
    <t>näissältä</t>
  </si>
  <si>
    <t>näissästä</t>
  </si>
  <si>
    <t>nämä</t>
  </si>
  <si>
    <t>ne</t>
  </si>
  <si>
    <t>neljä</t>
  </si>
  <si>
    <t>neljää</t>
  </si>
  <si>
    <t>neljän</t>
  </si>
  <si>
    <t>niiden</t>
  </si>
  <si>
    <t>niistä</t>
  </si>
  <si>
    <t>niitä</t>
  </si>
  <si>
    <t>noin</t>
  </si>
  <si>
    <t>nopeammin</t>
  </si>
  <si>
    <t>nopeasti</t>
  </si>
  <si>
    <t>nopeiten</t>
  </si>
  <si>
    <t>nro</t>
  </si>
  <si>
    <t>nuo</t>
  </si>
  <si>
    <t>nyt</t>
  </si>
  <si>
    <t>ohi</t>
  </si>
  <si>
    <t>oikein</t>
  </si>
  <si>
    <t>ole</t>
  </si>
  <si>
    <t>olen</t>
  </si>
  <si>
    <t>olet</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</si>
  <si>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</si>
  <si>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</si>
  <si>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</si>
  <si>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</si>
  <si>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</si>
  <si>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</si>
  <si>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</si>
  <si>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</si>
  <si>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</si>
  <si>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</si>
  <si>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</si>
  <si>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</si>
  <si>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</si>
  <si>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</si>
  <si>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</si>
  <si>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</si>
  <si>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</si>
  <si>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</si>
  <si>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</si>
  <si>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</si>
  <si>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</si>
  <si>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</si>
  <si>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</si>
  <si>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</si>
  <si>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</si>
  <si>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</si>
  <si>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</si>
  <si>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</si>
  <si>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</si>
  <si>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</si>
  <si>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</si>
  <si>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</si>
  <si>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</si>
  <si>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</si>
  <si>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</si>
  <si>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</si>
  <si>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</si>
  <si>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</si>
  <si>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</si>
  <si>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</si>
  <si>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</si>
  <si>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</si>
  <si>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</si>
  <si>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</si>
  <si>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</si>
  <si>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</si>
  <si>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</si>
  <si>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</si>
  <si>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</si>
  <si>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</si>
  <si>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</si>
  <si>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</si>
  <si>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</si>
  <si>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</si>
  <si>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</si>
  <si>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</si>
  <si>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</si>
  <si>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</si>
  <si>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</si>
  <si>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</si>
  <si>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</si>
  <si>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</si>
  <si>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</si>
  <si>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</si>
  <si>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</si>
  <si>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</si>
  <si>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</si>
  <si>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</si>
  <si>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</si>
  <si>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</si>
  <si>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</si>
  <si>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</si>
  <si>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</si>
  <si>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</si>
  <si>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</si>
  <si>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</si>
  <si>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</si>
  <si>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</si>
  <si>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</si>
  <si>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</si>
  <si>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seuraavat</t>
  </si>
  <si>
    <t>siellä</t>
  </si>
  <si>
    <t>sieltä</t>
  </si>
  <si>
    <t>siihen</t>
  </si>
  <si>
    <t>siinä</t>
  </si>
  <si>
    <t>siis</t>
  </si>
  <si>
    <t>sijaan</t>
  </si>
  <si>
    <t>siksi</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</si>
  <si>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</si>
  <si>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</si>
  <si>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</si>
  <si>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</si>
  <si>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</si>
  <si>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</si>
  <si>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</si>
  <si>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</si>
  <si>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</si>
  <si>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</si>
  <si>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</si>
  <si>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</si>
  <si>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</si>
  <si>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</si>
  <si>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</si>
  <si>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</si>
  <si>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</si>
  <si>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</si>
  <si>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</si>
  <si>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suuri</t>
  </si>
  <si>
    <t>suuria</t>
  </si>
  <si>
    <t>suurin</t>
  </si>
  <si>
    <t>suurten</t>
  </si>
  <si>
    <t>taa</t>
  </si>
  <si>
    <t>täällä</t>
  </si>
  <si>
    <t>täältä</t>
  </si>
  <si>
    <t>taas</t>
  </si>
  <si>
    <t>taemmas</t>
  </si>
  <si>
    <t>tähän</t>
  </si>
  <si>
    <t>takaa</t>
  </si>
  <si>
    <t>takaisin</t>
  </si>
  <si>
    <t>takana</t>
  </si>
  <si>
    <t>takia</t>
  </si>
  <si>
    <t>tällä</t>
  </si>
  <si>
    <t>tällöin</t>
  </si>
  <si>
    <t>tämän</t>
  </si>
  <si>
    <t>tänä</t>
  </si>
  <si>
    <t>tänne</t>
  </si>
  <si>
    <t>tapauksessa</t>
  </si>
  <si>
    <t>tässä</t>
  </si>
  <si>
    <t>tästä</t>
  </si>
  <si>
    <t>tätä</t>
  </si>
  <si>
    <t>täten</t>
  </si>
  <si>
    <t>täysin</t>
  </si>
  <si>
    <t>täytyvät</t>
  </si>
  <si>
    <t>täytyy</t>
  </si>
  <si>
    <t>te</t>
  </si>
  <si>
    <t>tietysti</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</si>
  <si>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</si>
  <si>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</si>
  <si>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</si>
  <si>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</si>
  <si>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</si>
  <si>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</si>
  <si>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</si>
  <si>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</si>
  <si>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</si>
  <si>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</si>
  <si>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</si>
  <si>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</si>
  <si>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</si>
  <si>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</si>
  <si>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</si>
  <si>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</si>
  <si>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</si>
  <si>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</si>
  <si>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</si>
  <si>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</si>
  <si>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</si>
  <si>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</si>
  <si>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</si>
  <si>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</si>
  <si>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</si>
  <si>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</si>
  <si>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</si>
  <si>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</si>
  <si>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</si>
  <si>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</si>
  <si>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</si>
  <si>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</si>
  <si>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</si>
  <si>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</si>
  <si>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</si>
  <si>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</si>
  <si>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</si>
  <si>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</si>
  <si>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</si>
  <si>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</si>
  <si>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</si>
  <si>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</si>
  <si>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</si>
  <si>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</si>
  <si>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</si>
  <si>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</si>
  <si>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</si>
  <si>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</si>
  <si>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</si>
  <si>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</si>
  <si>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</si>
  <si>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</si>
  <si>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</si>
  <si>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</si>
  <si>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</si>
  <si>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</si>
  <si>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</si>
  <si>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</si>
  <si>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</si>
  <si>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</si>
  <si>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</si>
  <si>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</si>
  <si>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</si>
  <si>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vähemmän</t>
  </si>
  <si>
    <t>vähintään</t>
  </si>
  <si>
    <t>vähiten</t>
  </si>
  <si>
    <t>vai</t>
  </si>
  <si>
    <t>vaiheessa</t>
  </si>
  <si>
    <t>vaikea</t>
  </si>
  <si>
    <t>vaikean</t>
  </si>
  <si>
    <t>vaikeat</t>
  </si>
  <si>
    <t>vaikeilla</t>
  </si>
  <si>
    <t>vaikeille</t>
  </si>
  <si>
    <t>vaikeilta</t>
  </si>
  <si>
    <t>vaikeissa</t>
  </si>
  <si>
    <t>vaikeista</t>
  </si>
  <si>
    <t>vaikka</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</si>
  <si>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</si>
  <si>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</si>
  <si>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</si>
  <si>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</si>
  <si>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</si>
  <si>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</si>
  <si>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</si>
  <si>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</si>
  <si>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</si>
  <si>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</si>
  <si>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</si>
  <si>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</si>
  <si>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</si>
  <si>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</si>
  <si>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</si>
  <si>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</si>
  <si>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</si>
  <si>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</si>
  <si>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</si>
  <si>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</si>
  <si>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</si>
  <si>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</si>
  <si>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</si>
  <si>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</si>
  <si>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</si>
  <si>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</si>
  <si>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</si>
  <si>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</si>
  <si>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</si>
  <si>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</si>
  <si>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</si>
  <si>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</si>
  <si>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</si>
  <si>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</si>
  <si>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</si>
  <si>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</si>
  <si>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</si>
  <si>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</si>
  <si>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</si>
  <si>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</si>
  <si>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</si>
  <si>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</si>
  <si>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</si>
  <si>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</si>
  <si>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</si>
  <si>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</si>
  <si>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</si>
  <si>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</si>
  <si>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</si>
  <si>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</si>
  <si>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</si>
  <si>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</si>
  <si>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</si>
  <si>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</si>
  <si>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</si>
  <si>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</si>
  <si>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</si>
  <si>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</si>
  <si>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</si>
  <si>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</si>
  <si>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</si>
  <si>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</si>
  <si>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</si>
  <si>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</si>
  <si>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</si>
  <si>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</si>
  <si>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</si>
  <si>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</si>
  <si>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</si>
  <si>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</si>
  <si>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</si>
  <si>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</si>
  <si>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</si>
  <si>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</si>
  <si>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</si>
  <si>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</si>
  <si>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</si>
  <si>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</si>
  <si>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</si>
  <si>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</si>
  <si>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</si>
  <si>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</si>
  <si>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</si>
  <si>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</si>
  <si>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</si>
  <si>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</si>
  <si>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</si>
  <si>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</si>
  <si>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</si>
  <si>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</si>
  <si>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</si>
  <si>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</si>
  <si>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</si>
  <si>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</si>
  <si>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</si>
  <si>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</si>
  <si>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</si>
  <si>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</si>
  <si>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</si>
  <si>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</si>
  <si>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https://talouskurssi.fi/</t>
  </si>
  <si>
    <t>https://twitter.com/HelsinkiGSE/status/1448530102837514240</t>
  </si>
  <si>
    <t>https://twitter.com/helsinkigse/status/1448530102837514240</t>
  </si>
  <si>
    <t>https://www.ekonomit.fi/ajankohtaista/tule-mukaan-talouskinkereille-opi-olennainen-taloudesta-viihdyttavasti-julia-thurenin-ja-vieraiden-seurassa/</t>
  </si>
  <si>
    <t>https://twitter.com/IdaLevanen/status/1448555809940643840</t>
  </si>
  <si>
    <t>https://areena.yle.fi/audio/1-50940059?utm_source=twitter-share</t>
  </si>
  <si>
    <t>https://twitter.com/OPHelsinki/status/1448647975987650570</t>
  </si>
  <si>
    <t>https://twitter.com/matiasmakynen/status/1448626251804053506</t>
  </si>
  <si>
    <t>https://twitter.com/AtteHarjanne/status/1448617819982241796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</si>
  <si>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</si>
  <si>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</si>
  <si>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</si>
  <si>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</si>
  <si>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</si>
  <si>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</si>
  <si>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</si>
  <si>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</si>
  <si>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</si>
  <si>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</si>
  <si>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</si>
  <si>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</si>
  <si>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ekonomit.fi</t>
  </si>
  <si>
    <t>Top Domains in Tweet in G1</t>
  </si>
  <si>
    <t>Top Domains in Tweet in G2</t>
  </si>
  <si>
    <t>Top Domains in Tweet in G3</t>
  </si>
  <si>
    <t>Top Domains in Tweet in G4</t>
  </si>
  <si>
    <t>Top Domains in Tweet in G5</t>
  </si>
  <si>
    <t>Top Domains in Tweet</t>
  </si>
  <si>
    <t>Top Hashtags in Tweet in Entire Graph</t>
  </si>
  <si>
    <t>jatkuvaoppiminen</t>
  </si>
  <si>
    <t>opmukana</t>
  </si>
  <si>
    <t>Top Hashtags in Tweet in G1</t>
  </si>
  <si>
    <t>Top Hashtags in Tweet in G2</t>
  </si>
  <si>
    <t>Top Hashtags in Tweet in G3</t>
  </si>
  <si>
    <t>Top Hashtags in Tweet in G4</t>
  </si>
  <si>
    <t>Top Hashtags in Tweet in G5</t>
  </si>
  <si>
    <t>Top Hashtags in Tweet</t>
  </si>
  <si>
    <t>talouskurssi jatkuvaoppiminen verkkokurssi kansalaistaito mooc talous</t>
  </si>
  <si>
    <t>talouskurssi talouskinkerit opmukana mitentaloustoimii</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</si>
  <si>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</si>
  <si>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</si>
  <si>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</si>
  <si>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</si>
  <si>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</si>
  <si>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</si>
  <si>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</si>
  <si>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</si>
  <si>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talous,toimii</t>
  </si>
  <si>
    <t>aaltouniversity,helsinkiuni</t>
  </si>
  <si>
    <t>#talouskurssi,aaltouniversity</t>
  </si>
  <si>
    <t>taloudesta,vaikutuksista</t>
  </si>
  <si>
    <t>vaikutuksista,elämäämme</t>
  </si>
  <si>
    <t>toimii,#talouskurssi</t>
  </si>
  <si>
    <t>halusimmepa,talous</t>
  </si>
  <si>
    <t>talous,määrittelee</t>
  </si>
  <si>
    <t>määrittelee,monella</t>
  </si>
  <si>
    <t>monella,elämäämme</t>
  </si>
  <si>
    <t>Top Word Pairs in Tweet in G1</t>
  </si>
  <si>
    <t>elämäämme,julkaisseet</t>
  </si>
  <si>
    <t>Top Word Pairs in Tweet in G2</t>
  </si>
  <si>
    <t>Top Word Pairs in Tweet in G3</t>
  </si>
  <si>
    <t>Top Word Pairs in Tweet in G4</t>
  </si>
  <si>
    <t>Top Word Pairs in Tweet in G5</t>
  </si>
  <si>
    <t>Top Word Pairs in Tweet</t>
  </si>
  <si>
    <t>aaltouniversity,helsinkiuni  #talouskurssi,aaltouniversity  taloudesta,vaikutuksista  vaikutuksista,elämäämme  talous,toimii  halusimmepa,talous  talous,määrittelee  määrittelee,monella  monella,elämäämme  elämäämme,julkaisseet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</si>
  <si>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</si>
  <si>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</si>
  <si>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</si>
  <si>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</si>
  <si>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</si>
  <si>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</si>
  <si>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</si>
  <si>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</si>
  <si>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</si>
  <si>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</si>
  <si>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</si>
  <si>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</si>
  <si>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</si>
  <si>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</si>
  <si>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</si>
  <si>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</si>
  <si>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</si>
  <si>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</si>
  <si>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</si>
  <si>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</si>
  <si>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</si>
  <si>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</si>
  <si>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https://www.ekonomit.fi/ajankohtaista/tule-mukaan-talouskinkereille-opi-olennainen-taloudesta-viihdyttavasti-julia-thurenin-ja-vieraiden-seurassa/ https://twitter.com/IdaLevanen/status/1448555809940643840 https://twitter.com/HelsinkiGSE/status/1448530102837514240</t>
  </si>
  <si>
    <t>URLs in Tweet by Salience</t>
  </si>
  <si>
    <t>Domains in Tweet by Count</t>
  </si>
  <si>
    <t>twitter.com ekonomit.fi</t>
  </si>
  <si>
    <t>Domains in Tweet by Salience</t>
  </si>
  <si>
    <t>Hashtags in Tweet by Count</t>
  </si>
  <si>
    <t>talouskurssi talouskinkerit mitentaloustoimii</t>
  </si>
  <si>
    <t>Hashtags in Tweet by Salience</t>
  </si>
  <si>
    <t>talouskinkerit mitentaloustoimii talouskurssi</t>
  </si>
  <si>
    <t>Top Words in Tweet by Count</t>
  </si>
  <si>
    <t>olitpa taloudesta mitä mieltä tahansa niin tämä kurssi kannattaa suorittaa</t>
  </si>
  <si>
    <t>talous elämäämme ja halusimmepa tai emme määrittelee monella tavalla siksi</t>
  </si>
  <si>
    <t>talous vaikuttaa mainiolta kurssilta kannattaa tutustua laadukas sisältö avoimesti tutustuttavissa</t>
  </si>
  <si>
    <t>ja mahtavaa helsinkigse toi kaikille avoimen maksuttoman taloustieten verkkokurssin opiskelu</t>
  </si>
  <si>
    <t>nyt on jälleen kova suorastaan must hyvä jatko helsinkiuni vastuullisuus</t>
  </si>
  <si>
    <t>kurssin kuuntele radiosuomi klo 12 18 alkaen kun akateeminen johtaja</t>
  </si>
  <si>
    <t>kurssin talous elämäämme ja kuuntele radiosuomi klo 12 18 alkaen</t>
  </si>
  <si>
    <t>tänään helsinkigse julkaisi miten talous toimii verkkokurssin heti perään toinen</t>
  </si>
  <si>
    <t>miten ja leipä löytää pöytäämme varallisuus maailmassa jakautuu kuinka talous</t>
  </si>
  <si>
    <t>kaikille on miten talous toimii avoin verkkokurssi tarkastelee talouden vaikutuksia</t>
  </si>
  <si>
    <t>Top Words in Tweet by Salience</t>
  </si>
  <si>
    <t>ja helsinkigse julkaisi toimii verkkokurssin heti perään toinen ilouutinen suomenekonomit</t>
  </si>
  <si>
    <t>Top Word Pairs in Tweet by Count</t>
  </si>
  <si>
    <t>olitpa,taloudesta  taloudesta,mitä  mitä,mieltä  mieltä,tahansa  tahansa,niin  niin,tämä  tämä,kurssi  kurssi,kannattaa  kannattaa,suorittaa  suorittaa,hieno</t>
  </si>
  <si>
    <t>halusimmepa,tai  tai,emme  emme,talous  talous,määrittelee  määrittelee,monella  monella,tavalla  tavalla,elämäämme  elämäämme,siksi  siksi,olemme  olemme,tänään</t>
  </si>
  <si>
    <t>vaikuttaa,mainiolta  mainiolta,kurssilta  kurssilta,kannattaa  kannattaa,tutustua  tutustua,laadukas  laadukas,sisältö  sisältö,avoimesti  avoimesti,tutustuttavissa  tutustuttavissa,myös  myös,opintopisteitä</t>
  </si>
  <si>
    <t>mahtavaa,helsinkigse  helsinkigse,toi  toi,kaikille  kaikille,avoimen  avoimen,ja  ja,maksuttoman  maksuttoman,taloustieten  taloustieten,verkkokurssin  verkkokurssin,opiskelu  opiskelu,ja</t>
  </si>
  <si>
    <t>nyt,on  on,jälleen  jälleen,kova  kova,suorastaan  suorastaan,must  must,hyvä  hyvä,jatko  jatko,helsinkiuni  helsinkiuni,vastuullisuus  vastuullisuus,ja</t>
  </si>
  <si>
    <t>kuuntele,radiosuomi  radiosuomi,klo  klo,12  12,18  18,alkaen  alkaen,kun  kun,kurssin  kurssin,akateeminen  akateeminen,johtaja  johtaja,prof</t>
  </si>
  <si>
    <t>tästähän,tuli  tuli,ihan  ihan,mielettömän  mielettömän,hyvä  hyvä,#talouskurssi  #talouskurssi,#taloustiede</t>
  </si>
  <si>
    <t>#talouskurssi,on  on,kaikille  kaikille,avoin  avoin,verkkokurssi  verkkokurssi,taloudesta  taloudesta,ja  ja,sen  sen,vaikutuksesta  vaikutuksesta,meihin  meihin,jokaiseen</t>
  </si>
  <si>
    <t>maksuton,ja  ja,kaikille  kaikille,avoin  avoin,#talouskurssi  #talouskurssi,siitä  siitä,miten  miten,leipä  leipä,löytää  löytää,pöytäämme  pöytäämme,varallisuus</t>
  </si>
  <si>
    <t>kaikille,avoin  avoin,#verkkokurssi  #verkkokurssi,taloudesta  taloudesta,ja  ja,sen  sen,vaikutuksista  vaikutuksista,elämäämme  elämäämme,#talouskurssi  #talouskurssi,aaltouniversity  aaltouniversity,helsinkiuni</t>
  </si>
  <si>
    <t>tämä,menee  menee,kyllä  kyllä,heti  heti,to  to,do  do,listalle  listalle,kiinnostavaa  kiinnostavaa,#talouskurssi  #talouskurssi,aaltouniversity  aaltouniversity,helsinkiuni</t>
  </si>
  <si>
    <t>ettei,pääsisi  pääsisi,ylpistymään  ylpistymään,#talouskurssi  #talouskurssi,on  on,kuitenkin  kuitenkin,vain  vain,vähän  vähän,tappiolla  tappiolla,höpöhöpölle  höpöhöpölle,suomi</t>
  </si>
  <si>
    <t>tänään,helsinkigse  helsinkigse,julkaisi  julkaisi,miten  miten,talous  talous,toimii  toimii,verkkokurssin  verkkokurssin,heti  heti,perään  perään,toinen  toinen,ilouutinen</t>
  </si>
  <si>
    <t>miten,leipä  leipä,löytää  löytää,pöytäämme  pöytäämme,miten  miten,varallisuus  varallisuus,maailmassa  maailmassa,jakautuu  jakautuu,ja  ja,kuinka  kuinka,talous</t>
  </si>
  <si>
    <t>helsinkigse,verkkokurssin  verkkokurssin,ovat  ovat,toteuttaneet  toteuttaneet,taloustieteen  taloustieteen,keskus  keskus,helsinki  helsinki,gse  gse,ja  ja,rahoittaneet  rahoittaneet,helsingin</t>
  </si>
  <si>
    <t>miten,talous  talous,toimii  toimii,kaikille  kaikille,avoin  avoin,verkkokurssi  verkkokurssi,tarkastelee  tarkastelee,talouden  talouden,vaikutuksia  vaikutuksia,elämäämme  elämäämme,kurssi</t>
  </si>
  <si>
    <t>Top Word Pairs in Tweet by Salience</t>
  </si>
  <si>
    <t>192, 192, 192</t>
  </si>
  <si>
    <t>Red</t>
  </si>
  <si>
    <t>Green</t>
  </si>
  <si>
    <t>G1: talouskurssi jatkuvaoppiminen verkkokurssi kansalaistaito mooc talous</t>
  </si>
  <si>
    <t>G4: talouskurssi taloustiede</t>
  </si>
  <si>
    <t>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&lt;value&gt;GreaterThanOrEqual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t>
  </si>
  <si>
    <t>ue&gt;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t>
  </si>
  <si>
    <t>juuhaa</t>
  </si>
  <si>
    <t>k21900</t>
  </si>
  <si>
    <t>niinistos</t>
  </si>
  <si>
    <t>sarilindblom</t>
  </si>
  <si>
    <t>ihantola</t>
  </si>
  <si>
    <t>ismokainulainen</t>
  </si>
  <si>
    <t>ototterman</t>
  </si>
  <si>
    <t>laurarissanen</t>
  </si>
  <si>
    <t>nynnyki</t>
  </si>
  <si>
    <t>boulderd</t>
  </si>
  <si>
    <t>troutamaa</t>
  </si>
  <si>
    <t>hirppis</t>
  </si>
  <si>
    <t>susa_makinen</t>
  </si>
  <si>
    <t>tedapter</t>
  </si>
  <si>
    <t>martinpaasi</t>
  </si>
  <si>
    <t>visafin</t>
  </si>
  <si>
    <t>jouni_linna</t>
  </si>
  <si>
    <t>jukka_klemetti</t>
  </si>
  <si>
    <t>mikaelcollan</t>
  </si>
  <si>
    <t>esahamal</t>
  </si>
  <si>
    <t>villekopra</t>
  </si>
  <si>
    <t>msaariaho</t>
  </si>
  <si>
    <t>patriziolaina</t>
  </si>
  <si>
    <t>eijaniskanen1</t>
  </si>
  <si>
    <t>Onko hieno idea ja näyttävän oloinen toteutus. Laadukas taloutieteen perusteiden kurssi maksutta verkossa. Pitääpä itsekin käyskennellä läpi.
Kiitos @HelsinkiGSE @helsinkiuni @SuomenPankki @SuomenEkonomit 
https://t.co/NuMY1PYCzd</t>
  </si>
  <si>
    <t>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</si>
  <si>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Perustieto ja ymmärrys taloudesta on asia, joka jokaisella kansalaisella tulisi olla. Tähän asiaan opastusta tarjoaa juuri julkaistu avoin "Miten Talous Toimii?" verkkokurssi. Erinomainen mahdollisuus oppia taloudesta monipuolisest…https://t.co/wh4KoCS7cB https://t.co/lPKzWhTIL1</t>
  </si>
  <si>
    <t>Mikä uusi mahdollisuus lisätä osaamistaan. Avoin talouskurssi meille kaikille @HelsinkiGSE @AaltoUniversity @helsinkiuni https://t.co/I0HLaX39KE</t>
  </si>
  <si>
    <t>_xD83E__xDDD0__xD83D__xDC49_”Verkkokurssi on avoin kaikille ja soveltuu parhaiten opinnoissaan toiselle asteelle ehtineille tai sitä vanhemmille. Verkkokurssille voi osallistua 14.10. alkaen osoitteessa https://t.co/FjO4XxgwkS” https://t.co/Gz1ZV3ggR2</t>
  </si>
  <si>
    <t>Ihan helmeä...
Taloustieteen keskus Helsinki GSE:n tekemä avoin verkkokurssi "Miten talous toimii".
https://t.co/FsyMnocfvm https://t.co/fL4YYqCvlv</t>
  </si>
  <si>
    <t>Miten talous toimii? -verkkokurssi kertoo siitä, miten leipä löytää pöytäämme, varallisuus maailmassa jakautuu ja maailman suuret ongelmat syntyvät ja voidaan myös ratkaista. https://t.co/iOybLKrzri</t>
  </si>
  <si>
    <t>Miksi kulta on arvokkaampaa kuin vesi, vaikka vesi on tärkeämpää? Mistä raha tulee? Mitä hyötyä on pankeista ja osakemarkkinoista?
Tule mukaan Miten talous toimii? -verkkokurssille, jossa saat vastauksen kysymyksiin _xD83D__xDC49_ https://t.co/xkN0rAlCWA @HelsinkiGSE #mitentaloustoimii https://t.co/EOdFT5ZOgd</t>
  </si>
  <si>
    <t>Tämä! Taloutta mystifioidaan turhankin paljon ja samalla se vaikuttaa monin tavoin elämäämme. 
Nyt on tarjolla kaikille avoin ja maksuton verkkokurssi. Kannattaa käydä tutustumassa: https://t.co/GXkRhfxnJJ 
#talous #Suomi #jatkuvaoppiminen https://t.co/l3sYFXKVOZ</t>
  </si>
  <si>
    <t>Sanon nyt suoraan. Talouden perusteita kannattaa yrittää ymmärtää ja mikä parasta niiden oppiminen on tehty helpommaksi kuin koskaan. https://t.co/O1h2YbCTWO</t>
  </si>
  <si>
    <t>Suomalainen avoin talouskurssi netissä julkaistu. Ilmeisesti roolimallina kansainvälinen CORE-projekti. Nopealla vilkaisulla näytti ihan onnistuneelta kokonaisuudelta ja rahan luontikin opetettu oikein. _xD83D__xDC4D_  
https://t.co/N124oxEYaU</t>
  </si>
  <si>
    <t>https://www.linkedin.com/slink?code=dNTUEdbA https://www.linkedin.com/slink?code=dN5D_Pwk</t>
  </si>
  <si>
    <t>https://talouskurssi.fi/ https://twitter.com/troutamaa/status/1448600142685290504</t>
  </si>
  <si>
    <t>linkedin.com linkedin.com</t>
  </si>
  <si>
    <t>op.fi</t>
  </si>
  <si>
    <t>talous suomi jatkuvaoppiminen</t>
  </si>
  <si>
    <t>08:30:06</t>
  </si>
  <si>
    <t>08:32:41</t>
  </si>
  <si>
    <t>08:37:56</t>
  </si>
  <si>
    <t>08:40:08</t>
  </si>
  <si>
    <t>08:55:30</t>
  </si>
  <si>
    <t>09:09:33</t>
  </si>
  <si>
    <t>09:30:29</t>
  </si>
  <si>
    <t>10:34:41</t>
  </si>
  <si>
    <t>10:47:04</t>
  </si>
  <si>
    <t>10:50:10</t>
  </si>
  <si>
    <t>11:33:37</t>
  </si>
  <si>
    <t>11:39:38</t>
  </si>
  <si>
    <t>10:42:42</t>
  </si>
  <si>
    <t>12:15:09</t>
  </si>
  <si>
    <t>07:06:51</t>
  </si>
  <si>
    <t>08:42:26</t>
  </si>
  <si>
    <t>08:42:50</t>
  </si>
  <si>
    <t>12:55:39</t>
  </si>
  <si>
    <t>13:43:03</t>
  </si>
  <si>
    <t>13:54:24</t>
  </si>
  <si>
    <t>15:35:10</t>
  </si>
  <si>
    <t>15:35:13</t>
  </si>
  <si>
    <t>07:05:31</t>
  </si>
  <si>
    <t>09:18:24</t>
  </si>
  <si>
    <t>09:18:30</t>
  </si>
  <si>
    <t>13:43:42</t>
  </si>
  <si>
    <t>16:16:42</t>
  </si>
  <si>
    <t>16:27:49</t>
  </si>
  <si>
    <t>16:37:27</t>
  </si>
  <si>
    <t>08:24:18</t>
  </si>
  <si>
    <t>08:41:37</t>
  </si>
  <si>
    <t>13:35:25</t>
  </si>
  <si>
    <t>13:39:18</t>
  </si>
  <si>
    <t>08:36:21</t>
  </si>
  <si>
    <t>17:08:12</t>
  </si>
  <si>
    <t>17:13:22</t>
  </si>
  <si>
    <t>08:27:15</t>
  </si>
  <si>
    <t>08:32:26</t>
  </si>
  <si>
    <t>08:27:39</t>
  </si>
  <si>
    <t>17:27:02</t>
  </si>
  <si>
    <t>06:55:02</t>
  </si>
  <si>
    <t>06:58:04</t>
  </si>
  <si>
    <t>17:34:31</t>
  </si>
  <si>
    <t>17:09:19</t>
  </si>
  <si>
    <t>13:17:26</t>
  </si>
  <si>
    <t>17:39:29</t>
  </si>
  <si>
    <t>1448566774245507079</t>
  </si>
  <si>
    <t>1448567421426601986</t>
  </si>
  <si>
    <t>1448568744318586884</t>
  </si>
  <si>
    <t>1448569300240027652</t>
  </si>
  <si>
    <t>1448573163907002368</t>
  </si>
  <si>
    <t>1448576701164892163</t>
  </si>
  <si>
    <t>1448581970955575306</t>
  </si>
  <si>
    <t>1448598125841731584</t>
  </si>
  <si>
    <t>1448601240502427650</t>
  </si>
  <si>
    <t>1448602022933110787</t>
  </si>
  <si>
    <t>1448612955050938371</t>
  </si>
  <si>
    <t>1448614469278515204</t>
  </si>
  <si>
    <t>1448600142685290504</t>
  </si>
  <si>
    <t>1448623410687397889</t>
  </si>
  <si>
    <t>1448545823650893829</t>
  </si>
  <si>
    <t>1448569876428300289</t>
  </si>
  <si>
    <t>1448569977515163649</t>
  </si>
  <si>
    <t>1448633599511699457</t>
  </si>
  <si>
    <t>1448645530414895107</t>
  </si>
  <si>
    <t>1448648386064699393</t>
  </si>
  <si>
    <t>1448673745904848899</t>
  </si>
  <si>
    <t>1448673759280472069</t>
  </si>
  <si>
    <t>1448545488890966017</t>
  </si>
  <si>
    <t>1448578926595432456</t>
  </si>
  <si>
    <t>1448578954290507777</t>
  </si>
  <si>
    <t>1448645694135447553</t>
  </si>
  <si>
    <t>1448684195153334277</t>
  </si>
  <si>
    <t>1448686994540961795</t>
  </si>
  <si>
    <t>1448689420048162820</t>
  </si>
  <si>
    <t>1448565312585097217</t>
  </si>
  <si>
    <t>1448569671477829633</t>
  </si>
  <si>
    <t>1448644585660432387</t>
  </si>
  <si>
    <t>1448568344538386437</t>
  </si>
  <si>
    <t>1448697156949454857</t>
  </si>
  <si>
    <t>1448698457976365063</t>
  </si>
  <si>
    <t>1448567362073079813</t>
  </si>
  <si>
    <t>1448566154843279362</t>
  </si>
  <si>
    <t>1448701897062457353</t>
  </si>
  <si>
    <t>1448542848974983171</t>
  </si>
  <si>
    <t>1448543613814812672</t>
  </si>
  <si>
    <t>1448703782175580163</t>
  </si>
  <si>
    <t>1448697438705963016</t>
  </si>
  <si>
    <t>1448639082658140165</t>
  </si>
  <si>
    <t>1448705029662289920</t>
  </si>
  <si>
    <t>und</t>
  </si>
  <si>
    <t>LinkedIn</t>
  </si>
  <si>
    <t>Facelift-Cloud</t>
  </si>
  <si>
    <t>23,542135,61,427285 
24,1184937,61,427285 
24,1184937,61,836577 
23,542135,61,836577</t>
  </si>
  <si>
    <t>FI</t>
  </si>
  <si>
    <t>Tampere, Finland</t>
  </si>
  <si>
    <t>e3ba9e096a0fc232</t>
  </si>
  <si>
    <t>Tampere</t>
  </si>
  <si>
    <t>city</t>
  </si>
  <si>
    <t>Ville Kopra</t>
  </si>
  <si>
    <t>Juha Haataja _xD83C__xDDEB__xD83C__xDDEE__xD83C__xDFF3_️‍_xD83C__xDF08__xD83D__xDEB2__xD83C__xDF32__xD83C__xDDEA__xD83C__xDDFA__xD83C__xDF0D_</t>
  </si>
  <si>
    <t>Mikael Collan</t>
  </si>
  <si>
    <t>Jari Elo</t>
  </si>
  <si>
    <t>Susanna Niinistö-Sivuranta</t>
  </si>
  <si>
    <t>Esa Hämäläinen</t>
  </si>
  <si>
    <t>Sari Lindblom</t>
  </si>
  <si>
    <t>Petri Ihantola _xD83E__xDD39_</t>
  </si>
  <si>
    <t>Ismo Kainulainen</t>
  </si>
  <si>
    <t>Outi Tötterman</t>
  </si>
  <si>
    <t>Laura Rissanen</t>
  </si>
  <si>
    <t>Jenny Kilponen</t>
  </si>
  <si>
    <t>Ari Lindholm</t>
  </si>
  <si>
    <t>Tiina Routamaa</t>
  </si>
  <si>
    <t>Matti J. Hirvonen</t>
  </si>
  <si>
    <t>Susanna Mäkinen</t>
  </si>
  <si>
    <t>Ted Apter</t>
  </si>
  <si>
    <t>Martin Paasi</t>
  </si>
  <si>
    <t>Visa Noronen</t>
  </si>
  <si>
    <t>Jouni Linna</t>
  </si>
  <si>
    <t>Jukka Klemetti</t>
  </si>
  <si>
    <t>Patrizio Lainà</t>
  </si>
  <si>
    <t>Mikko Saariaho</t>
  </si>
  <si>
    <t>Eija Niskanen</t>
  </si>
  <si>
    <t>180761794</t>
  </si>
  <si>
    <t>1914301</t>
  </si>
  <si>
    <t>377462081</t>
  </si>
  <si>
    <t>54528806</t>
  </si>
  <si>
    <t>1345092698</t>
  </si>
  <si>
    <t>103578045</t>
  </si>
  <si>
    <t>822845206043172868</t>
  </si>
  <si>
    <t>80797487</t>
  </si>
  <si>
    <t>142208767</t>
  </si>
  <si>
    <t>3081257099</t>
  </si>
  <si>
    <t>74126884</t>
  </si>
  <si>
    <t>2472903367</t>
  </si>
  <si>
    <t>371540544</t>
  </si>
  <si>
    <t>3170468937</t>
  </si>
  <si>
    <t>626455003</t>
  </si>
  <si>
    <t>127041774</t>
  </si>
  <si>
    <t>411630138</t>
  </si>
  <si>
    <t>205680994</t>
  </si>
  <si>
    <t>3105291764</t>
  </si>
  <si>
    <t>4859946952</t>
  </si>
  <si>
    <t>726773282368802816</t>
  </si>
  <si>
    <t>860948498778382337</t>
  </si>
  <si>
    <t>320226904</t>
  </si>
  <si>
    <t>920628798130937857</t>
  </si>
  <si>
    <t>Työministerin valtiosihteeri // State Secretary to the Minister of Employment // Ekonomisti // Tapiolan demarit // Mielipiteet omia</t>
  </si>
  <si>
    <t>Walks in forests, swamps and fells. Commutes by bicycle.</t>
  </si>
  <si>
    <t>Working at VATT, Professor, Profitability analysis expert, Entrepreneur, PhD</t>
  </si>
  <si>
    <t>Suomen Ekonomit. Yltiöpäisen utelias. Kaiken mielenkiintoisen ja tärkeän (ja vähemmän tärkeän) puolesta.</t>
  </si>
  <si>
    <t>Intohimoja #koulutus #osaaminen #vuorovaikutus #hyvinvointi #johtaminen ja elämä. #PhD in #Education and I❤my job as #leader in @helsinkiuni #wearehelsinkiuni</t>
  </si>
  <si>
    <t>Hallintojohtaja / Universitetsdirektör / Registrar / Kanzler / DGS @Helsinkiuni Tweets on HE &amp; RD, Arts and Society._xD83C__xDDEB__xD83C__xDDEE__xD83C__xDDEA__xD83C__xDDFA__xD83C__xDDE9__xD83C__xDDEA__xD83C__xDFF3_️‍_xD83C__xDF08_</t>
  </si>
  <si>
    <t>Rector and Professor of Higher Education, University of Helsinki, psychologist @helsinkiunipeda @helsinkiuni #education #research #science</t>
  </si>
  <si>
    <t>A/Prof in Big Data #LearningAnalytics and director of the MOOC center at @helsinkiuni:  Educational data sci., sw engineer. #AI in and for #education. #Xoogler</t>
  </si>
  <si>
    <t>Kirjoittaja työskentelee Kevan sidosryhmäasiantuntijana. Mielipiteet omia.</t>
  </si>
  <si>
    <t>Aikuiskasvstustieteen opiskelija.  Sivuaine henkilöstöjohtaminen. Tampereen yliopisto.❤Adult Education and Work Related Teaching</t>
  </si>
  <si>
    <t>Helsingin kaupunkiympäristöltk @kokoomus @HSL_HRT hallitus   Kahden pojan äiti, ikuinen optimisti. Töissä @SivistysTA</t>
  </si>
  <si>
    <t>Yritysvastuuta ja viestintää _xD83D__xDCBB__xD83D__xDC1C_➡️ @OP_ryhma. Vapaa-ajalla puutarhatöitä ja kulttuuria. Oululainen juurilta☝_xD83C__xDFFC__xD83D__xDC75__xD83C__xDFFC_ She/her.</t>
  </si>
  <si>
    <t>BBA Business Economics | INTJ | Minä/Me | Well done is better than well said.
Interests: Sales/Marketing, Economics, IT, eCommerce, Politics, History &amp; Beer</t>
  </si>
  <si>
    <t>@OP_Ryhma Product Owner, säästäminen ja sijoittaminen, konttoriverkosto. Myös urheileva valokuvaaja, taidemaalari, vegaani ja vihreä. Kiinnostaa #ESG</t>
  </si>
  <si>
    <t>Pirkanmaan Osakesäästäjien pj @pirkosake, @osakeliitto vpj, energia-alalla töissä.(Twiitit ja mielipiteet omia) #oskl #sijoittaminen #energia #Tampere _xD83E__xDD13_</t>
  </si>
  <si>
    <t>Viestintää @OPRyhmä #brändi #asiakaskokemus #vastuullisuus #hyvinvointi #johtaminen</t>
  </si>
  <si>
    <t>Sivistysmetropoliitti. Lakimies. MSc EU Politics (#LSE). Erityisasiantuntija @SuomenEkonomit.
Varakaupunginvaltuutettu (kok.) #Helsinki. #EU lover.</t>
  </si>
  <si>
    <t>Asiakeskeisesti myös vähemmän vakavasti. Talousasiantuntija @NordnetFI riippumattomasti. @suomenekonomit pj, yrittäjä @recubator ja #rahapodi –isäntä.</t>
  </si>
  <si>
    <t>Politiikkaa, tiedettä ja taloutta seuraava toimittaja. Tukikohtana Berliini, toimintakenttänä maailma. Englanninkieliset twiitit tilillä @visanoronen</t>
  </si>
  <si>
    <t>Senior varainhoitaja. Mielipiteet omia, mutta silti verrattain maltillisia. @OP_Ryhma</t>
  </si>
  <si>
    <t>Taloutta, politiikkaa ja urheilua seuraava perheenisä, varainhoitaja OP Oulu</t>
  </si>
  <si>
    <t>VTT, pääekonomisti @STTKMikonkatu. Makrotalous, raha- ja finanssipolitiikka sekä työmarkkinat kiinnostaa. Twiitit edustavat henkilökohtaisia näkemyksiä.</t>
  </si>
  <si>
    <t>Chief Impact Officer @fintraffic_fi. Loving #traffic #travelling, good #food, #squash &amp; archipelago life. #impact #sustainability #finland</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</si>
  <si>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</si>
  <si>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Tampere Region, Finland</t>
  </si>
  <si>
    <t>FIN/Helsinki/Herttoniemi</t>
  </si>
  <si>
    <t>Espoo, Finland</t>
  </si>
  <si>
    <t>Berliini, Saksa</t>
  </si>
  <si>
    <t>Oulu, Suomi</t>
  </si>
  <si>
    <t>helsinkigse
Suomalainen avoin talouskurssi
netissä julkaistu. Ilmeisesti roolimallina
kansainvälinen CORE-projekti. Nopealla
vilkaisulla näytti ihan onnistuneelta
kokonaisuudelta ja rahan luontikin
opetettu oikein. _xD83D__xDC4D_ https://t.co/N124oxEYaU</t>
  </si>
  <si>
    <t>matiasmakynen
Onko hieno idea ja näyttävän oloinen
toteutus. Laadukas taloutieteen
perusteiden kurssi maksutta verkossa.
Pitääpä itsekin käyskennellä läpi.
Kiitos @HelsinkiGSE @helsinkiuni
@SuomenPankki @SuomenEkonomit https://t.co/NuMY1PYCzd</t>
  </si>
  <si>
    <t>villekopra
Onko hieno idea ja näyttävän oloinen
toteutus. Laadukas taloutieteen
perusteiden kurssi maksutta verkossa.
Pitääpä itsekin käyskennellä läpi.
Kiitos @HelsinkiGSE @helsinkiuni
@SuomenPankki @SuomenEkonomit https://t.co/NuMY1PYCzd</t>
  </si>
  <si>
    <t>juuhaa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</si>
  <si>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vatt_tutkimus
Perustieto ja ymmärrys taloudesta
on asia, joka jokaisella kansalaisella
tulisi olla. Tähän asiaan opastusta
tarjoaa juuri julkaistu avoin "Miten
Talous Toimii?" verkkokurssi. Erinomainen
mahdollisuus oppia taloudesta monipuolisest…https://t.co/wh4KoCS7cB
https://t.co/lPKzWhTIL1</t>
  </si>
  <si>
    <t>mikaelcollan
Perustieto ja ymmärrys taloudesta
on asia, joka jokaisella kansalaisella
tulisi olla. Tähän asiaan opastusta
tarjoaa juuri julkaistu avoin "Miten
Talous Toimii?" verkkokurssi. Erinomainen
mahdollisuus oppia taloudesta monipuolisest…https://t.co/wh4KoCS7cB
https://t.co/lPKzWhTIL1</t>
  </si>
  <si>
    <t>k21900
Onko hieno idea ja näyttävän oloinen
toteutus. Laadukas taloutieteen
perusteiden kurssi maksutta verkossa.
Pitääpä itsekin käyskennellä läpi.
Kiitos @HelsinkiGSE @helsinkiuni
@SuomenPankki @SuomenEkonomit https://t.co/NuMY1PYCzd</t>
  </si>
  <si>
    <t>niinistos
Mikä uusi mahdollisuus lisätä osaamistaan.
Avoin talouskurssi meille kaikille
@HelsinkiGSE @AaltoUniversity @helsinkiuni
https://t.co/I0HLaX39KE</t>
  </si>
  <si>
    <t>esahamal
Mikä uusi mahdollisuus lisätä osaamistaan.
Avoin talouskurssi meille kaikille
@HelsinkiGSE @AaltoUniversity @helsinkiuni
https://t.co/I0HLaX39KE</t>
  </si>
  <si>
    <t>sarilindblom
Mikä uusi mahdollisuus lisätä osaamistaan.
Avoin talouskurssi meille kaikille
@HelsinkiGSE @AaltoUniversity @helsinkiuni
https://t.co/I0HLaX39KE</t>
  </si>
  <si>
    <t>ihantola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</si>
  <si>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ismokainulainen
Onko hieno idea ja näyttävän oloinen
toteutus. Laadukas taloutieteen
perusteiden kurssi maksutta verkossa.
Pitääpä itsekin käyskennellä läpi.
Kiitos @HelsinkiGSE @helsinkiuni
@SuomenPankki @SuomenEkonomit https://t.co/NuMY1PYCzd</t>
  </si>
  <si>
    <t>ototterman
Mikä uusi mahdollisuus lisätä osaamistaan.
Avoin talouskurssi meille kaikille
@HelsinkiGSE @AaltoUniversity @helsinkiuni
https://t.co/I0HLaX39KE</t>
  </si>
  <si>
    <t>laurarissanen
Mikä uusi mahdollisuus lisätä osaamistaan.
Avoin talouskurssi meille kaikille
@HelsinkiGSE @AaltoUniversity @helsinkiuni
https://t.co/I0HLaX39KE</t>
  </si>
  <si>
    <t>nynnyki
_xD83E__xDDD0__xD83D__xDC49_”Verkkokurssi on avoin kaikille
ja soveltuu parhaiten opinnoissaan
toiselle asteelle ehtineille tai
sitä vanhemmille. Verkkokurssille
voi osallistua 14.10. alkaen osoitteessa
https://t.co/FjO4XxgwkS” https://t.co/Gz1ZV3ggR2</t>
  </si>
  <si>
    <t>boulderd
Ihan helmeä... Taloustieteen keskus
Helsinki GSE:n tekemä avoin verkkokurssi
"Miten talous toimii". https://t.co/FsyMnocfvm
https://t.co/fL4YYqCvlv</t>
  </si>
  <si>
    <t>troutamaa
Miten talous toimii? -verkkokurssi
kertoo siitä, miten leipä löytää
pöytäämme, varallisuus maailmassa
jakautuu ja maailman suuret ongelmat
syntyvät ja voidaan myös ratkaista.
https://t.co/iOybLKrzri</t>
  </si>
  <si>
    <t>hirppis
Miten talous toimii? -verkkokurssi
kertoo siitä, miten leipä löytää
pöytäämme, varallisuus maailmassa
jakautuu ja maailman suuret ongelmat
syntyvät ja voidaan myös ratkaista.
https://t.co/iOybLKrzri</t>
  </si>
  <si>
    <t>mikaparkkari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</si>
  <si>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susa_makinen
Miksi kulta on arvokkaampaa kuin
vesi, vaikka vesi on tärkeämpää?
Mistä raha tulee? Mitä hyötyä on
pankeista ja osakemarkkinoista?
Tule mukaan Miten talous toimii?
-verkkokurssille, jossa saat vastauksen
kysymyksiin _xD83D__xDC49_ https://t.co/xkN0rAlCWA
@HelsinkiGSE #mitentaloustoimii
https://t.co/EOdFT5ZOgd</t>
  </si>
  <si>
    <t>tedapter
Tämä! Taloutta mystifioidaan turhankin
paljon ja samalla se vaikuttaa
monin tavoin elämäämme. Nyt on
tarjolla kaikille avoin ja maksuton
verkkokurssi. Kannattaa käydä tutustumassa:
https://t.co/GXkRhfxnJJ #talous
#Suomi #jatkuvaoppiminen https://t.co/l3sYFXKVOZ</t>
  </si>
  <si>
    <t>martinpaasi
Tämä! Taloutta mystifioidaan turhankin
paljon ja samalla se vaikuttaa
monin tavoin elämäämme. Nyt on
tarjolla kaikille avoin ja maksuton
verkkokurssi. Kannattaa käydä tutustumassa:
https://t.co/GXkRhfxnJJ #talous
#Suomi #jatkuvaoppiminen https://t.co/l3sYFXKVOZ</t>
  </si>
  <si>
    <t>visafin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</si>
  <si>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jouni_linna
https://t.co/kGPnHu2eS7</t>
  </si>
  <si>
    <t>jukka_klemetti
Sanon nyt suoraan. Talouden perusteita
kannattaa yrittää ymmärtää ja mikä
parasta niiden oppiminen on tehty
helpommaksi kuin koskaan. https://t.co/O1h2YbCTWO</t>
  </si>
  <si>
    <t>jarijarvenpaa
Suomalainen avoin talouskurssi
netissä julkaistu. Ilmeisesti roolimallina
kansainvälinen CORE-projekti. Nopealla
vilkaisulla näytti ihan onnistuneelta
kokonaisuudelta ja rahan luontikin
opetettu oikein. _xD83D__xDC4D_ https://t.co/N124oxEYaU</t>
  </si>
  <si>
    <t>patriziolaina
Suomalainen avoin talouskurssi
netissä julkaistu. Ilmeisesti roolimallina
kansainvälinen CORE-projekti. Nopealla
vilkaisulla näytti ihan onnistuneelta
kokonaisuudelta ja rahan luontikin
opetettu oikein. _xD83D__xDC4D_ https://t.co/N124oxEYaU</t>
  </si>
  <si>
    <t>markkuilmari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</si>
  <si>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msaariaho
Onko hieno idea ja näyttävän oloinen
toteutus. Laadukas taloutieteen
perusteiden kurssi maksutta verkossa.
Pitääpä itsekin käyskennellä läpi.
Kiitos @HelsinkiGSE @helsinkiuni
@SuomenPankki @SuomenEkonomit https://t.co/NuMY1PYCzd</t>
  </si>
  <si>
    <t>eijaniskanen1
Suomalainen avoin talouskurssi
netissä julkaistu. Ilmeisesti roolimallina
kansainvälinen CORE-projekti. Nopealla
vilkaisulla näytti ihan onnistuneelta
kokonaisuudelta ja rahan luontikin
opetettu oikein. _xD83D__xDC4D_ https://t.co/N124oxEYaU</t>
  </si>
  <si>
    <t>G5</t>
  </si>
  <si>
    <t>G6</t>
  </si>
  <si>
    <t>191, 0, 0</t>
  </si>
  <si>
    <t>230, 120, 0</t>
  </si>
  <si>
    <t>mahdollisuus</t>
  </si>
  <si>
    <t>tiedätkö</t>
  </si>
  <si>
    <t>asuminen</t>
  </si>
  <si>
    <t>kallista</t>
  </si>
  <si>
    <t>talouskasvu</t>
  </si>
  <si>
    <t>syntyy</t>
  </si>
  <si>
    <t>lamoja</t>
  </si>
  <si>
    <t>työttömyyttä</t>
  </si>
  <si>
    <t>perehtyä</t>
  </si>
  <si>
    <t>taloustieteeseen</t>
  </si>
  <si>
    <t>maksuttomalla</t>
  </si>
  <si>
    <t>verkkokurssilla</t>
  </si>
  <si>
    <t>aloita</t>
  </si>
  <si>
    <t>qxjttuaw7r</t>
  </si>
  <si>
    <t>laadukas</t>
  </si>
  <si>
    <t>idea</t>
  </si>
  <si>
    <t>näyttävän</t>
  </si>
  <si>
    <t>oloinen</t>
  </si>
  <si>
    <t>toteutus</t>
  </si>
  <si>
    <t>taloutieteen</t>
  </si>
  <si>
    <t>perusteiden</t>
  </si>
  <si>
    <t>maksutta</t>
  </si>
  <si>
    <t>verkossa</t>
  </si>
  <si>
    <t>pitääpä</t>
  </si>
  <si>
    <t>itsekin</t>
  </si>
  <si>
    <t>käyskennellä</t>
  </si>
  <si>
    <t>vesi</t>
  </si>
  <si>
    <t>lisätä</t>
  </si>
  <si>
    <t>osaamistaan</t>
  </si>
  <si>
    <t>perustieto</t>
  </si>
  <si>
    <t>ymmärrys</t>
  </si>
  <si>
    <t>jokaisella</t>
  </si>
  <si>
    <t>kansalaisella</t>
  </si>
  <si>
    <t>asiaan</t>
  </si>
  <si>
    <t>opastusta</t>
  </si>
  <si>
    <t>tarjoaa</t>
  </si>
  <si>
    <t>erinomainen</t>
  </si>
  <si>
    <t>oppia</t>
  </si>
  <si>
    <t>monipuolisest</t>
  </si>
  <si>
    <t>wh4kocs7cb</t>
  </si>
  <si>
    <t>verkkokurssille</t>
  </si>
  <si>
    <t>suomalainen</t>
  </si>
  <si>
    <t>netissä</t>
  </si>
  <si>
    <t>roolimallina</t>
  </si>
  <si>
    <t>kansainvälinen</t>
  </si>
  <si>
    <t>core</t>
  </si>
  <si>
    <t>projekti</t>
  </si>
  <si>
    <t>nopealla</t>
  </si>
  <si>
    <t>vilkaisulla</t>
  </si>
  <si>
    <t>näytti</t>
  </si>
  <si>
    <t>onnistuneelta</t>
  </si>
  <si>
    <t>kokonaisuudelta</t>
  </si>
  <si>
    <t>rahan</t>
  </si>
  <si>
    <t>luontikin</t>
  </si>
  <si>
    <t>opetettu</t>
  </si>
  <si>
    <t>kulta</t>
  </si>
  <si>
    <t>arvokkaampaa</t>
  </si>
  <si>
    <t>tärkeämpää</t>
  </si>
  <si>
    <t>raha</t>
  </si>
  <si>
    <t>pankeista</t>
  </si>
  <si>
    <t>osakemarkkinoista</t>
  </si>
  <si>
    <t>saat</t>
  </si>
  <si>
    <t>vastauksen</t>
  </si>
  <si>
    <t>kysymyksiin</t>
  </si>
  <si>
    <t>vaikuttaa</t>
  </si>
  <si>
    <t>#talous</t>
  </si>
  <si>
    <t>taloutta</t>
  </si>
  <si>
    <t>mystifioidaan</t>
  </si>
  <si>
    <t>turhankin</t>
  </si>
  <si>
    <t>monin</t>
  </si>
  <si>
    <t>tavoin</t>
  </si>
  <si>
    <t>käydä</t>
  </si>
  <si>
    <t>tutustumassa</t>
  </si>
  <si>
    <t>#suomi</t>
  </si>
  <si>
    <t>Suomalainen</t>
  </si>
  <si>
    <t>Ilmeisesti</t>
  </si>
  <si>
    <t>CORE</t>
  </si>
  <si>
    <t>Nopealla</t>
  </si>
  <si>
    <t>Onko</t>
  </si>
  <si>
    <t>Pitääpä</t>
  </si>
  <si>
    <t>Tiedätkö</t>
  </si>
  <si>
    <t>Miksi</t>
  </si>
  <si>
    <t>Mistä</t>
  </si>
  <si>
    <t>Aloita</t>
  </si>
  <si>
    <t>QXJttUaW7R</t>
  </si>
  <si>
    <t>Sanon</t>
  </si>
  <si>
    <t>Talouden</t>
  </si>
  <si>
    <t>perusteita</t>
  </si>
  <si>
    <t>yrittää</t>
  </si>
  <si>
    <t>ymmärtää</t>
  </si>
  <si>
    <t>parasta</t>
  </si>
  <si>
    <t>oppiminen</t>
  </si>
  <si>
    <t>tehty</t>
  </si>
  <si>
    <t>helpommaksi</t>
  </si>
  <si>
    <t>Perustieto</t>
  </si>
  <si>
    <t>Tähän</t>
  </si>
  <si>
    <t>Talous</t>
  </si>
  <si>
    <t>Toimii</t>
  </si>
  <si>
    <t>Erinomainen</t>
  </si>
  <si>
    <t>wh4KoCS7cB</t>
  </si>
  <si>
    <t>Mitä</t>
  </si>
  <si>
    <t>Tule</t>
  </si>
  <si>
    <t>Taloutta</t>
  </si>
  <si>
    <t>Mikä</t>
  </si>
  <si>
    <t>Avoin</t>
  </si>
  <si>
    <t>Ihan</t>
  </si>
  <si>
    <t>helmeä</t>
  </si>
  <si>
    <t>tekemä</t>
  </si>
  <si>
    <t>Verkkokurssi</t>
  </si>
  <si>
    <t>soveltuu</t>
  </si>
  <si>
    <t>opinnoissaan</t>
  </si>
  <si>
    <t>asteelle</t>
  </si>
  <si>
    <t>ehtineille</t>
  </si>
  <si>
    <t>vanhemmille</t>
  </si>
  <si>
    <t>Verkkokurssille</t>
  </si>
  <si>
    <t>osallistua</t>
  </si>
  <si>
    <t>osoitteessa</t>
  </si>
  <si>
    <t>https://talouskurssi.fi</t>
  </si>
  <si>
    <t>https://talouskurssi.fi/?fbclid=IwAR3lQxACK6cI50BBFObd0zCsOMC4Cq1tFNNNCY5sktWLRNSCs13ALYuQ2cg</t>
  </si>
  <si>
    <t>https://www.op.fi/op-ryhma/vastuullisuus/vastuullisuus/taloustaidot/talouskurssi</t>
  </si>
  <si>
    <t>https://www.linkedin.com/slink?code=dNTUEdbA</t>
  </si>
  <si>
    <t>https://www.linkedin.com/slink?code=dN5D_Pwk</t>
  </si>
  <si>
    <t>https://twitter.com/troutamaa/status/1448600142685290504</t>
  </si>
  <si>
    <t>Top URLs in Tweet in G6</t>
  </si>
  <si>
    <t>G5 Count</t>
  </si>
  <si>
    <t>G6 Count</t>
  </si>
  <si>
    <t>https://talouskurssi.fi/ https://talouskurssi.fi https://talouskurssi.fi/?fbclid=IwAR3lQxACK6cI50BBFObd0zCsOMC4Cq1tFNNNCY5sktWLRNSCs13ALYuQ2cg https://www.ekonomit.fi/ajankohtaista/tule-mukaan-talouskinkereille-opi-olennainen-taloudesta-viihdyttavasti-julia-thurenin-ja-vieraiden-seurassa/ https://twitter.com/IdaLevanen/status/1448555809940643840 https://twitter.com/HelsinkiGSE/status/1448530102837514240 https://www.op.fi/op-ryhma/vastuullisuus/vastuullisuus/taloustaidot/talouskurssi https://twitter.com/helsinkigse/status/1448530102837514240 https://www.linkedin.com/slink?code=dNTUEdbA https://www.linkedin.com/slink?code=dN5D_Pwk</t>
  </si>
  <si>
    <t>https://talouskurssi.fi/ https://www.linkedin.com/slink?code=dNTUEdbA https://www.linkedin.com/slink?code=dN5D_Pwk https://twitter.com/helsinkigse/status/1448530102837514240 https://twitter.com/HelsinkiGSE/status/1448530102837514240 https://twitter.com/AtteHarjanne/status/1448617819982241796 https://areena.yle.fi/audio/1-50940059?utm_source=twitter-share https://twitter.com/matiasmakynen/status/1448626251804053506 https://twitter.com/OPHelsinki/status/1448647975987650570 https://talouskurssi.fi/?fbclid=IwAR3lQxACK6cI50BBFObd0zCsOMC4Cq1tFNNNCY5sktWLRNSCs13ALYuQ2cg</t>
  </si>
  <si>
    <t>https://twitter.com/helsinkigse/status/1448530102837514240 https://talouskurssi.fi/ https://www.op.fi/op-ryhma/vastuullisuus/vastuullisuus/taloustaidot/talouskurssi https://twitter.com/troutamaa/status/1448600142685290504</t>
  </si>
  <si>
    <t>linkedin.com</t>
  </si>
  <si>
    <t>Top Domains in Tweet in G6</t>
  </si>
  <si>
    <t>talouskurssi.fi twitter.com ekonomit.fi op.fi linkedin.com yle.fi</t>
  </si>
  <si>
    <t>talouskurssi.fi twitter.com linkedin.com yle.fi op.fi</t>
  </si>
  <si>
    <t>twitter.com talouskurssi.fi op.fi</t>
  </si>
  <si>
    <t>Top Hashtags in Tweet in G6</t>
  </si>
  <si>
    <t>talouskurssi mitentaloustoimii talouskinkerit opmukana</t>
  </si>
  <si>
    <t>talouskurssi verkkokurssi mitentaloustoimii</t>
  </si>
  <si>
    <t>Top Words in Tweet in G6</t>
  </si>
  <si>
    <t>talous elämäämme helsinkiuni aaltouniversity #talouskurssi taloudesta vaikutuksista toimii avoimen verkkokurssin</t>
  </si>
  <si>
    <t>helsinkigse talous suomenekonomit #talouskurssi suomenpankki helsinkiuni toimii elämäämme verkkokurssin https</t>
  </si>
  <si>
    <t>#talouskurssi taloudesta talous avoin toimii elämäämme julkaistu kurssin helsinkigse https</t>
  </si>
  <si>
    <t>talous toimii #talouskurssi verkkokurssi avoin</t>
  </si>
  <si>
    <t>taloutta mystifioidaan turhankin vaikuttaa monin tavoin elämäämme tarjolla avoin maksuton</t>
  </si>
  <si>
    <t>talous toimii verkkokurssi kertoo leipä löytää pöytäämme varallisuus maailmassa jakautuu</t>
  </si>
  <si>
    <t>suomenpankki,suomenekonomit</t>
  </si>
  <si>
    <t>https,t</t>
  </si>
  <si>
    <t>t,co</t>
  </si>
  <si>
    <t>helsinkigse,helsinkiuni</t>
  </si>
  <si>
    <t>tiedätkö,asuminen</t>
  </si>
  <si>
    <t>asuminen,kallista</t>
  </si>
  <si>
    <t>kallista,talouskasvu</t>
  </si>
  <si>
    <t>talouskasvu,syntyy</t>
  </si>
  <si>
    <t>syntyy,lamoja</t>
  </si>
  <si>
    <t>avoin,talouskurssi</t>
  </si>
  <si>
    <t>suomalainen,avoin</t>
  </si>
  <si>
    <t>talouskurssi,netissä</t>
  </si>
  <si>
    <t>taloutta,mystifioidaan</t>
  </si>
  <si>
    <t>mystifioidaan,turhankin</t>
  </si>
  <si>
    <t>turhankin,vaikuttaa</t>
  </si>
  <si>
    <t>vaikuttaa,monin</t>
  </si>
  <si>
    <t>monin,tavoin</t>
  </si>
  <si>
    <t>tavoin,elämäämme</t>
  </si>
  <si>
    <t>elämäämme,tarjolla</t>
  </si>
  <si>
    <t>tarjolla,avoin</t>
  </si>
  <si>
    <t>avoin,maksuton</t>
  </si>
  <si>
    <t>maksuton,verkkokurssi</t>
  </si>
  <si>
    <t>Top Word Pairs in Tweet in G6</t>
  </si>
  <si>
    <t>toimii,verkkokurssi</t>
  </si>
  <si>
    <t>verkkokurssi,kertoo</t>
  </si>
  <si>
    <t>kertoo,leipä</t>
  </si>
  <si>
    <t>leipä,löytää</t>
  </si>
  <si>
    <t>löytää,pöytäämme</t>
  </si>
  <si>
    <t>pöytäämme,varallisuus</t>
  </si>
  <si>
    <t>varallisuus,maailmassa</t>
  </si>
  <si>
    <t>maailmassa,jakautuu</t>
  </si>
  <si>
    <t>jakautuu,maailman</t>
  </si>
  <si>
    <t>suomenpankki,suomenekonomit  talous,toimii  https,t  t,co  helsinkigse,helsinkiuni  tiedätkö,asuminen  asuminen,kallista  kallista,talouskasvu  talouskasvu,syntyy  syntyy,lamoja</t>
  </si>
  <si>
    <t>talous,toimii  https,t  t,co  aaltouniversity,helsinkiuni  avoin,talouskurssi  taloudesta,vaikutuksista  vaikutuksista,elämäämme  #talouskurssi,aaltouniversity  suomalainen,avoin  talouskurssi,netissä</t>
  </si>
  <si>
    <t>taloutta,mystifioidaan  mystifioidaan,turhankin  turhankin,vaikuttaa  vaikuttaa,monin  monin,tavoin  tavoin,elämäämme  elämäämme,tarjolla  tarjolla,avoin  avoin,maksuton  maksuton,verkkokurssi</t>
  </si>
  <si>
    <t>talous,toimii  toimii,verkkokurssi  verkkokurssi,kertoo  kertoo,leipä  leipä,löytää  löytää,pöytäämme  pöytäämme,varallisuus  varallisuus,maailmassa  maailmassa,jakautuu  jakautuu,maailman</t>
  </si>
  <si>
    <t>Top Replied-To in G6</t>
  </si>
  <si>
    <t>Top Mentioned in G6</t>
  </si>
  <si>
    <t>helsinkiuni aaltouniversity helsinkigse</t>
  </si>
  <si>
    <t>helsinkigse suomenekonomit suomenpankki helsinkiuni moocfi aaltouniversity juliathuren radiosuomi ophelsinki</t>
  </si>
  <si>
    <t>helsinkigse helsinkiuni aaltouniversity radiosuomi suomenpankki suomenekonomit moocfi</t>
  </si>
  <si>
    <t>Top Tweeters in G6</t>
  </si>
  <si>
    <t>jmkorhonen thuotila pvesterbacka sarasvuojari villepeltola laurarissanen korhonenmla makisenjussi helsinkiuni sakarirokkanen</t>
  </si>
  <si>
    <t>juuhaa ismokainulainen markkuilmari suomenpankki villekopra teemu_roos op_ryhma matiasmakynen suomenekonomit msaariaho</t>
  </si>
  <si>
    <t>eijaniskanen1 jarijarvenpaa wiscoosi patriziolaina radiosuomi sapakarinen tomassjoblom tapioylipuranen vatt_tutkimus jennihellstrom</t>
  </si>
  <si>
    <t>boulderd saarasofia tsaarimaa jouni_linna nynnyki jukka_klemetti</t>
  </si>
  <si>
    <t>martinpaasi tedapter</t>
  </si>
  <si>
    <t>hirppis troutamaa</t>
  </si>
  <si>
    <t>https://talouskurssi.fi/ https://twitter.com/HelsinkiGSE/status/1448530102837514240 https://www.op.fi/op-ryhma/vastuullisuus/vastuullisuus/taloustaidot/talouskurssi https://www.linkedin.com/slink?code=dNTUEdbA https://www.linkedin.com/slink?code=dN5D_Pwk https://talouskurssi.fi https://talouskurssi.fi/?fbclid=IwAR3lQxACK6cI50BBFObd0zCsOMC4Cq1tFNNNCY5sktWLRNSCs13ALYuQ2cg https://twitter.com/OPHelsinki/status/1448647975987650570 https://twitter.com/matiasmakynen/status/1448626251804053506 https://areena.yle.fi/audio/1-50940059?utm_source=twitter-share</t>
  </si>
  <si>
    <t>https://talouskurssi.fi/?fbclid=IwAR3lQxACK6cI50BBFObd0zCsOMC4Cq1tFNNNCY5sktWLRNSCs13ALYuQ2cg https://talouskurssi.fi/</t>
  </si>
  <si>
    <t>https://talouskurssi.fi https://talouskurssi.fi/</t>
  </si>
  <si>
    <t>https://talouskurssi.fi/ https://talouskurssi.fi</t>
  </si>
  <si>
    <t>https://www.linkedin.com/slink?code=dNTUEdbA https://www.linkedin.com/slink?code=dN5D_Pwk https://talouskurssi.fi/</t>
  </si>
  <si>
    <t>https://talouskurssi.fi/ https://talouskurssi.fi https://twitter.com/HelsinkiGSE/status/1448530102837514240 https://talouskurssi.fi/?fbclid=IwAR3lQxACK6cI50BBFObd0zCsOMC4Cq1tFNNNCY5sktWLRNSCs13ALYuQ2cg</t>
  </si>
  <si>
    <t>https://www.ekonomit.fi/ajankohtaista/tule-mukaan-talouskinkereille-opi-olennainen-taloudesta-viihdyttavasti-julia-thurenin-ja-vieraiden-seurassa/ https://twitter.com/IdaLevanen/status/1448555809940643840 https://talouskurssi.fi</t>
  </si>
  <si>
    <t>https://talouskurssi.fi/ https://www.ekonomit.fi/ajankohtaista/tule-mukaan-talouskinkereille-opi-olennainen-taloudesta-viihdyttavasti-julia-thurenin-ja-vieraiden-seurassa/ https://twitter.com/IdaLevanen/status/1448555809940643840 https://www.op.fi/op-ryhma/vastuullisuus/vastuullisuus/taloustaidot/talouskurssi https://areena.yle.fi/audio/1-50940059?utm_source=twitter-share https://talouskurssi.fi https://www.linkedin.com/slink?code=dNTUEdbA https://www.linkedin.com/slink?code=dN5D_Pwk https://talouskurssi.fi/?fbclid=IwAR3lQxACK6cI50BBFObd0zCsOMC4Cq1tFNNNCY5sktWLRNSCs13ALYuQ2cg</t>
  </si>
  <si>
    <t>https://talouskurssi.fi/ https://www.linkedin.com/slink?code=dNTUEdbA https://www.linkedin.com/slink?code=dN5D_Pwk</t>
  </si>
  <si>
    <t>https://talouskurssi.fi/ https://twitter.com/teemu_roos/status/1448566055861948418</t>
  </si>
  <si>
    <t>talouskurssi.fi twitter.com linkedin.com op.fi yle.fi</t>
  </si>
  <si>
    <t>linkedin.com talouskurssi.fi</t>
  </si>
  <si>
    <t>ekonomit.fi twitter.com talouskurssi.fi</t>
  </si>
  <si>
    <t>talouskurssi.fi linkedin.com ekonomit.fi twitter.com op.fi yle.fi</t>
  </si>
  <si>
    <t>linkedin.com twitter.com talouskurssi.fi op.fi yle.fi</t>
  </si>
  <si>
    <t>twitter.com talouskurssi.fi</t>
  </si>
  <si>
    <t>linkedin.com talouskurssi.fi ekonomit.fi twitter.com op.fi yle.fi</t>
  </si>
  <si>
    <t>talouskurssi mitentaloustoimii verkkokurssi</t>
  </si>
  <si>
    <t>talouskurssi opmukana mitentaloustoimii</t>
  </si>
  <si>
    <t>mitentaloustoimii verkkokurssi talouskurssi</t>
  </si>
  <si>
    <t>talouskinkerit opmukana mitentaloustoimii talouskurssi</t>
  </si>
  <si>
    <t>on ja #talouskurssi talous toimii avoin miten helsinkigse taloudesta helsinkiuni</t>
  </si>
  <si>
    <t>ja helsinkiuni talous elämäämme onko hieno idea näyttävän oloinen toteutus</t>
  </si>
  <si>
    <t>on #talouskurssi kaikille avoin verkkokurssi taloudesta ja sen vaikutuksesta meihin</t>
  </si>
  <si>
    <t>onko hieno idea ja näyttävän oloinen toteutus laadukas taloutieteen perusteiden</t>
  </si>
  <si>
    <t>on miksi tiedätkö asuminen niin kallista mistä talouskasvu syntyy meillä</t>
  </si>
  <si>
    <t>on ja miksi talous elämäämme tiedätkö asuminen niin kallista mistä</t>
  </si>
  <si>
    <t>ja on talous elämäämme miksi halusimmepa tai emme määrittelee monella</t>
  </si>
  <si>
    <t>ja taloudesta talous miten toimii elämäämme perustieto ymmärrys on asia</t>
  </si>
  <si>
    <t>taloudesta perustieto ja ymmärrys on asia joka jokaisella kansalaisella tulisi</t>
  </si>
  <si>
    <t>tästähän tuli ihan mielettömän hyvä #talouskurssi #taloustiede</t>
  </si>
  <si>
    <t>kurssin #talouskurssi talous elämäämme ja kuuntele radiosuomi klo 12 18</t>
  </si>
  <si>
    <t>mikä uusi mahdollisuus lisätä osaamistaan avoin meille kaikille helsinkigse aaltouniversity</t>
  </si>
  <si>
    <t>ja maksuton kaikille avoin #talouskurssi siitä miten leipä löytää pöytäämme</t>
  </si>
  <si>
    <t>verkkokurssi on avoin kaikille ja soveltuu parhaiten opinnoissaan toiselle asteelle</t>
  </si>
  <si>
    <t>ihan helmeä taloustieteen keskus helsinki gse n tekemä avoin verkkokurssi</t>
  </si>
  <si>
    <t>kaikille avoin #verkkokurssi taloudesta ja sen vaikutuksista elämäämme #talouskurssi aaltouniversity</t>
  </si>
  <si>
    <t>tämä menee kyllä heti to do listalle kiinnostavaa #talouskurssi aaltouniversity</t>
  </si>
  <si>
    <t>miten ja talous toimii verkkokurssi kertoo siitä leipä löytää pöytäämme</t>
  </si>
  <si>
    <t>ettei pääsisi ylpistymään #talouskurssi on kuitenkin vain vähän tappiolla höpöhöpölle</t>
  </si>
  <si>
    <t>on ja #talouskurssi helsinkigse helsinkiuni https t co kurssin miksi</t>
  </si>
  <si>
    <t>on helsinkigse suomenekonomit miksi tänään julkaisi miten talous toimii verkkokurssin</t>
  </si>
  <si>
    <t>miten tänään talous #talouskurssi ja helsinkigse julkaisi toimii verkkokurssin heti</t>
  </si>
  <si>
    <t>on vesi miksi kulta arvokkaampaa kuin vaikka tärkeämpää mistä raha</t>
  </si>
  <si>
    <t>on helsinkigse ja yliopisto vesi verkkokurssin ovat toteuttaneet taloustieteen keskus</t>
  </si>
  <si>
    <t>ja tämä taloutta mystifioidaan turhankin paljon samalla se vaikuttaa monin</t>
  </si>
  <si>
    <t>on ja helsinkigse talous miten toimii #talouskurssi taloudesta elämäämme verkkokurssin</t>
  </si>
  <si>
    <t>talous taloudesta ja elämäämme miten toimii halusimmepa tai emme määrittelee</t>
  </si>
  <si>
    <t>sanon nyt suoraan talouden perusteita kannattaa yrittää ymmärtää ja mikä</t>
  </si>
  <si>
    <t>suomalainen avoin netissä julkaistu ilmeisesti roolimallina kansainvälinen core projekti nopealla</t>
  </si>
  <si>
    <t>on ja miksi kurssin #talouskurssi talous elämäämme tiedätkö asuminen niin</t>
  </si>
  <si>
    <t>on talous taloudesta miksi elämäämme kurssin ja vesi toimii #talouskurssi</t>
  </si>
  <si>
    <t>talous elämäämme onko hieno idea näyttävän oloinen toteutus laadukas taloutieteen</t>
  </si>
  <si>
    <t>on miksi talous elämäämme tiedätkö asuminen niin kallista mistä talouskasvu</t>
  </si>
  <si>
    <t>on talous elämäämme miksi halusimmepa tai emme määrittelee monella tavalla</t>
  </si>
  <si>
    <t>elämäämme perustieto ymmärrys on asia joka jokaisella kansalaisella tulisi olla</t>
  </si>
  <si>
    <t>on kurssin miksi talous elämäämme ja https t co suomenpankki</t>
  </si>
  <si>
    <t>on miksi tänään julkaisi miten talous toimii verkkokurssin heti perään</t>
  </si>
  <si>
    <t>yliopisto vesi verkkokurssin ovat toteuttaneet taloustieteen keskus helsinki gse rahoittaneet</t>
  </si>
  <si>
    <t>on elämäämme kurssin miksi taloudesta kaikille yliopisto vesi talous ja</t>
  </si>
  <si>
    <t>elämäämme halusimmepa tai emme määrittelee monella tavalla siksi olemme tänään</t>
  </si>
  <si>
    <t>on miksi kurssin talous elämäämme ja tiedätkö asuminen niin kallista</t>
  </si>
  <si>
    <t>miten,talous  talous,toimii  aaltouniversity,helsinkiuni  https,t  t,co  avoin,talouskurssi  taloudesta,ja  ja,sen  sen,vaikutuksista  vaikutuksista,elämäämme</t>
  </si>
  <si>
    <t>onko,hieno  hieno,idea  idea,ja  ja,näyttävän  näyttävän,oloinen  oloinen,toteutus  toteutus,laadukas  laadukas,taloutieteen  taloutieteen,perusteiden  perusteiden,kurssi</t>
  </si>
  <si>
    <t>tiedätkö,miksi  miksi,asuminen  asuminen,on  on,niin  niin,kallista  kallista,mistä  mistä,talouskasvu  talouskasvu,syntyy  syntyy,miksi  miksi,meillä</t>
  </si>
  <si>
    <t>miten,talous  talous,toimii  perustieto,ja  ja,ymmärrys  ymmärrys,taloudesta  taloudesta,on  on,asia  asia,joka  joka,jokaisella  jokaisella,kansalaisella</t>
  </si>
  <si>
    <t>perustieto,ja  ja,ymmärrys  ymmärrys,taloudesta  taloudesta,on  on,asia  asia,joka  joka,jokaisella  jokaisella,kansalaisella  kansalaisella,tulisi  tulisi,olla</t>
  </si>
  <si>
    <t>mikä,uusi  uusi,mahdollisuus  mahdollisuus,lisätä  lisätä,osaamistaan  osaamistaan,avoin  avoin,talouskurssi  talouskurssi,meille  meille,kaikille  kaikille,helsinkigse  helsinkigse,aaltouniversity</t>
  </si>
  <si>
    <t>verkkokurssi,on  on,avoin  avoin,kaikille  kaikille,ja  ja,soveltuu  soveltuu,parhaiten  parhaiten,opinnoissaan  opinnoissaan,toiselle  toiselle,asteelle  asteelle,ehtineille</t>
  </si>
  <si>
    <t>ihan,helmeä  helmeä,taloustieteen  taloustieteen,keskus  keskus,helsinki  helsinki,gse  gse,n  n,tekemä  tekemä,avoin  avoin,verkkokurssi  verkkokurssi,miten</t>
  </si>
  <si>
    <t>miten,talous  talous,toimii  toimii,verkkokurssi  verkkokurssi,kertoo  kertoo,siitä  siitä,miten  miten,leipä  leipä,löytää  löytää,pöytäämme  pöytäämme,varallisuus</t>
  </si>
  <si>
    <t>https,t  t,co  suomenpankki,suomenekonomit  aaltouniversity,helsinkiuni  ettei,pääsisi  pääsisi,ylpistymään  ylpistymään,#talouskurssi  #talouskurssi,on  on,kuitenkin  kuitenkin,vain</t>
  </si>
  <si>
    <t>miksi,kulta  kulta,on  on,arvokkaampaa  arvokkaampaa,kuin  kuin,vesi  vesi,vaikka  vaikka,vesi  vesi,on  on,tärkeämpää  tärkeämpää,mistä</t>
  </si>
  <si>
    <t>tämä,taloutta  taloutta,mystifioidaan  mystifioidaan,turhankin  turhankin,paljon  paljon,ja  ja,samalla  samalla,se  se,vaikuttaa  vaikuttaa,monin  monin,tavoin</t>
  </si>
  <si>
    <t>miten,talous  talous,toimii  helsinkigse,helsinkiuni  juuso,välimäki  välimäki,kertoo  suomenpankki,suomenekonomit  https,t  t,co  toimii,kaikille  kaikille,avoin</t>
  </si>
  <si>
    <t>miten,talous  talous,toimii  halusimmepa,tai  tai,emme  emme,talous  talous,määrittelee  määrittelee,monella  monella,tavalla  tavalla,elämäämme  elämäämme,siksi</t>
  </si>
  <si>
    <t>sanon,nyt  nyt,suoraan  suoraan,talouden  talouden,perusteita  perusteita,kannattaa  kannattaa,yrittää  yrittää,ymmärtää  ymmärtää,ja  ja,mikä  mikä,parasta</t>
  </si>
  <si>
    <t>suomalainen,avoin  avoin,talouskurssi  talouskurssi,netissä  netissä,julkaistu  julkaistu,ilmeisesti  ilmeisesti,roolimallina  roolimallina,kansainvälinen  kansainvälinen,core  core,projekti  projekti,nopealla</t>
  </si>
  <si>
    <t>99, 79, 0</t>
  </si>
  <si>
    <t>59, 98, 0</t>
  </si>
  <si>
    <t>157, 49, 0</t>
  </si>
  <si>
    <t>26, 115, 0</t>
  </si>
  <si>
    <t>G2: talouskurssi mitentaloustoimii talouskinkerit opmukana</t>
  </si>
  <si>
    <t>G3: talouskurssi verkkokurssi mitentaloustoimii</t>
  </si>
  <si>
    <t>G5: talous suomi jatkuvaoppiminen</t>
  </si>
  <si>
    <t>Edge Weight▓1▓2▓0▓True▓Silver▓Red▓▓Edge Weight▓1▓2▓0▓1▓10▓True▓Edge Weight▓1▓2▓0▓32▓10▓False▓▓0▓0▓0▓True▓Black▓Black▓▓In-Degree▓1▓17▓0▓10▓1000▓True▓▓0▓0▓0▓0▓0▓False▓▓0▓0▓0▓0▓0▓False▓▓0▓0▓0▓0▓0▓False</t>
  </si>
  <si>
    <t>GraphSource░TwitterSearch▓GraphTerm░talouskurssi▓ImportDescription░The graph represents a network of 104 Twitter users whose recent tweets contained "talouskurssi", or who were replied to or mentioned in those tweets, taken from a data set limited to a maximum of 18 000 tweets.  The network was obtained from Twitter on Thursday, 14 October 2021 at 17:53 UTC.
The tweets in the network were tweeted over the 10-hour, 33-minute period from Thursday, 14 October 2021 at 06:04 UTC to Thursday, 14 October 2021 at 16:37 UTC.
There is an edge for each "replies-to" relationship in a tweet, an edge for each "mentions" relationship in a tweet, and a self-loop edge for each tweet that is not a "replies-to" or "mentions".▓ImportSuggestedTitle░talouskurssi Twitter NodeXL SNA Map and Report for torstai, 14 lokakuuta 2021 at 17.52 UTC▓ImportSuggestedFileNameNoExtension░2021-10-14 17-52-44 NodeXL Twitter Search talouskurssi▓GroupingDescription░The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</si>
  <si>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</si>
  <si>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104 Twitter users whose recent tweets contained "talouskurssi", or who were replied to or mentioned in those tweets, taken from a data set limited to a maximum of 18 000 tweets.  The network was obtained from Twitter on Thursday, 14 October 2021 at 17:53 UTC.
The tweets in the network were tweeted over the 10-hour, 33-minute period from Thursday, 14 October 2021 at 06:04 UTC to Thursday, 14 October 2021 at 16:37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</si>
  <si>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</si>
  <si>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</si>
  <si>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https://nodexlgraphgallery.org/Pages/Graph.aspx?graphID=264451</t>
  </si>
  <si>
    <t>https://nodexlgraphgallery.org/Images/Image.ashx?graphID=264451&amp;type=f</t>
  </si>
  <si>
    <t xml:space="preserve">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</si>
</sst>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8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018315"/>
        <c:axId val="32055972"/>
      </c:barChart>
      <c:catAx>
        <c:axId val="110183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055972"/>
        <c:crosses val="autoZero"/>
        <c:auto val="1"/>
        <c:lblOffset val="100"/>
        <c:noMultiLvlLbl val="0"/>
      </c:catAx>
      <c:valAx>
        <c:axId val="32055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183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68293"/>
        <c:axId val="46396910"/>
      </c:barChart>
      <c:catAx>
        <c:axId val="200682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96910"/>
        <c:crosses val="autoZero"/>
        <c:auto val="1"/>
        <c:lblOffset val="100"/>
        <c:noMultiLvlLbl val="0"/>
      </c:catAx>
      <c:valAx>
        <c:axId val="4639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829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19007"/>
        <c:axId val="53336"/>
      </c:barChart>
      <c:catAx>
        <c:axId val="14919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36"/>
        <c:crosses val="autoZero"/>
        <c:auto val="1"/>
        <c:lblOffset val="100"/>
        <c:noMultiLvlLbl val="0"/>
      </c:catAx>
      <c:valAx>
        <c:axId val="5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90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025"/>
        <c:axId val="4320226"/>
      </c:barChart>
      <c:catAx>
        <c:axId val="480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0226"/>
        <c:crosses val="autoZero"/>
        <c:auto val="1"/>
        <c:lblOffset val="100"/>
        <c:noMultiLvlLbl val="0"/>
      </c:catAx>
      <c:valAx>
        <c:axId val="432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82035"/>
        <c:axId val="14393996"/>
      </c:barChart>
      <c:catAx>
        <c:axId val="38882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93996"/>
        <c:crosses val="autoZero"/>
        <c:auto val="1"/>
        <c:lblOffset val="100"/>
        <c:noMultiLvlLbl val="0"/>
      </c:catAx>
      <c:valAx>
        <c:axId val="1439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20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37101"/>
        <c:axId val="25062998"/>
      </c:barChart>
      <c:catAx>
        <c:axId val="62437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62998"/>
        <c:crosses val="autoZero"/>
        <c:auto val="1"/>
        <c:lblOffset val="100"/>
        <c:noMultiLvlLbl val="0"/>
      </c:catAx>
      <c:valAx>
        <c:axId val="2506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71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07355"/>
        <c:axId val="5895284"/>
      </c:barChart>
      <c:catAx>
        <c:axId val="60307355"/>
        <c:scaling>
          <c:orientation val="minMax"/>
        </c:scaling>
        <c:axPos val="b"/>
        <c:delete val="1"/>
        <c:majorTickMark val="out"/>
        <c:minorTickMark val="none"/>
        <c:tickLblPos val="none"/>
        <c:crossAx val="5895284"/>
        <c:crosses val="autoZero"/>
        <c:auto val="1"/>
        <c:lblOffset val="100"/>
        <c:noMultiLvlLbl val="0"/>
      </c:catAx>
      <c:valAx>
        <c:axId val="5895284"/>
        <c:scaling>
          <c:orientation val="minMax"/>
        </c:scaling>
        <c:axPos val="l"/>
        <c:delete val="1"/>
        <c:majorTickMark val="out"/>
        <c:minorTickMark val="none"/>
        <c:tickLblPos val="none"/>
        <c:crossAx val="603073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75" totalsRowShown="0" headerRowDxfId="380" dataDxfId="336">
  <autoFilter ref="A2:BN375"/>
  <tableColumns count="66">
    <tableColumn id="1" name="Vertex 1" dataDxfId="321"/>
    <tableColumn id="2" name="Vertex 2" dataDxfId="319"/>
    <tableColumn id="3" name="Color" dataDxfId="320"/>
    <tableColumn id="4" name="Width" dataDxfId="345"/>
    <tableColumn id="11" name="Style" dataDxfId="344"/>
    <tableColumn id="5" name="Opacity" dataDxfId="343"/>
    <tableColumn id="6" name="Visibility" dataDxfId="342"/>
    <tableColumn id="10" name="Label" dataDxfId="341"/>
    <tableColumn id="12" name="Label Text Color" dataDxfId="340"/>
    <tableColumn id="13" name="Label Font Size" dataDxfId="339"/>
    <tableColumn id="14" name="Reciprocated?" dataDxfId="224"/>
    <tableColumn id="7" name="ID" dataDxfId="338"/>
    <tableColumn id="9" name="Dynamic Filter" dataDxfId="337"/>
    <tableColumn id="8" name="Add Your Own Columns Here" dataDxfId="318"/>
    <tableColumn id="15" name="Relationship" dataDxfId="317"/>
    <tableColumn id="16" name="Relationship Date (UTC)" dataDxfId="316"/>
    <tableColumn id="17" name="Tweet" dataDxfId="315"/>
    <tableColumn id="18" name="URLs in Tweet" dataDxfId="314"/>
    <tableColumn id="19" name="Domains in Tweet" dataDxfId="313"/>
    <tableColumn id="20" name="Hashtags in Tweet" dataDxfId="312"/>
    <tableColumn id="21" name="Media in Tweet" dataDxfId="311"/>
    <tableColumn id="22" name="Tweet Image File" dataDxfId="310"/>
    <tableColumn id="23" name="Tweet Date (UTC)" dataDxfId="309"/>
    <tableColumn id="24" name="Date" dataDxfId="308"/>
    <tableColumn id="25" name="Time" dataDxfId="307"/>
    <tableColumn id="26" name="Twitter Page for Tweet" dataDxfId="306"/>
    <tableColumn id="27" name="Latitude" dataDxfId="305"/>
    <tableColumn id="28" name="Longitude" dataDxfId="304"/>
    <tableColumn id="29" name="Imported ID" dataDxfId="303"/>
    <tableColumn id="30" name="In-Reply-To Tweet ID" dataDxfId="302"/>
    <tableColumn id="31" name="Favorited" dataDxfId="301"/>
    <tableColumn id="32" name="Favorite Count" dataDxfId="300"/>
    <tableColumn id="33" name="In-Reply-To User ID" dataDxfId="299"/>
    <tableColumn id="34" name="Is Quote Status" dataDxfId="298"/>
    <tableColumn id="35" name="Language" dataDxfId="297"/>
    <tableColumn id="36" name="Possibly Sensitive" dataDxfId="296"/>
    <tableColumn id="37" name="Quoted Status ID" dataDxfId="295"/>
    <tableColumn id="38" name="Retweeted" dataDxfId="294"/>
    <tableColumn id="39" name="Retweet Count" dataDxfId="293"/>
    <tableColumn id="40" name="Retweet ID" dataDxfId="292"/>
    <tableColumn id="41" name="Source" dataDxfId="291"/>
    <tableColumn id="42" name="Truncated" dataDxfId="290"/>
    <tableColumn id="43" name="Unified Twitter ID" dataDxfId="289"/>
    <tableColumn id="44" name="Imported Tweet Type" dataDxfId="288"/>
    <tableColumn id="45" name="Added By Extended Analysis" dataDxfId="287"/>
    <tableColumn id="46" name="Corrected By Extended Analysis" dataDxfId="286"/>
    <tableColumn id="47" name="Place Bounding Box" dataDxfId="285"/>
    <tableColumn id="48" name="Place Country" dataDxfId="284"/>
    <tableColumn id="49" name="Place Country Code" dataDxfId="283"/>
    <tableColumn id="50" name="Place Full Name" dataDxfId="282"/>
    <tableColumn id="51" name="Place ID" dataDxfId="281"/>
    <tableColumn id="52" name="Place Name" dataDxfId="280"/>
    <tableColumn id="53" name="Place Type" dataDxfId="279"/>
    <tableColumn id="54" name="Place URL" dataDxfId="278"/>
    <tableColumn id="55" name="Edge Weight" dataDxfId="240"/>
    <tableColumn id="56" name="Vertex 1 Group" dataDxfId="239">
      <calculatedColumnFormula>REPLACE(INDEX(GroupVertices[Group], MATCH(Edges[[#This Row],[Vertex 1]],GroupVertices[Vertex],0)),1,1,"")</calculatedColumnFormula>
    </tableColumn>
    <tableColumn id="57" name="Vertex 2 Group" dataDxfId="200">
      <calculatedColumnFormula>REPLACE(INDEX(GroupVertices[Group], MATCH(Edges[[#This Row],[Vertex 2]],GroupVertices[Vertex],0)),1,1,"")</calculatedColumnFormula>
    </tableColumn>
    <tableColumn id="58" name="Sentiment List #1: List1 Word Count" dataDxfId="199"/>
    <tableColumn id="59" name="Sentiment List #1: List1 Word Percentage (%)" dataDxfId="198"/>
    <tableColumn id="60" name="Sentiment List #2: List2 Word Count" dataDxfId="197"/>
    <tableColumn id="61" name="Sentiment List #2: List2 Word Percentage (%)" dataDxfId="196"/>
    <tableColumn id="62" name="Sentiment List #3: List3 Word Count" dataDxfId="195"/>
    <tableColumn id="63" name="Sentiment List #3: List3 Word Percentage (%)" dataDxfId="194"/>
    <tableColumn id="64" name="Non-categorized Word Count" dataDxfId="193"/>
    <tableColumn id="65" name="Non-categorized Word Percentage (%)" dataDxfId="192"/>
    <tableColumn id="66" name="Edge Content Word Count" dataDxfId="1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6" name="Words" displayName="Words" ref="A1:G489" totalsRowShown="0" headerRowDxfId="223" dataDxfId="222">
  <autoFilter ref="A1:G489"/>
  <tableColumns count="7">
    <tableColumn id="1" name="Word" dataDxfId="221"/>
    <tableColumn id="2" name="Count" dataDxfId="220"/>
    <tableColumn id="3" name="Salience" dataDxfId="219"/>
    <tableColumn id="4" name="Group" dataDxfId="218"/>
    <tableColumn id="5" name="Word on Sentiment List #1: List1" dataDxfId="217"/>
    <tableColumn id="6" name="Word on Sentiment List #2: List2" dataDxfId="216"/>
    <tableColumn id="7" name="Word on Sentiment List #3: List3" dataDxfId="215"/>
  </tableColumns>
  <tableStyleInfo name="NodeXL Table" showFirstColumn="0" showLastColumn="0" showRowStripes="1" showColumnStripes="0"/>
</table>
</file>

<file path=xl/tables/table12.xml><?xml version="1.0" encoding="utf-8"?>
<table xmlns="http://schemas.openxmlformats.org/spreadsheetml/2006/main" id="27" name="WordPairs" displayName="WordPairs" ref="A1:L558" totalsRowShown="0" headerRowDxfId="214" dataDxfId="213">
  <autoFilter ref="A1:L558"/>
  <tableColumns count="12">
    <tableColumn id="1" name="Word 1" dataDxfId="212"/>
    <tableColumn id="2" name="Word 2" dataDxfId="211"/>
    <tableColumn id="3" name="Count" dataDxfId="210"/>
    <tableColumn id="4" name="Salience" dataDxfId="209"/>
    <tableColumn id="5" name="Mutual Information" dataDxfId="208"/>
    <tableColumn id="6" name="Group" dataDxfId="207"/>
    <tableColumn id="7" name="Word1 on Sentiment List #1: List1" dataDxfId="206"/>
    <tableColumn id="8" name="Word1 on Sentiment List #2: List2" dataDxfId="205"/>
    <tableColumn id="9" name="Word1 on Sentiment List #3: List3" dataDxfId="204"/>
    <tableColumn id="10" name="Word2 on Sentiment List #1: List1" dataDxfId="203"/>
    <tableColumn id="11" name="Word2 on Sentiment List #2: List2" dataDxfId="202"/>
    <tableColumn id="12" name="Word2 on Sentiment List #3: List3" dataDxfId="2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29" totalsRowShown="0" headerRowDxfId="353" dataDxfId="352">
  <autoFilter ref="A1:C3129"/>
  <tableColumns count="3">
    <tableColumn id="1" name="VertexID" dataDxfId="172"/>
    <tableColumn id="2" name="Word" dataDxfId="171"/>
    <tableColumn id="3" name="Imported ID" dataDxfId="1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351" dataDxfId="350">
  <autoFilter ref="A1:B756"/>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49" dataDxfId="348">
  <autoFilter ref="A2:C13"/>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47" dataDxfId="346">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28"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29"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30" name="NetworkTopItems_2" displayName="NetworkTopItems_2" ref="A14:N20" totalsRowShown="0" headerRowDxfId="130" dataDxfId="129">
  <autoFilter ref="A14:N20"/>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379" dataDxfId="322">
  <autoFilter ref="A2:BT106"/>
  <sortState ref="A3:BT82">
    <sortCondition descending="1" sortBy="value" ref="S3:S82"/>
  </sortState>
  <tableColumns count="72">
    <tableColumn id="1" name="Vertex" dataDxfId="335"/>
    <tableColumn id="2" name="Color" dataDxfId="334"/>
    <tableColumn id="5" name="Shape" dataDxfId="333"/>
    <tableColumn id="6" name="Size" dataDxfId="332"/>
    <tableColumn id="4" name="Opacity" dataDxfId="257"/>
    <tableColumn id="7" name="Image File" dataDxfId="255"/>
    <tableColumn id="3" name="Visibility" dataDxfId="256"/>
    <tableColumn id="10" name="Label" dataDxfId="331"/>
    <tableColumn id="16" name="Label Fill Color" dataDxfId="330"/>
    <tableColumn id="9" name="Label Position" dataDxfId="251"/>
    <tableColumn id="8" name="Tooltip" dataDxfId="249"/>
    <tableColumn id="18" name="Layout Order" dataDxfId="250"/>
    <tableColumn id="13" name="X" dataDxfId="329"/>
    <tableColumn id="14" name="Y" dataDxfId="328"/>
    <tableColumn id="12" name="Locked?" dataDxfId="327"/>
    <tableColumn id="19" name="Polar R" dataDxfId="326"/>
    <tableColumn id="20" name="Polar Angle" dataDxfId="325"/>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24"/>
    <tableColumn id="28" name="Dynamic Filter" dataDxfId="323"/>
    <tableColumn id="17" name="Add Your Own Columns Here" dataDxfId="277"/>
    <tableColumn id="30" name="Name" dataDxfId="276"/>
    <tableColumn id="31" name="User ID" dataDxfId="275"/>
    <tableColumn id="32" name="Followed" dataDxfId="274"/>
    <tableColumn id="33" name="Followers" dataDxfId="273"/>
    <tableColumn id="34" name="Tweets" dataDxfId="272"/>
    <tableColumn id="35" name="Favorites" dataDxfId="271"/>
    <tableColumn id="36" name="Time Zone UTC Offset (Seconds)" dataDxfId="270"/>
    <tableColumn id="37" name="Description" dataDxfId="269"/>
    <tableColumn id="38" name="Location" dataDxfId="268"/>
    <tableColumn id="39" name="Web" dataDxfId="267"/>
    <tableColumn id="40" name="Time Zone" dataDxfId="266"/>
    <tableColumn id="41" name="Joined Twitter Date (UTC)" dataDxfId="265"/>
    <tableColumn id="42" name="Profile Banner Url" dataDxfId="264"/>
    <tableColumn id="43" name="Default Profile" dataDxfId="263"/>
    <tableColumn id="44" name="Default Profile Image" dataDxfId="262"/>
    <tableColumn id="45" name="Geo Enabled" dataDxfId="261"/>
    <tableColumn id="46" name="Language" dataDxfId="260"/>
    <tableColumn id="47" name="Listed Count" dataDxfId="259"/>
    <tableColumn id="48" name="Profile Background Image Url" dataDxfId="258"/>
    <tableColumn id="49" name="Verified" dataDxfId="254"/>
    <tableColumn id="50" name="Custom Menu Item Text" dataDxfId="253"/>
    <tableColumn id="51" name="Custom Menu Item Action" dataDxfId="252"/>
    <tableColumn id="52" name="Tweeted Search Term?" dataDxfId="241"/>
    <tableColumn id="53" name="Vertex Group" dataDxfId="190">
      <calculatedColumnFormula>REPLACE(INDEX(GroupVertices[Group], MATCH(Vertices[[#This Row],[Vertex]],GroupVertices[Vertex],0)),1,1,"")</calculatedColumnFormula>
    </tableColumn>
    <tableColumn id="54" name="Sentiment List #1: List1 Word Count" dataDxfId="189"/>
    <tableColumn id="55" name="Sentiment List #1: List1 Word Percentage (%)" dataDxfId="188"/>
    <tableColumn id="56" name="Sentiment List #2: List2 Word Count" dataDxfId="187"/>
    <tableColumn id="57" name="Sentiment List #2: List2 Word Percentage (%)" dataDxfId="186"/>
    <tableColumn id="58" name="Sentiment List #3: List3 Word Count" dataDxfId="185"/>
    <tableColumn id="59" name="Sentiment List #3: List3 Word Percentage (%)" dataDxfId="184"/>
    <tableColumn id="60" name="Non-categorized Word Count" dataDxfId="183"/>
    <tableColumn id="61" name="Non-categorized Word Percentage (%)" dataDxfId="18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31" name="NetworkTopItems_3" displayName="NetworkTopItems_3" ref="A23:N33" totalsRowShown="0" headerRowDxfId="113" dataDxfId="112">
  <autoFilter ref="A23:N33"/>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32" name="NetworkTopItems_4" displayName="NetworkTopItems_4" ref="A36:N46" totalsRowShown="0" headerRowDxfId="96" dataDxfId="95">
  <autoFilter ref="A36:N46"/>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33" name="NetworkTopItems_5" displayName="NetworkTopItems_5" ref="A49:N59" totalsRowShown="0" headerRowDxfId="79" dataDxfId="78">
  <autoFilter ref="A49:N59"/>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34" name="NetworkTopItems_6" displayName="NetworkTopItems_6" ref="A62:N63" totalsRowShown="0" headerRowDxfId="62" dataDxfId="61">
  <autoFilter ref="A62:N63"/>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35" name="NetworkTopItems_7" displayName="NetworkTopItems_7" ref="A66:N75" totalsRowShown="0" headerRowDxfId="59" dataDxfId="58">
  <autoFilter ref="A66:N75"/>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36" name="NetworkTopItems_8" displayName="NetworkTopItems_8" ref="A78:N88" totalsRowShown="0" headerRowDxfId="28" dataDxfId="27">
  <autoFilter ref="A78:N88"/>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8">
  <autoFilter ref="A2:AO8"/>
  <tableColumns count="41">
    <tableColumn id="1" name="Group" dataDxfId="248"/>
    <tableColumn id="2" name="Vertex Color" dataDxfId="247"/>
    <tableColumn id="3" name="Vertex Shape" dataDxfId="245"/>
    <tableColumn id="22" name="Visibility" dataDxfId="246"/>
    <tableColumn id="4" name="Collapsed?"/>
    <tableColumn id="18" name="Label" dataDxfId="377"/>
    <tableColumn id="20" name="Collapsed X"/>
    <tableColumn id="21" name="Collapsed Y"/>
    <tableColumn id="6" name="ID" dataDxfId="376"/>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181"/>
    <tableColumn id="23" name="Sentiment List #1: List1 Word Count" dataDxfId="180"/>
    <tableColumn id="26" name="Sentiment List #1: List1 Word Percentage (%)" dataDxfId="179"/>
    <tableColumn id="27" name="Sentiment List #2: List2 Word Count" dataDxfId="178"/>
    <tableColumn id="28" name="Sentiment List #2: List2 Word Percentage (%)" dataDxfId="177"/>
    <tableColumn id="29" name="Sentiment List #3: List3 Word Count" dataDxfId="176"/>
    <tableColumn id="30" name="Sentiment List #3: List3 Word Percentage (%)" dataDxfId="175"/>
    <tableColumn id="31" name="Non-categorized Word Count" dataDxfId="174"/>
    <tableColumn id="32" name="Non-categorized Word Percentage (%)" dataDxfId="173"/>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75" dataDxfId="374">
  <autoFilter ref="A1:C105"/>
  <tableColumns count="3">
    <tableColumn id="1" name="Group" dataDxfId="244"/>
    <tableColumn id="2" name="Vertex" dataDxfId="243"/>
    <tableColumn id="3" name="Vertex ID" dataDxfId="2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3"/>
    <tableColumn id="2" name="Degree Frequency" dataDxfId="372">
      <calculatedColumnFormula>COUNTIF(Vertices[Degree], "&gt;= " &amp; D2) - COUNTIF(Vertices[Degree], "&gt;=" &amp; D3)</calculatedColumnFormula>
    </tableColumn>
    <tableColumn id="3" name="In-Degree Bin" dataDxfId="371"/>
    <tableColumn id="4" name="In-Degree Frequency" dataDxfId="370">
      <calculatedColumnFormula>COUNTIF(Vertices[In-Degree], "&gt;= " &amp; F2) - COUNTIF(Vertices[In-Degree], "&gt;=" &amp; F3)</calculatedColumnFormula>
    </tableColumn>
    <tableColumn id="5" name="Out-Degree Bin" dataDxfId="369"/>
    <tableColumn id="6" name="Out-Degree Frequency" dataDxfId="368">
      <calculatedColumnFormula>COUNTIF(Vertices[Out-Degree], "&gt;= " &amp; H2) - COUNTIF(Vertices[Out-Degree], "&gt;=" &amp; H3)</calculatedColumnFormula>
    </tableColumn>
    <tableColumn id="7" name="Betweenness Centrality Bin" dataDxfId="367"/>
    <tableColumn id="8" name="Betweenness Centrality Frequency" dataDxfId="366">
      <calculatedColumnFormula>COUNTIF(Vertices[Betweenness Centrality], "&gt;= " &amp; J2) - COUNTIF(Vertices[Betweenness Centrality], "&gt;=" &amp; J3)</calculatedColumnFormula>
    </tableColumn>
    <tableColumn id="9" name="Closeness Centrality Bin" dataDxfId="365"/>
    <tableColumn id="10" name="Closeness Centrality Frequency" dataDxfId="364">
      <calculatedColumnFormula>COUNTIF(Vertices[Closeness Centrality], "&gt;= " &amp; L2) - COUNTIF(Vertices[Closeness Centrality], "&gt;=" &amp; L3)</calculatedColumnFormula>
    </tableColumn>
    <tableColumn id="11" name="Eigenvector Centrality Bin" dataDxfId="363"/>
    <tableColumn id="12" name="Eigenvector Centrality Frequency" dataDxfId="362">
      <calculatedColumnFormula>COUNTIF(Vertices[Eigenvector Centrality], "&gt;= " &amp; N2) - COUNTIF(Vertices[Eigenvector Centrality], "&gt;=" &amp; N3)</calculatedColumnFormula>
    </tableColumn>
    <tableColumn id="18" name="PageRank Bin" dataDxfId="361"/>
    <tableColumn id="17" name="PageRank Frequency" dataDxfId="360">
      <calculatedColumnFormula>COUNTIF(Vertices[Eigenvector Centrality], "&gt;= " &amp; P2) - COUNTIF(Vertices[Eigenvector Centrality], "&gt;=" &amp; P3)</calculatedColumnFormula>
    </tableColumn>
    <tableColumn id="13" name="Clustering Coefficient Bin" dataDxfId="359"/>
    <tableColumn id="14" name="Clustering Coefficient Frequency" dataDxfId="358">
      <calculatedColumnFormula>COUNTIF(Vertices[Clustering Coefficient], "&gt;= " &amp; R2) - COUNTIF(Vertices[Clustering Coefficient], "&gt;=" &amp; R3)</calculatedColumnFormula>
    </tableColumn>
    <tableColumn id="15" name="Dynamic Filter Bin" dataDxfId="357"/>
    <tableColumn id="16" name="Dynamic Filter Frequency" dataDxfId="3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355">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alouskurssi.fi/" TargetMode="External" /><Relationship Id="rId2" Type="http://schemas.openxmlformats.org/officeDocument/2006/relationships/hyperlink" Target="https://twitter.com/HelsinkiGSE/status/1448530102837514240" TargetMode="External" /><Relationship Id="rId3" Type="http://schemas.openxmlformats.org/officeDocument/2006/relationships/hyperlink" Target="https://talouskurssi.fi/" TargetMode="External" /><Relationship Id="rId4" Type="http://schemas.openxmlformats.org/officeDocument/2006/relationships/hyperlink" Target="https://talouskurssi.fi/?fbclid=IwAR3lQxACK6cI50BBFObd0zCsOMC4Cq1tFNNNCY5sktWLRNSCs13ALYuQ2cg" TargetMode="External" /><Relationship Id="rId5" Type="http://schemas.openxmlformats.org/officeDocument/2006/relationships/hyperlink" Target="https://www.op.fi/op-ryhma/vastuullisuus/vastuullisuus/taloustaidot/talouskurssi" TargetMode="External" /><Relationship Id="rId6" Type="http://schemas.openxmlformats.org/officeDocument/2006/relationships/hyperlink" Target="https://twitter.com/helsinkigse/status/1448530102837514240" TargetMode="External" /><Relationship Id="rId7" Type="http://schemas.openxmlformats.org/officeDocument/2006/relationships/hyperlink" Target="https://www.linkedin.com/slink?code=dNTUEdbA" TargetMode="External" /><Relationship Id="rId8" Type="http://schemas.openxmlformats.org/officeDocument/2006/relationships/hyperlink" Target="https://www.linkedin.com/slink?code=dN5D_Pwk" TargetMode="External" /><Relationship Id="rId9" Type="http://schemas.openxmlformats.org/officeDocument/2006/relationships/hyperlink" Target="https://www.ekonomit.fi/ajankohtaista/tule-mukaan-talouskinkereille-opi-olennainen-taloudesta-viihdyttavasti-julia-thurenin-ja-vieraiden-seurassa/" TargetMode="External" /><Relationship Id="rId10" Type="http://schemas.openxmlformats.org/officeDocument/2006/relationships/hyperlink" Target="https://twitter.com/IdaLevanen/status/1448555809940643840" TargetMode="External" /><Relationship Id="rId11" Type="http://schemas.openxmlformats.org/officeDocument/2006/relationships/hyperlink" Target="https://talouskurssi.fi/" TargetMode="External" /><Relationship Id="rId12" Type="http://schemas.openxmlformats.org/officeDocument/2006/relationships/hyperlink" Target="https://twitter.com/HelsinkiGSE/status/1448530102837514240" TargetMode="External" /><Relationship Id="rId13" Type="http://schemas.openxmlformats.org/officeDocument/2006/relationships/hyperlink" Target="https://talouskurssi.fi/" TargetMode="External" /><Relationship Id="rId14" Type="http://schemas.openxmlformats.org/officeDocument/2006/relationships/hyperlink" Target="https://talouskurssi.fi/" TargetMode="External" /><Relationship Id="rId15" Type="http://schemas.openxmlformats.org/officeDocument/2006/relationships/hyperlink" Target="https://talouskurssi.fi/?fbclid=IwAR3lQxACK6cI50BBFObd0zCsOMC4Cq1tFNNNCY5sktWLRNSCs13ALYuQ2cg" TargetMode="External" /><Relationship Id="rId16" Type="http://schemas.openxmlformats.org/officeDocument/2006/relationships/hyperlink" Target="https://www.ekonomit.fi/ajankohtaista/tule-mukaan-talouskinkereille-opi-olennainen-taloudesta-viihdyttavasti-julia-thurenin-ja-vieraiden-seurassa/" TargetMode="External" /><Relationship Id="rId17" Type="http://schemas.openxmlformats.org/officeDocument/2006/relationships/hyperlink" Target="https://twitter.com/IdaLevanen/status/1448555809940643840" TargetMode="External" /><Relationship Id="rId18" Type="http://schemas.openxmlformats.org/officeDocument/2006/relationships/hyperlink" Target="https://twitter.com/HelsinkiGSE/status/1448530102837514240" TargetMode="External" /><Relationship Id="rId19" Type="http://schemas.openxmlformats.org/officeDocument/2006/relationships/hyperlink" Target="https://www.op.fi/op-ryhma/vastuullisuus/vastuullisuus/taloustaidot/talouskurssi" TargetMode="External" /><Relationship Id="rId20" Type="http://schemas.openxmlformats.org/officeDocument/2006/relationships/hyperlink" Target="https://twitter.com/helsinkigse/status/1448530102837514240" TargetMode="External" /><Relationship Id="rId21" Type="http://schemas.openxmlformats.org/officeDocument/2006/relationships/hyperlink" Target="https://www.linkedin.com/slink?code=dNTUEdbA" TargetMode="External" /><Relationship Id="rId22" Type="http://schemas.openxmlformats.org/officeDocument/2006/relationships/hyperlink" Target="https://www.linkedin.com/slink?code=dN5D_Pwk" TargetMode="External" /><Relationship Id="rId23" Type="http://schemas.openxmlformats.org/officeDocument/2006/relationships/hyperlink" Target="https://talouskurssi.fi/" TargetMode="External" /><Relationship Id="rId24" Type="http://schemas.openxmlformats.org/officeDocument/2006/relationships/hyperlink" Target="https://www.linkedin.com/slink?code=dNTUEdbA" TargetMode="External" /><Relationship Id="rId25" Type="http://schemas.openxmlformats.org/officeDocument/2006/relationships/hyperlink" Target="https://www.linkedin.com/slink?code=dN5D_Pwk" TargetMode="External" /><Relationship Id="rId26" Type="http://schemas.openxmlformats.org/officeDocument/2006/relationships/hyperlink" Target="https://twitter.com/helsinkigse/status/1448530102837514240" TargetMode="External" /><Relationship Id="rId27" Type="http://schemas.openxmlformats.org/officeDocument/2006/relationships/hyperlink" Target="https://twitter.com/HelsinkiGSE/status/1448530102837514240" TargetMode="External" /><Relationship Id="rId28" Type="http://schemas.openxmlformats.org/officeDocument/2006/relationships/hyperlink" Target="https://twitter.com/AtteHarjanne/status/1448617819982241796" TargetMode="External" /><Relationship Id="rId29" Type="http://schemas.openxmlformats.org/officeDocument/2006/relationships/hyperlink" Target="https://areena.yle.fi/audio/1-50940059?utm_source=twitter-share" TargetMode="External" /><Relationship Id="rId30" Type="http://schemas.openxmlformats.org/officeDocument/2006/relationships/hyperlink" Target="https://twitter.com/matiasmakynen/status/1448626251804053506" TargetMode="External" /><Relationship Id="rId31" Type="http://schemas.openxmlformats.org/officeDocument/2006/relationships/hyperlink" Target="https://twitter.com/OPHelsinki/status/1448647975987650570" TargetMode="External" /><Relationship Id="rId32" Type="http://schemas.openxmlformats.org/officeDocument/2006/relationships/hyperlink" Target="https://talouskurssi.fi/?fbclid=IwAR3lQxACK6cI50BBFObd0zCsOMC4Cq1tFNNNCY5sktWLRNSCs13ALYuQ2cg" TargetMode="External" /><Relationship Id="rId33" Type="http://schemas.openxmlformats.org/officeDocument/2006/relationships/hyperlink" Target="https://twitter.com/helsinkigse/status/1448530102837514240" TargetMode="External" /><Relationship Id="rId34" Type="http://schemas.openxmlformats.org/officeDocument/2006/relationships/hyperlink" Target="https://talouskurssi.fi/" TargetMode="External" /><Relationship Id="rId35" Type="http://schemas.openxmlformats.org/officeDocument/2006/relationships/hyperlink" Target="https://www.op.fi/op-ryhma/vastuullisuus/vastuullisuus/taloustaidot/talouskurssi" TargetMode="External" /><Relationship Id="rId36" Type="http://schemas.openxmlformats.org/officeDocument/2006/relationships/hyperlink" Target="https://twitter.com/troutamaa/status/1448600142685290504" TargetMode="External" /><Relationship Id="rId37" Type="http://schemas.openxmlformats.org/officeDocument/2006/relationships/hyperlink" Target="https://talouskurssi.fi/" TargetMode="External" /><Relationship Id="rId38" Type="http://schemas.openxmlformats.org/officeDocument/2006/relationships/hyperlink" Target="https://twitter.com/HelsinkiGSE/status/1448530102837514240" TargetMode="External" /><Relationship Id="rId39" Type="http://schemas.openxmlformats.org/officeDocument/2006/relationships/hyperlink" Target="https://www.op.fi/op-ryhma/vastuullisuus/vastuullisuus/taloustaidot/talouskurssi"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5"/>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908</v>
      </c>
      <c r="BD2" s="13" t="s">
        <v>918</v>
      </c>
      <c r="BE2" s="13" t="s">
        <v>919</v>
      </c>
      <c r="BF2" s="54" t="s">
        <v>1068</v>
      </c>
      <c r="BG2" s="54" t="s">
        <v>1069</v>
      </c>
      <c r="BH2" s="54" t="s">
        <v>1070</v>
      </c>
      <c r="BI2" s="54" t="s">
        <v>1071</v>
      </c>
      <c r="BJ2" s="54" t="s">
        <v>1072</v>
      </c>
      <c r="BK2" s="54" t="s">
        <v>1073</v>
      </c>
      <c r="BL2" s="54" t="s">
        <v>1074</v>
      </c>
      <c r="BM2" s="54" t="s">
        <v>1075</v>
      </c>
      <c r="BN2" s="54" t="s">
        <v>1076</v>
      </c>
    </row>
    <row r="3" spans="1:66" ht="15" customHeight="1">
      <c r="A3" s="66" t="s">
        <v>301</v>
      </c>
      <c r="B3" s="66" t="s">
        <v>293</v>
      </c>
      <c r="C3" s="67" t="s">
        <v>2108</v>
      </c>
      <c r="D3" s="68">
        <v>1</v>
      </c>
      <c r="E3" s="69" t="s">
        <v>132</v>
      </c>
      <c r="F3" s="70">
        <v>32</v>
      </c>
      <c r="G3" s="67" t="s">
        <v>51</v>
      </c>
      <c r="H3" s="71"/>
      <c r="I3" s="72"/>
      <c r="J3" s="72"/>
      <c r="K3" s="35" t="s">
        <v>65</v>
      </c>
      <c r="L3" s="73">
        <v>3</v>
      </c>
      <c r="M3" s="73"/>
      <c r="N3" s="74"/>
      <c r="O3" s="89" t="s">
        <v>307</v>
      </c>
      <c r="P3" s="92">
        <v>44483.25556712963</v>
      </c>
      <c r="Q3" s="89" t="s">
        <v>309</v>
      </c>
      <c r="R3" s="95" t="str">
        <f>HYPERLINK("https://twitter.com/helsinkigse/status/1448530102837514240")</f>
        <v>https://twitter.com/helsinkigse/status/1448530102837514240</v>
      </c>
      <c r="S3" s="89" t="s">
        <v>333</v>
      </c>
      <c r="T3" s="98" t="s">
        <v>338</v>
      </c>
      <c r="U3" s="89"/>
      <c r="V3" s="95" t="str">
        <f>HYPERLINK("https://pbs.twimg.com/profile_images/1313386689512042498/i0FBBxPa_normal.jpg")</f>
        <v>https://pbs.twimg.com/profile_images/1313386689512042498/i0FBBxPa_normal.jpg</v>
      </c>
      <c r="W3" s="92">
        <v>44483.25556712963</v>
      </c>
      <c r="X3" s="101">
        <v>44483</v>
      </c>
      <c r="Y3" s="98" t="s">
        <v>439</v>
      </c>
      <c r="Z3" s="95" t="str">
        <f>HYPERLINK("https://twitter.com/sapakarinen/status/1448531015937536003")</f>
        <v>https://twitter.com/sapakarinen/status/1448531015937536003</v>
      </c>
      <c r="AA3" s="89"/>
      <c r="AB3" s="89"/>
      <c r="AC3" s="98" t="s">
        <v>533</v>
      </c>
      <c r="AD3" s="89"/>
      <c r="AE3" s="89" t="b">
        <v>0</v>
      </c>
      <c r="AF3" s="89">
        <v>10</v>
      </c>
      <c r="AG3" s="98" t="s">
        <v>535</v>
      </c>
      <c r="AH3" s="89" t="b">
        <v>1</v>
      </c>
      <c r="AI3" s="89" t="s">
        <v>537</v>
      </c>
      <c r="AJ3" s="89"/>
      <c r="AK3" s="98" t="s">
        <v>526</v>
      </c>
      <c r="AL3" s="89" t="b">
        <v>0</v>
      </c>
      <c r="AM3" s="89">
        <v>1</v>
      </c>
      <c r="AN3" s="98" t="s">
        <v>535</v>
      </c>
      <c r="AO3" s="98" t="s">
        <v>543</v>
      </c>
      <c r="AP3" s="89" t="b">
        <v>0</v>
      </c>
      <c r="AQ3" s="98" t="s">
        <v>533</v>
      </c>
      <c r="AR3" s="89" t="s">
        <v>187</v>
      </c>
      <c r="AS3" s="89">
        <v>0</v>
      </c>
      <c r="AT3" s="89">
        <v>0</v>
      </c>
      <c r="AU3" s="89"/>
      <c r="AV3" s="89"/>
      <c r="AW3" s="89"/>
      <c r="AX3" s="89"/>
      <c r="AY3" s="89"/>
      <c r="AZ3" s="89"/>
      <c r="BA3" s="89"/>
      <c r="BB3" s="89"/>
      <c r="BC3" s="89">
        <v>1</v>
      </c>
      <c r="BD3" s="89" t="str">
        <f>REPLACE(INDEX(GroupVertices[Group],MATCH(Edges[[#This Row],[Vertex 1]],GroupVertices[Vertex],0)),1,1,"")</f>
        <v>3</v>
      </c>
      <c r="BE3" s="89" t="str">
        <f>REPLACE(INDEX(GroupVertices[Group],MATCH(Edges[[#This Row],[Vertex 2]],GroupVertices[Vertex],0)),1,1,"")</f>
        <v>3</v>
      </c>
      <c r="BF3" s="49">
        <v>0</v>
      </c>
      <c r="BG3" s="50">
        <v>0</v>
      </c>
      <c r="BH3" s="49">
        <v>0</v>
      </c>
      <c r="BI3" s="50">
        <v>0</v>
      </c>
      <c r="BJ3" s="49">
        <v>0</v>
      </c>
      <c r="BK3" s="50">
        <v>0</v>
      </c>
      <c r="BL3" s="49">
        <v>14</v>
      </c>
      <c r="BM3" s="50">
        <v>100</v>
      </c>
      <c r="BN3" s="49">
        <v>14</v>
      </c>
    </row>
    <row r="4" spans="1:66" ht="15" customHeight="1">
      <c r="A4" s="66" t="s">
        <v>225</v>
      </c>
      <c r="B4" s="66" t="s">
        <v>301</v>
      </c>
      <c r="C4" s="67" t="s">
        <v>2108</v>
      </c>
      <c r="D4" s="68">
        <v>1</v>
      </c>
      <c r="E4" s="69" t="s">
        <v>132</v>
      </c>
      <c r="F4" s="70">
        <v>32</v>
      </c>
      <c r="G4" s="67" t="s">
        <v>51</v>
      </c>
      <c r="H4" s="71"/>
      <c r="I4" s="72"/>
      <c r="J4" s="72"/>
      <c r="K4" s="35" t="s">
        <v>65</v>
      </c>
      <c r="L4" s="79">
        <v>4</v>
      </c>
      <c r="M4" s="79"/>
      <c r="N4" s="74"/>
      <c r="O4" s="90" t="s">
        <v>305</v>
      </c>
      <c r="P4" s="93">
        <v>44483.25817129629</v>
      </c>
      <c r="Q4" s="90" t="s">
        <v>309</v>
      </c>
      <c r="R4" s="96" t="str">
        <f>HYPERLINK("https://twitter.com/helsinkigse/status/1448530102837514240")</f>
        <v>https://twitter.com/helsinkigse/status/1448530102837514240</v>
      </c>
      <c r="S4" s="90" t="s">
        <v>333</v>
      </c>
      <c r="T4" s="99" t="s">
        <v>338</v>
      </c>
      <c r="U4" s="90"/>
      <c r="V4" s="96" t="str">
        <f>HYPERLINK("https://pbs.twimg.com/profile_images/1300021896050860032/LE_yIUpk_normal.jpg")</f>
        <v>https://pbs.twimg.com/profile_images/1300021896050860032/LE_yIUpk_normal.jpg</v>
      </c>
      <c r="W4" s="93">
        <v>44483.25817129629</v>
      </c>
      <c r="X4" s="102">
        <v>44483</v>
      </c>
      <c r="Y4" s="99" t="s">
        <v>346</v>
      </c>
      <c r="Z4" s="96" t="str">
        <f>HYPERLINK("https://twitter.com/tapioylipuranen/status/1448531960385638400")</f>
        <v>https://twitter.com/tapioylipuranen/status/1448531960385638400</v>
      </c>
      <c r="AA4" s="90"/>
      <c r="AB4" s="90"/>
      <c r="AC4" s="99" t="s">
        <v>440</v>
      </c>
      <c r="AD4" s="90"/>
      <c r="AE4" s="90" t="b">
        <v>0</v>
      </c>
      <c r="AF4" s="90">
        <v>0</v>
      </c>
      <c r="AG4" s="99" t="s">
        <v>535</v>
      </c>
      <c r="AH4" s="90" t="b">
        <v>1</v>
      </c>
      <c r="AI4" s="90" t="s">
        <v>537</v>
      </c>
      <c r="AJ4" s="90"/>
      <c r="AK4" s="99" t="s">
        <v>526</v>
      </c>
      <c r="AL4" s="90" t="b">
        <v>0</v>
      </c>
      <c r="AM4" s="90">
        <v>1</v>
      </c>
      <c r="AN4" s="99" t="s">
        <v>533</v>
      </c>
      <c r="AO4" s="99" t="s">
        <v>542</v>
      </c>
      <c r="AP4" s="90" t="b">
        <v>0</v>
      </c>
      <c r="AQ4" s="99" t="s">
        <v>533</v>
      </c>
      <c r="AR4" s="90" t="s">
        <v>187</v>
      </c>
      <c r="AS4" s="90">
        <v>0</v>
      </c>
      <c r="AT4" s="90">
        <v>0</v>
      </c>
      <c r="AU4" s="90"/>
      <c r="AV4" s="90"/>
      <c r="AW4" s="90"/>
      <c r="AX4" s="90"/>
      <c r="AY4" s="90"/>
      <c r="AZ4" s="90"/>
      <c r="BA4" s="90"/>
      <c r="BB4" s="90"/>
      <c r="BC4" s="90">
        <v>1</v>
      </c>
      <c r="BD4" s="89" t="str">
        <f>REPLACE(INDEX(GroupVertices[Group],MATCH(Edges[[#This Row],[Vertex 1]],GroupVertices[Vertex],0)),1,1,"")</f>
        <v>3</v>
      </c>
      <c r="BE4" s="89" t="str">
        <f>REPLACE(INDEX(GroupVertices[Group],MATCH(Edges[[#This Row],[Vertex 2]],GroupVertices[Vertex],0)),1,1,"")</f>
        <v>3</v>
      </c>
      <c r="BF4" s="49"/>
      <c r="BG4" s="50"/>
      <c r="BH4" s="49"/>
      <c r="BI4" s="50"/>
      <c r="BJ4" s="49"/>
      <c r="BK4" s="50"/>
      <c r="BL4" s="49"/>
      <c r="BM4" s="50"/>
      <c r="BN4" s="49"/>
    </row>
    <row r="5" spans="1:66" ht="15">
      <c r="A5" s="66" t="s">
        <v>225</v>
      </c>
      <c r="B5" s="66" t="s">
        <v>293</v>
      </c>
      <c r="C5" s="67" t="s">
        <v>2108</v>
      </c>
      <c r="D5" s="68">
        <v>1</v>
      </c>
      <c r="E5" s="69" t="s">
        <v>132</v>
      </c>
      <c r="F5" s="70">
        <v>32</v>
      </c>
      <c r="G5" s="67" t="s">
        <v>51</v>
      </c>
      <c r="H5" s="71"/>
      <c r="I5" s="72"/>
      <c r="J5" s="72"/>
      <c r="K5" s="35" t="s">
        <v>65</v>
      </c>
      <c r="L5" s="79">
        <v>5</v>
      </c>
      <c r="M5" s="79"/>
      <c r="N5" s="74"/>
      <c r="O5" s="90" t="s">
        <v>306</v>
      </c>
      <c r="P5" s="93">
        <v>44483.25817129629</v>
      </c>
      <c r="Q5" s="90" t="s">
        <v>309</v>
      </c>
      <c r="R5" s="96" t="str">
        <f>HYPERLINK("https://twitter.com/helsinkigse/status/1448530102837514240")</f>
        <v>https://twitter.com/helsinkigse/status/1448530102837514240</v>
      </c>
      <c r="S5" s="90" t="s">
        <v>333</v>
      </c>
      <c r="T5" s="99" t="s">
        <v>338</v>
      </c>
      <c r="U5" s="90"/>
      <c r="V5" s="96" t="str">
        <f>HYPERLINK("https://pbs.twimg.com/profile_images/1300021896050860032/LE_yIUpk_normal.jpg")</f>
        <v>https://pbs.twimg.com/profile_images/1300021896050860032/LE_yIUpk_normal.jpg</v>
      </c>
      <c r="W5" s="93">
        <v>44483.25817129629</v>
      </c>
      <c r="X5" s="102">
        <v>44483</v>
      </c>
      <c r="Y5" s="99" t="s">
        <v>346</v>
      </c>
      <c r="Z5" s="96" t="str">
        <f>HYPERLINK("https://twitter.com/tapioylipuranen/status/1448531960385638400")</f>
        <v>https://twitter.com/tapioylipuranen/status/1448531960385638400</v>
      </c>
      <c r="AA5" s="90"/>
      <c r="AB5" s="90"/>
      <c r="AC5" s="99" t="s">
        <v>440</v>
      </c>
      <c r="AD5" s="90"/>
      <c r="AE5" s="90" t="b">
        <v>0</v>
      </c>
      <c r="AF5" s="90">
        <v>0</v>
      </c>
      <c r="AG5" s="99" t="s">
        <v>535</v>
      </c>
      <c r="AH5" s="90" t="b">
        <v>1</v>
      </c>
      <c r="AI5" s="90" t="s">
        <v>537</v>
      </c>
      <c r="AJ5" s="90"/>
      <c r="AK5" s="99" t="s">
        <v>526</v>
      </c>
      <c r="AL5" s="90" t="b">
        <v>0</v>
      </c>
      <c r="AM5" s="90">
        <v>1</v>
      </c>
      <c r="AN5" s="99" t="s">
        <v>533</v>
      </c>
      <c r="AO5" s="99" t="s">
        <v>542</v>
      </c>
      <c r="AP5" s="90" t="b">
        <v>0</v>
      </c>
      <c r="AQ5" s="99" t="s">
        <v>533</v>
      </c>
      <c r="AR5" s="90" t="s">
        <v>187</v>
      </c>
      <c r="AS5" s="90">
        <v>0</v>
      </c>
      <c r="AT5" s="90">
        <v>0</v>
      </c>
      <c r="AU5" s="90"/>
      <c r="AV5" s="90"/>
      <c r="AW5" s="90"/>
      <c r="AX5" s="90"/>
      <c r="AY5" s="90"/>
      <c r="AZ5" s="90"/>
      <c r="BA5" s="90"/>
      <c r="BB5" s="90"/>
      <c r="BC5" s="90">
        <v>1</v>
      </c>
      <c r="BD5" s="89" t="str">
        <f>REPLACE(INDEX(GroupVertices[Group],MATCH(Edges[[#This Row],[Vertex 1]],GroupVertices[Vertex],0)),1,1,"")</f>
        <v>3</v>
      </c>
      <c r="BE5" s="89" t="str">
        <f>REPLACE(INDEX(GroupVertices[Group],MATCH(Edges[[#This Row],[Vertex 2]],GroupVertices[Vertex],0)),1,1,"")</f>
        <v>3</v>
      </c>
      <c r="BF5" s="49">
        <v>0</v>
      </c>
      <c r="BG5" s="50">
        <v>0</v>
      </c>
      <c r="BH5" s="49">
        <v>0</v>
      </c>
      <c r="BI5" s="50">
        <v>0</v>
      </c>
      <c r="BJ5" s="49">
        <v>0</v>
      </c>
      <c r="BK5" s="50">
        <v>0</v>
      </c>
      <c r="BL5" s="49">
        <v>14</v>
      </c>
      <c r="BM5" s="50">
        <v>100</v>
      </c>
      <c r="BN5" s="49">
        <v>14</v>
      </c>
    </row>
    <row r="6" spans="1:66" ht="15">
      <c r="A6" s="66" t="s">
        <v>226</v>
      </c>
      <c r="B6" s="66" t="s">
        <v>299</v>
      </c>
      <c r="C6" s="67" t="s">
        <v>2108</v>
      </c>
      <c r="D6" s="68">
        <v>1</v>
      </c>
      <c r="E6" s="69" t="s">
        <v>132</v>
      </c>
      <c r="F6" s="70">
        <v>32</v>
      </c>
      <c r="G6" s="67" t="s">
        <v>51</v>
      </c>
      <c r="H6" s="71"/>
      <c r="I6" s="72"/>
      <c r="J6" s="72"/>
      <c r="K6" s="35" t="s">
        <v>65</v>
      </c>
      <c r="L6" s="79">
        <v>6</v>
      </c>
      <c r="M6" s="79"/>
      <c r="N6" s="74"/>
      <c r="O6" s="90" t="s">
        <v>306</v>
      </c>
      <c r="P6" s="93">
        <v>44483.26237268518</v>
      </c>
      <c r="Q6" s="90" t="s">
        <v>310</v>
      </c>
      <c r="R6" s="96" t="str">
        <f>HYPERLINK("https://talouskurssi.fi/")</f>
        <v>https://talouskurssi.fi/</v>
      </c>
      <c r="S6" s="90" t="s">
        <v>334</v>
      </c>
      <c r="T6" s="99" t="s">
        <v>338</v>
      </c>
      <c r="U6" s="96" t="str">
        <f>HYPERLINK("https://pbs.twimg.com/ext_tw_video_thumb/1448527896562348036/pu/img/0PqSbNMaXHvzKHCc.jpg")</f>
        <v>https://pbs.twimg.com/ext_tw_video_thumb/1448527896562348036/pu/img/0PqSbNMaXHvzKHCc.jpg</v>
      </c>
      <c r="V6" s="96" t="str">
        <f>HYPERLINK("https://pbs.twimg.com/ext_tw_video_thumb/1448527896562348036/pu/img/0PqSbNMaXHvzKHCc.jpg")</f>
        <v>https://pbs.twimg.com/ext_tw_video_thumb/1448527896562348036/pu/img/0PqSbNMaXHvzKHCc.jpg</v>
      </c>
      <c r="W6" s="93">
        <v>44483.26237268518</v>
      </c>
      <c r="X6" s="102">
        <v>44483</v>
      </c>
      <c r="Y6" s="99" t="s">
        <v>347</v>
      </c>
      <c r="Z6" s="96" t="str">
        <f>HYPERLINK("https://twitter.com/jaakkoha/status/1448533484453117953")</f>
        <v>https://twitter.com/jaakkoha/status/1448533484453117953</v>
      </c>
      <c r="AA6" s="90"/>
      <c r="AB6" s="90"/>
      <c r="AC6" s="99" t="s">
        <v>441</v>
      </c>
      <c r="AD6" s="90"/>
      <c r="AE6" s="90" t="b">
        <v>0</v>
      </c>
      <c r="AF6" s="90">
        <v>0</v>
      </c>
      <c r="AG6" s="99" t="s">
        <v>535</v>
      </c>
      <c r="AH6" s="90" t="b">
        <v>0</v>
      </c>
      <c r="AI6" s="90" t="s">
        <v>537</v>
      </c>
      <c r="AJ6" s="90"/>
      <c r="AK6" s="99" t="s">
        <v>535</v>
      </c>
      <c r="AL6" s="90" t="b">
        <v>0</v>
      </c>
      <c r="AM6" s="90">
        <v>52</v>
      </c>
      <c r="AN6" s="99" t="s">
        <v>526</v>
      </c>
      <c r="AO6" s="99" t="s">
        <v>543</v>
      </c>
      <c r="AP6" s="90" t="b">
        <v>0</v>
      </c>
      <c r="AQ6" s="99" t="s">
        <v>526</v>
      </c>
      <c r="AR6" s="90" t="s">
        <v>187</v>
      </c>
      <c r="AS6" s="90">
        <v>0</v>
      </c>
      <c r="AT6" s="90">
        <v>0</v>
      </c>
      <c r="AU6" s="90"/>
      <c r="AV6" s="90"/>
      <c r="AW6" s="90"/>
      <c r="AX6" s="90"/>
      <c r="AY6" s="90"/>
      <c r="AZ6" s="90"/>
      <c r="BA6" s="90"/>
      <c r="BB6" s="90"/>
      <c r="BC6" s="90">
        <v>1</v>
      </c>
      <c r="BD6" s="89" t="str">
        <f>REPLACE(INDEX(GroupVertices[Group],MATCH(Edges[[#This Row],[Vertex 1]],GroupVertices[Vertex],0)),1,1,"")</f>
        <v>1</v>
      </c>
      <c r="BE6" s="89" t="str">
        <f>REPLACE(INDEX(GroupVertices[Group],MATCH(Edges[[#This Row],[Vertex 2]],GroupVertices[Vertex],0)),1,1,"")</f>
        <v>1</v>
      </c>
      <c r="BF6" s="49"/>
      <c r="BG6" s="50"/>
      <c r="BH6" s="49"/>
      <c r="BI6" s="50"/>
      <c r="BJ6" s="49"/>
      <c r="BK6" s="50"/>
      <c r="BL6" s="49"/>
      <c r="BM6" s="50"/>
      <c r="BN6" s="49"/>
    </row>
    <row r="7" spans="1:66" ht="15">
      <c r="A7" s="66" t="s">
        <v>226</v>
      </c>
      <c r="B7" s="66" t="s">
        <v>302</v>
      </c>
      <c r="C7" s="67" t="s">
        <v>2108</v>
      </c>
      <c r="D7" s="68">
        <v>1</v>
      </c>
      <c r="E7" s="69" t="s">
        <v>132</v>
      </c>
      <c r="F7" s="70">
        <v>32</v>
      </c>
      <c r="G7" s="67" t="s">
        <v>51</v>
      </c>
      <c r="H7" s="71"/>
      <c r="I7" s="72"/>
      <c r="J7" s="72"/>
      <c r="K7" s="35" t="s">
        <v>65</v>
      </c>
      <c r="L7" s="79">
        <v>7</v>
      </c>
      <c r="M7" s="79"/>
      <c r="N7" s="74"/>
      <c r="O7" s="90" t="s">
        <v>306</v>
      </c>
      <c r="P7" s="93">
        <v>44483.26237268518</v>
      </c>
      <c r="Q7" s="90" t="s">
        <v>310</v>
      </c>
      <c r="R7" s="96" t="str">
        <f>HYPERLINK("https://talouskurssi.fi/")</f>
        <v>https://talouskurssi.fi/</v>
      </c>
      <c r="S7" s="90" t="s">
        <v>334</v>
      </c>
      <c r="T7" s="99" t="s">
        <v>338</v>
      </c>
      <c r="U7" s="96" t="str">
        <f>HYPERLINK("https://pbs.twimg.com/ext_tw_video_thumb/1448527896562348036/pu/img/0PqSbNMaXHvzKHCc.jpg")</f>
        <v>https://pbs.twimg.com/ext_tw_video_thumb/1448527896562348036/pu/img/0PqSbNMaXHvzKHCc.jpg</v>
      </c>
      <c r="V7" s="96" t="str">
        <f>HYPERLINK("https://pbs.twimg.com/ext_tw_video_thumb/1448527896562348036/pu/img/0PqSbNMaXHvzKHCc.jpg")</f>
        <v>https://pbs.twimg.com/ext_tw_video_thumb/1448527896562348036/pu/img/0PqSbNMaXHvzKHCc.jpg</v>
      </c>
      <c r="W7" s="93">
        <v>44483.26237268518</v>
      </c>
      <c r="X7" s="102">
        <v>44483</v>
      </c>
      <c r="Y7" s="99" t="s">
        <v>347</v>
      </c>
      <c r="Z7" s="96" t="str">
        <f>HYPERLINK("https://twitter.com/jaakkoha/status/1448533484453117953")</f>
        <v>https://twitter.com/jaakkoha/status/1448533484453117953</v>
      </c>
      <c r="AA7" s="90"/>
      <c r="AB7" s="90"/>
      <c r="AC7" s="99" t="s">
        <v>441</v>
      </c>
      <c r="AD7" s="90"/>
      <c r="AE7" s="90" t="b">
        <v>0</v>
      </c>
      <c r="AF7" s="90">
        <v>0</v>
      </c>
      <c r="AG7" s="99" t="s">
        <v>535</v>
      </c>
      <c r="AH7" s="90" t="b">
        <v>0</v>
      </c>
      <c r="AI7" s="90" t="s">
        <v>537</v>
      </c>
      <c r="AJ7" s="90"/>
      <c r="AK7" s="99" t="s">
        <v>535</v>
      </c>
      <c r="AL7" s="90" t="b">
        <v>0</v>
      </c>
      <c r="AM7" s="90">
        <v>52</v>
      </c>
      <c r="AN7" s="99" t="s">
        <v>526</v>
      </c>
      <c r="AO7" s="99" t="s">
        <v>543</v>
      </c>
      <c r="AP7" s="90" t="b">
        <v>0</v>
      </c>
      <c r="AQ7" s="99" t="s">
        <v>526</v>
      </c>
      <c r="AR7" s="90" t="s">
        <v>187</v>
      </c>
      <c r="AS7" s="90">
        <v>0</v>
      </c>
      <c r="AT7" s="90">
        <v>0</v>
      </c>
      <c r="AU7" s="90"/>
      <c r="AV7" s="90"/>
      <c r="AW7" s="90"/>
      <c r="AX7" s="90"/>
      <c r="AY7" s="90"/>
      <c r="AZ7" s="90"/>
      <c r="BA7" s="90"/>
      <c r="BB7" s="90"/>
      <c r="BC7" s="90">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28</v>
      </c>
      <c r="BM7" s="50">
        <v>100</v>
      </c>
      <c r="BN7" s="49">
        <v>28</v>
      </c>
    </row>
    <row r="8" spans="1:66" ht="15">
      <c r="A8" s="66" t="s">
        <v>226</v>
      </c>
      <c r="B8" s="66" t="s">
        <v>293</v>
      </c>
      <c r="C8" s="67" t="s">
        <v>2108</v>
      </c>
      <c r="D8" s="68">
        <v>1</v>
      </c>
      <c r="E8" s="69" t="s">
        <v>132</v>
      </c>
      <c r="F8" s="70">
        <v>32</v>
      </c>
      <c r="G8" s="67" t="s">
        <v>51</v>
      </c>
      <c r="H8" s="71"/>
      <c r="I8" s="72"/>
      <c r="J8" s="72"/>
      <c r="K8" s="35" t="s">
        <v>65</v>
      </c>
      <c r="L8" s="79">
        <v>8</v>
      </c>
      <c r="M8" s="79"/>
      <c r="N8" s="74"/>
      <c r="O8" s="90" t="s">
        <v>305</v>
      </c>
      <c r="P8" s="93">
        <v>44483.26237268518</v>
      </c>
      <c r="Q8" s="90" t="s">
        <v>310</v>
      </c>
      <c r="R8" s="96" t="str">
        <f>HYPERLINK("https://talouskurssi.fi/")</f>
        <v>https://talouskurssi.fi/</v>
      </c>
      <c r="S8" s="90" t="s">
        <v>334</v>
      </c>
      <c r="T8" s="99" t="s">
        <v>338</v>
      </c>
      <c r="U8" s="96" t="str">
        <f>HYPERLINK("https://pbs.twimg.com/ext_tw_video_thumb/1448527896562348036/pu/img/0PqSbNMaXHvzKHCc.jpg")</f>
        <v>https://pbs.twimg.com/ext_tw_video_thumb/1448527896562348036/pu/img/0PqSbNMaXHvzKHCc.jpg</v>
      </c>
      <c r="V8" s="96" t="str">
        <f>HYPERLINK("https://pbs.twimg.com/ext_tw_video_thumb/1448527896562348036/pu/img/0PqSbNMaXHvzKHCc.jpg")</f>
        <v>https://pbs.twimg.com/ext_tw_video_thumb/1448527896562348036/pu/img/0PqSbNMaXHvzKHCc.jpg</v>
      </c>
      <c r="W8" s="93">
        <v>44483.26237268518</v>
      </c>
      <c r="X8" s="102">
        <v>44483</v>
      </c>
      <c r="Y8" s="99" t="s">
        <v>347</v>
      </c>
      <c r="Z8" s="96" t="str">
        <f>HYPERLINK("https://twitter.com/jaakkoha/status/1448533484453117953")</f>
        <v>https://twitter.com/jaakkoha/status/1448533484453117953</v>
      </c>
      <c r="AA8" s="90"/>
      <c r="AB8" s="90"/>
      <c r="AC8" s="99" t="s">
        <v>441</v>
      </c>
      <c r="AD8" s="90"/>
      <c r="AE8" s="90" t="b">
        <v>0</v>
      </c>
      <c r="AF8" s="90">
        <v>0</v>
      </c>
      <c r="AG8" s="99" t="s">
        <v>535</v>
      </c>
      <c r="AH8" s="90" t="b">
        <v>0</v>
      </c>
      <c r="AI8" s="90" t="s">
        <v>537</v>
      </c>
      <c r="AJ8" s="90"/>
      <c r="AK8" s="99" t="s">
        <v>535</v>
      </c>
      <c r="AL8" s="90" t="b">
        <v>0</v>
      </c>
      <c r="AM8" s="90">
        <v>52</v>
      </c>
      <c r="AN8" s="99" t="s">
        <v>526</v>
      </c>
      <c r="AO8" s="99" t="s">
        <v>543</v>
      </c>
      <c r="AP8" s="90" t="b">
        <v>0</v>
      </c>
      <c r="AQ8" s="99" t="s">
        <v>526</v>
      </c>
      <c r="AR8" s="90" t="s">
        <v>187</v>
      </c>
      <c r="AS8" s="90">
        <v>0</v>
      </c>
      <c r="AT8" s="90">
        <v>0</v>
      </c>
      <c r="AU8" s="90"/>
      <c r="AV8" s="90"/>
      <c r="AW8" s="90"/>
      <c r="AX8" s="90"/>
      <c r="AY8" s="90"/>
      <c r="AZ8" s="90"/>
      <c r="BA8" s="90"/>
      <c r="BB8" s="90"/>
      <c r="BC8" s="90">
        <v>1</v>
      </c>
      <c r="BD8" s="89" t="str">
        <f>REPLACE(INDEX(GroupVertices[Group],MATCH(Edges[[#This Row],[Vertex 1]],GroupVertices[Vertex],0)),1,1,"")</f>
        <v>1</v>
      </c>
      <c r="BE8" s="89" t="str">
        <f>REPLACE(INDEX(GroupVertices[Group],MATCH(Edges[[#This Row],[Vertex 2]],GroupVertices[Vertex],0)),1,1,"")</f>
        <v>3</v>
      </c>
      <c r="BF8" s="49"/>
      <c r="BG8" s="50"/>
      <c r="BH8" s="49"/>
      <c r="BI8" s="50"/>
      <c r="BJ8" s="49"/>
      <c r="BK8" s="50"/>
      <c r="BL8" s="49"/>
      <c r="BM8" s="50"/>
      <c r="BN8" s="49"/>
    </row>
    <row r="9" spans="1:66" ht="15">
      <c r="A9" s="66" t="s">
        <v>227</v>
      </c>
      <c r="B9" s="66" t="s">
        <v>299</v>
      </c>
      <c r="C9" s="67" t="s">
        <v>2108</v>
      </c>
      <c r="D9" s="68">
        <v>1</v>
      </c>
      <c r="E9" s="69" t="s">
        <v>132</v>
      </c>
      <c r="F9" s="70">
        <v>32</v>
      </c>
      <c r="G9" s="67" t="s">
        <v>51</v>
      </c>
      <c r="H9" s="71"/>
      <c r="I9" s="72"/>
      <c r="J9" s="72"/>
      <c r="K9" s="35" t="s">
        <v>65</v>
      </c>
      <c r="L9" s="79">
        <v>9</v>
      </c>
      <c r="M9" s="79"/>
      <c r="N9" s="74"/>
      <c r="O9" s="90" t="s">
        <v>306</v>
      </c>
      <c r="P9" s="93">
        <v>44483.26332175926</v>
      </c>
      <c r="Q9" s="90" t="s">
        <v>310</v>
      </c>
      <c r="R9" s="96" t="str">
        <f>HYPERLINK("https://talouskurssi.fi/")</f>
        <v>https://talouskurssi.fi/</v>
      </c>
      <c r="S9" s="90" t="s">
        <v>334</v>
      </c>
      <c r="T9" s="99" t="s">
        <v>338</v>
      </c>
      <c r="U9" s="96" t="str">
        <f>HYPERLINK("https://pbs.twimg.com/ext_tw_video_thumb/1448527896562348036/pu/img/0PqSbNMaXHvzKHCc.jpg")</f>
        <v>https://pbs.twimg.com/ext_tw_video_thumb/1448527896562348036/pu/img/0PqSbNMaXHvzKHCc.jpg</v>
      </c>
      <c r="V9" s="96" t="str">
        <f>HYPERLINK("https://pbs.twimg.com/ext_tw_video_thumb/1448527896562348036/pu/img/0PqSbNMaXHvzKHCc.jpg")</f>
        <v>https://pbs.twimg.com/ext_tw_video_thumb/1448527896562348036/pu/img/0PqSbNMaXHvzKHCc.jpg</v>
      </c>
      <c r="W9" s="93">
        <v>44483.26332175926</v>
      </c>
      <c r="X9" s="102">
        <v>44483</v>
      </c>
      <c r="Y9" s="99" t="s">
        <v>348</v>
      </c>
      <c r="Z9" s="96" t="str">
        <f>HYPERLINK("https://twitter.com/jmkorhonen/status/1448533825550786562")</f>
        <v>https://twitter.com/jmkorhonen/status/1448533825550786562</v>
      </c>
      <c r="AA9" s="90"/>
      <c r="AB9" s="90"/>
      <c r="AC9" s="99" t="s">
        <v>442</v>
      </c>
      <c r="AD9" s="90"/>
      <c r="AE9" s="90" t="b">
        <v>0</v>
      </c>
      <c r="AF9" s="90">
        <v>0</v>
      </c>
      <c r="AG9" s="99" t="s">
        <v>535</v>
      </c>
      <c r="AH9" s="90" t="b">
        <v>0</v>
      </c>
      <c r="AI9" s="90" t="s">
        <v>537</v>
      </c>
      <c r="AJ9" s="90"/>
      <c r="AK9" s="99" t="s">
        <v>535</v>
      </c>
      <c r="AL9" s="90" t="b">
        <v>0</v>
      </c>
      <c r="AM9" s="90">
        <v>52</v>
      </c>
      <c r="AN9" s="99" t="s">
        <v>526</v>
      </c>
      <c r="AO9" s="99" t="s">
        <v>542</v>
      </c>
      <c r="AP9" s="90" t="b">
        <v>0</v>
      </c>
      <c r="AQ9" s="99" t="s">
        <v>526</v>
      </c>
      <c r="AR9" s="90" t="s">
        <v>187</v>
      </c>
      <c r="AS9" s="90">
        <v>0</v>
      </c>
      <c r="AT9" s="90">
        <v>0</v>
      </c>
      <c r="AU9" s="90"/>
      <c r="AV9" s="90"/>
      <c r="AW9" s="90"/>
      <c r="AX9" s="90"/>
      <c r="AY9" s="90"/>
      <c r="AZ9" s="90"/>
      <c r="BA9" s="90"/>
      <c r="BB9" s="90"/>
      <c r="BC9" s="90">
        <v>1</v>
      </c>
      <c r="BD9" s="89" t="str">
        <f>REPLACE(INDEX(GroupVertices[Group],MATCH(Edges[[#This Row],[Vertex 1]],GroupVertices[Vertex],0)),1,1,"")</f>
        <v>1</v>
      </c>
      <c r="BE9" s="89" t="str">
        <f>REPLACE(INDEX(GroupVertices[Group],MATCH(Edges[[#This Row],[Vertex 2]],GroupVertices[Vertex],0)),1,1,"")</f>
        <v>1</v>
      </c>
      <c r="BF9" s="49"/>
      <c r="BG9" s="50"/>
      <c r="BH9" s="49"/>
      <c r="BI9" s="50"/>
      <c r="BJ9" s="49"/>
      <c r="BK9" s="50"/>
      <c r="BL9" s="49"/>
      <c r="BM9" s="50"/>
      <c r="BN9" s="49"/>
    </row>
    <row r="10" spans="1:66" ht="15">
      <c r="A10" s="66" t="s">
        <v>227</v>
      </c>
      <c r="B10" s="66" t="s">
        <v>302</v>
      </c>
      <c r="C10" s="67" t="s">
        <v>2108</v>
      </c>
      <c r="D10" s="68">
        <v>1</v>
      </c>
      <c r="E10" s="69" t="s">
        <v>132</v>
      </c>
      <c r="F10" s="70">
        <v>32</v>
      </c>
      <c r="G10" s="67" t="s">
        <v>51</v>
      </c>
      <c r="H10" s="71"/>
      <c r="I10" s="72"/>
      <c r="J10" s="72"/>
      <c r="K10" s="35" t="s">
        <v>65</v>
      </c>
      <c r="L10" s="79">
        <v>10</v>
      </c>
      <c r="M10" s="79"/>
      <c r="N10" s="74"/>
      <c r="O10" s="90" t="s">
        <v>306</v>
      </c>
      <c r="P10" s="93">
        <v>44483.26332175926</v>
      </c>
      <c r="Q10" s="90" t="s">
        <v>310</v>
      </c>
      <c r="R10" s="96" t="str">
        <f>HYPERLINK("https://talouskurssi.fi/")</f>
        <v>https://talouskurssi.fi/</v>
      </c>
      <c r="S10" s="90" t="s">
        <v>334</v>
      </c>
      <c r="T10" s="99" t="s">
        <v>338</v>
      </c>
      <c r="U10" s="96" t="str">
        <f>HYPERLINK("https://pbs.twimg.com/ext_tw_video_thumb/1448527896562348036/pu/img/0PqSbNMaXHvzKHCc.jpg")</f>
        <v>https://pbs.twimg.com/ext_tw_video_thumb/1448527896562348036/pu/img/0PqSbNMaXHvzKHCc.jpg</v>
      </c>
      <c r="V10" s="96" t="str">
        <f>HYPERLINK("https://pbs.twimg.com/ext_tw_video_thumb/1448527896562348036/pu/img/0PqSbNMaXHvzKHCc.jpg")</f>
        <v>https://pbs.twimg.com/ext_tw_video_thumb/1448527896562348036/pu/img/0PqSbNMaXHvzKHCc.jpg</v>
      </c>
      <c r="W10" s="93">
        <v>44483.26332175926</v>
      </c>
      <c r="X10" s="102">
        <v>44483</v>
      </c>
      <c r="Y10" s="99" t="s">
        <v>348</v>
      </c>
      <c r="Z10" s="96" t="str">
        <f>HYPERLINK("https://twitter.com/jmkorhonen/status/1448533825550786562")</f>
        <v>https://twitter.com/jmkorhonen/status/1448533825550786562</v>
      </c>
      <c r="AA10" s="90"/>
      <c r="AB10" s="90"/>
      <c r="AC10" s="99" t="s">
        <v>442</v>
      </c>
      <c r="AD10" s="90"/>
      <c r="AE10" s="90" t="b">
        <v>0</v>
      </c>
      <c r="AF10" s="90">
        <v>0</v>
      </c>
      <c r="AG10" s="99" t="s">
        <v>535</v>
      </c>
      <c r="AH10" s="90" t="b">
        <v>0</v>
      </c>
      <c r="AI10" s="90" t="s">
        <v>537</v>
      </c>
      <c r="AJ10" s="90"/>
      <c r="AK10" s="99" t="s">
        <v>535</v>
      </c>
      <c r="AL10" s="90" t="b">
        <v>0</v>
      </c>
      <c r="AM10" s="90">
        <v>52</v>
      </c>
      <c r="AN10" s="99" t="s">
        <v>526</v>
      </c>
      <c r="AO10" s="99" t="s">
        <v>542</v>
      </c>
      <c r="AP10" s="90" t="b">
        <v>0</v>
      </c>
      <c r="AQ10" s="99" t="s">
        <v>526</v>
      </c>
      <c r="AR10" s="90" t="s">
        <v>187</v>
      </c>
      <c r="AS10" s="90">
        <v>0</v>
      </c>
      <c r="AT10" s="90">
        <v>0</v>
      </c>
      <c r="AU10" s="90"/>
      <c r="AV10" s="90"/>
      <c r="AW10" s="90"/>
      <c r="AX10" s="90"/>
      <c r="AY10" s="90"/>
      <c r="AZ10" s="90"/>
      <c r="BA10" s="90"/>
      <c r="BB10" s="90"/>
      <c r="BC10" s="90">
        <v>1</v>
      </c>
      <c r="BD10" s="89" t="str">
        <f>REPLACE(INDEX(GroupVertices[Group],MATCH(Edges[[#This Row],[Vertex 1]],GroupVertices[Vertex],0)),1,1,"")</f>
        <v>1</v>
      </c>
      <c r="BE10" s="89" t="str">
        <f>REPLACE(INDEX(GroupVertices[Group],MATCH(Edges[[#This Row],[Vertex 2]],GroupVertices[Vertex],0)),1,1,"")</f>
        <v>1</v>
      </c>
      <c r="BF10" s="49"/>
      <c r="BG10" s="50"/>
      <c r="BH10" s="49"/>
      <c r="BI10" s="50"/>
      <c r="BJ10" s="49"/>
      <c r="BK10" s="50"/>
      <c r="BL10" s="49"/>
      <c r="BM10" s="50"/>
      <c r="BN10" s="49"/>
    </row>
    <row r="11" spans="1:66" ht="15">
      <c r="A11" s="66" t="s">
        <v>227</v>
      </c>
      <c r="B11" s="66" t="s">
        <v>293</v>
      </c>
      <c r="C11" s="67" t="s">
        <v>2108</v>
      </c>
      <c r="D11" s="68">
        <v>1</v>
      </c>
      <c r="E11" s="69" t="s">
        <v>132</v>
      </c>
      <c r="F11" s="70">
        <v>32</v>
      </c>
      <c r="G11" s="67" t="s">
        <v>51</v>
      </c>
      <c r="H11" s="71"/>
      <c r="I11" s="72"/>
      <c r="J11" s="72"/>
      <c r="K11" s="35" t="s">
        <v>65</v>
      </c>
      <c r="L11" s="79">
        <v>11</v>
      </c>
      <c r="M11" s="79"/>
      <c r="N11" s="74"/>
      <c r="O11" s="90" t="s">
        <v>305</v>
      </c>
      <c r="P11" s="93">
        <v>44483.26332175926</v>
      </c>
      <c r="Q11" s="90" t="s">
        <v>310</v>
      </c>
      <c r="R11" s="96" t="str">
        <f>HYPERLINK("https://talouskurssi.fi/")</f>
        <v>https://talouskurssi.fi/</v>
      </c>
      <c r="S11" s="90" t="s">
        <v>334</v>
      </c>
      <c r="T11" s="99" t="s">
        <v>338</v>
      </c>
      <c r="U11" s="96" t="str">
        <f>HYPERLINK("https://pbs.twimg.com/ext_tw_video_thumb/1448527896562348036/pu/img/0PqSbNMaXHvzKHCc.jpg")</f>
        <v>https://pbs.twimg.com/ext_tw_video_thumb/1448527896562348036/pu/img/0PqSbNMaXHvzKHCc.jpg</v>
      </c>
      <c r="V11" s="96" t="str">
        <f>HYPERLINK("https://pbs.twimg.com/ext_tw_video_thumb/1448527896562348036/pu/img/0PqSbNMaXHvzKHCc.jpg")</f>
        <v>https://pbs.twimg.com/ext_tw_video_thumb/1448527896562348036/pu/img/0PqSbNMaXHvzKHCc.jpg</v>
      </c>
      <c r="W11" s="93">
        <v>44483.26332175926</v>
      </c>
      <c r="X11" s="102">
        <v>44483</v>
      </c>
      <c r="Y11" s="99" t="s">
        <v>348</v>
      </c>
      <c r="Z11" s="96" t="str">
        <f>HYPERLINK("https://twitter.com/jmkorhonen/status/1448533825550786562")</f>
        <v>https://twitter.com/jmkorhonen/status/1448533825550786562</v>
      </c>
      <c r="AA11" s="90"/>
      <c r="AB11" s="90"/>
      <c r="AC11" s="99" t="s">
        <v>442</v>
      </c>
      <c r="AD11" s="90"/>
      <c r="AE11" s="90" t="b">
        <v>0</v>
      </c>
      <c r="AF11" s="90">
        <v>0</v>
      </c>
      <c r="AG11" s="99" t="s">
        <v>535</v>
      </c>
      <c r="AH11" s="90" t="b">
        <v>0</v>
      </c>
      <c r="AI11" s="90" t="s">
        <v>537</v>
      </c>
      <c r="AJ11" s="90"/>
      <c r="AK11" s="99" t="s">
        <v>535</v>
      </c>
      <c r="AL11" s="90" t="b">
        <v>0</v>
      </c>
      <c r="AM11" s="90">
        <v>52</v>
      </c>
      <c r="AN11" s="99" t="s">
        <v>526</v>
      </c>
      <c r="AO11" s="99" t="s">
        <v>542</v>
      </c>
      <c r="AP11" s="90" t="b">
        <v>0</v>
      </c>
      <c r="AQ11" s="99" t="s">
        <v>526</v>
      </c>
      <c r="AR11" s="90" t="s">
        <v>187</v>
      </c>
      <c r="AS11" s="90">
        <v>0</v>
      </c>
      <c r="AT11" s="90">
        <v>0</v>
      </c>
      <c r="AU11" s="90"/>
      <c r="AV11" s="90"/>
      <c r="AW11" s="90"/>
      <c r="AX11" s="90"/>
      <c r="AY11" s="90"/>
      <c r="AZ11" s="90"/>
      <c r="BA11" s="90"/>
      <c r="BB11" s="90"/>
      <c r="BC11" s="90">
        <v>1</v>
      </c>
      <c r="BD11" s="89" t="str">
        <f>REPLACE(INDEX(GroupVertices[Group],MATCH(Edges[[#This Row],[Vertex 1]],GroupVertices[Vertex],0)),1,1,"")</f>
        <v>1</v>
      </c>
      <c r="BE11" s="89" t="str">
        <f>REPLACE(INDEX(GroupVertices[Group],MATCH(Edges[[#This Row],[Vertex 2]],GroupVertices[Vertex],0)),1,1,"")</f>
        <v>3</v>
      </c>
      <c r="BF11" s="49">
        <v>0</v>
      </c>
      <c r="BG11" s="50">
        <v>0</v>
      </c>
      <c r="BH11" s="49">
        <v>0</v>
      </c>
      <c r="BI11" s="50">
        <v>0</v>
      </c>
      <c r="BJ11" s="49">
        <v>0</v>
      </c>
      <c r="BK11" s="50">
        <v>0</v>
      </c>
      <c r="BL11" s="49">
        <v>28</v>
      </c>
      <c r="BM11" s="50">
        <v>100</v>
      </c>
      <c r="BN11" s="49">
        <v>28</v>
      </c>
    </row>
    <row r="12" spans="1:66" ht="15">
      <c r="A12" s="66" t="s">
        <v>228</v>
      </c>
      <c r="B12" s="66" t="s">
        <v>299</v>
      </c>
      <c r="C12" s="67" t="s">
        <v>2108</v>
      </c>
      <c r="D12" s="68">
        <v>1</v>
      </c>
      <c r="E12" s="69" t="s">
        <v>132</v>
      </c>
      <c r="F12" s="70">
        <v>32</v>
      </c>
      <c r="G12" s="67" t="s">
        <v>51</v>
      </c>
      <c r="H12" s="71"/>
      <c r="I12" s="72"/>
      <c r="J12" s="72"/>
      <c r="K12" s="35" t="s">
        <v>65</v>
      </c>
      <c r="L12" s="79">
        <v>12</v>
      </c>
      <c r="M12" s="79"/>
      <c r="N12" s="74"/>
      <c r="O12" s="90" t="s">
        <v>306</v>
      </c>
      <c r="P12" s="93">
        <v>44483.26420138889</v>
      </c>
      <c r="Q12" s="90" t="s">
        <v>310</v>
      </c>
      <c r="R12" s="96" t="str">
        <f>HYPERLINK("https://talouskurssi.fi/")</f>
        <v>https://talouskurssi.fi/</v>
      </c>
      <c r="S12" s="90" t="s">
        <v>334</v>
      </c>
      <c r="T12" s="99" t="s">
        <v>338</v>
      </c>
      <c r="U12" s="96" t="str">
        <f>HYPERLINK("https://pbs.twimg.com/ext_tw_video_thumb/1448527896562348036/pu/img/0PqSbNMaXHvzKHCc.jpg")</f>
        <v>https://pbs.twimg.com/ext_tw_video_thumb/1448527896562348036/pu/img/0PqSbNMaXHvzKHCc.jpg</v>
      </c>
      <c r="V12" s="96" t="str">
        <f>HYPERLINK("https://pbs.twimg.com/ext_tw_video_thumb/1448527896562348036/pu/img/0PqSbNMaXHvzKHCc.jpg")</f>
        <v>https://pbs.twimg.com/ext_tw_video_thumb/1448527896562348036/pu/img/0PqSbNMaXHvzKHCc.jpg</v>
      </c>
      <c r="W12" s="93">
        <v>44483.26420138889</v>
      </c>
      <c r="X12" s="102">
        <v>44483</v>
      </c>
      <c r="Y12" s="99" t="s">
        <v>349</v>
      </c>
      <c r="Z12" s="96" t="str">
        <f>HYPERLINK("https://twitter.com/sari62494762/status/1448534146310152195")</f>
        <v>https://twitter.com/sari62494762/status/1448534146310152195</v>
      </c>
      <c r="AA12" s="90"/>
      <c r="AB12" s="90"/>
      <c r="AC12" s="99" t="s">
        <v>443</v>
      </c>
      <c r="AD12" s="90"/>
      <c r="AE12" s="90" t="b">
        <v>0</v>
      </c>
      <c r="AF12" s="90">
        <v>0</v>
      </c>
      <c r="AG12" s="99" t="s">
        <v>535</v>
      </c>
      <c r="AH12" s="90" t="b">
        <v>0</v>
      </c>
      <c r="AI12" s="90" t="s">
        <v>537</v>
      </c>
      <c r="AJ12" s="90"/>
      <c r="AK12" s="99" t="s">
        <v>535</v>
      </c>
      <c r="AL12" s="90" t="b">
        <v>0</v>
      </c>
      <c r="AM12" s="90">
        <v>52</v>
      </c>
      <c r="AN12" s="99" t="s">
        <v>526</v>
      </c>
      <c r="AO12" s="99" t="s">
        <v>544</v>
      </c>
      <c r="AP12" s="90" t="b">
        <v>0</v>
      </c>
      <c r="AQ12" s="99" t="s">
        <v>526</v>
      </c>
      <c r="AR12" s="90" t="s">
        <v>187</v>
      </c>
      <c r="AS12" s="90">
        <v>0</v>
      </c>
      <c r="AT12" s="90">
        <v>0</v>
      </c>
      <c r="AU12" s="90"/>
      <c r="AV12" s="90"/>
      <c r="AW12" s="90"/>
      <c r="AX12" s="90"/>
      <c r="AY12" s="90"/>
      <c r="AZ12" s="90"/>
      <c r="BA12" s="90"/>
      <c r="BB12" s="90"/>
      <c r="BC12" s="90">
        <v>1</v>
      </c>
      <c r="BD12" s="89" t="str">
        <f>REPLACE(INDEX(GroupVertices[Group],MATCH(Edges[[#This Row],[Vertex 1]],GroupVertices[Vertex],0)),1,1,"")</f>
        <v>1</v>
      </c>
      <c r="BE12" s="89" t="str">
        <f>REPLACE(INDEX(GroupVertices[Group],MATCH(Edges[[#This Row],[Vertex 2]],GroupVertices[Vertex],0)),1,1,"")</f>
        <v>1</v>
      </c>
      <c r="BF12" s="49"/>
      <c r="BG12" s="50"/>
      <c r="BH12" s="49"/>
      <c r="BI12" s="50"/>
      <c r="BJ12" s="49"/>
      <c r="BK12" s="50"/>
      <c r="BL12" s="49"/>
      <c r="BM12" s="50"/>
      <c r="BN12" s="49"/>
    </row>
    <row r="13" spans="1:66" ht="15">
      <c r="A13" s="66" t="s">
        <v>228</v>
      </c>
      <c r="B13" s="66" t="s">
        <v>302</v>
      </c>
      <c r="C13" s="67" t="s">
        <v>2108</v>
      </c>
      <c r="D13" s="68">
        <v>1</v>
      </c>
      <c r="E13" s="69" t="s">
        <v>132</v>
      </c>
      <c r="F13" s="70">
        <v>32</v>
      </c>
      <c r="G13" s="67" t="s">
        <v>51</v>
      </c>
      <c r="H13" s="71"/>
      <c r="I13" s="72"/>
      <c r="J13" s="72"/>
      <c r="K13" s="35" t="s">
        <v>65</v>
      </c>
      <c r="L13" s="79">
        <v>13</v>
      </c>
      <c r="M13" s="79"/>
      <c r="N13" s="74"/>
      <c r="O13" s="90" t="s">
        <v>306</v>
      </c>
      <c r="P13" s="93">
        <v>44483.26420138889</v>
      </c>
      <c r="Q13" s="90" t="s">
        <v>310</v>
      </c>
      <c r="R13" s="96" t="str">
        <f>HYPERLINK("https://talouskurssi.fi/")</f>
        <v>https://talouskurssi.fi/</v>
      </c>
      <c r="S13" s="90" t="s">
        <v>334</v>
      </c>
      <c r="T13" s="99" t="s">
        <v>338</v>
      </c>
      <c r="U13" s="96" t="str">
        <f>HYPERLINK("https://pbs.twimg.com/ext_tw_video_thumb/1448527896562348036/pu/img/0PqSbNMaXHvzKHCc.jpg")</f>
        <v>https://pbs.twimg.com/ext_tw_video_thumb/1448527896562348036/pu/img/0PqSbNMaXHvzKHCc.jpg</v>
      </c>
      <c r="V13" s="96" t="str">
        <f>HYPERLINK("https://pbs.twimg.com/ext_tw_video_thumb/1448527896562348036/pu/img/0PqSbNMaXHvzKHCc.jpg")</f>
        <v>https://pbs.twimg.com/ext_tw_video_thumb/1448527896562348036/pu/img/0PqSbNMaXHvzKHCc.jpg</v>
      </c>
      <c r="W13" s="93">
        <v>44483.26420138889</v>
      </c>
      <c r="X13" s="102">
        <v>44483</v>
      </c>
      <c r="Y13" s="99" t="s">
        <v>349</v>
      </c>
      <c r="Z13" s="96" t="str">
        <f>HYPERLINK("https://twitter.com/sari62494762/status/1448534146310152195")</f>
        <v>https://twitter.com/sari62494762/status/1448534146310152195</v>
      </c>
      <c r="AA13" s="90"/>
      <c r="AB13" s="90"/>
      <c r="AC13" s="99" t="s">
        <v>443</v>
      </c>
      <c r="AD13" s="90"/>
      <c r="AE13" s="90" t="b">
        <v>0</v>
      </c>
      <c r="AF13" s="90">
        <v>0</v>
      </c>
      <c r="AG13" s="99" t="s">
        <v>535</v>
      </c>
      <c r="AH13" s="90" t="b">
        <v>0</v>
      </c>
      <c r="AI13" s="90" t="s">
        <v>537</v>
      </c>
      <c r="AJ13" s="90"/>
      <c r="AK13" s="99" t="s">
        <v>535</v>
      </c>
      <c r="AL13" s="90" t="b">
        <v>0</v>
      </c>
      <c r="AM13" s="90">
        <v>52</v>
      </c>
      <c r="AN13" s="99" t="s">
        <v>526</v>
      </c>
      <c r="AO13" s="99" t="s">
        <v>544</v>
      </c>
      <c r="AP13" s="90" t="b">
        <v>0</v>
      </c>
      <c r="AQ13" s="99" t="s">
        <v>526</v>
      </c>
      <c r="AR13" s="90" t="s">
        <v>187</v>
      </c>
      <c r="AS13" s="90">
        <v>0</v>
      </c>
      <c r="AT13" s="90">
        <v>0</v>
      </c>
      <c r="AU13" s="90"/>
      <c r="AV13" s="90"/>
      <c r="AW13" s="90"/>
      <c r="AX13" s="90"/>
      <c r="AY13" s="90"/>
      <c r="AZ13" s="90"/>
      <c r="BA13" s="90"/>
      <c r="BB13" s="90"/>
      <c r="BC13" s="90">
        <v>1</v>
      </c>
      <c r="BD13" s="89" t="str">
        <f>REPLACE(INDEX(GroupVertices[Group],MATCH(Edges[[#This Row],[Vertex 1]],GroupVertices[Vertex],0)),1,1,"")</f>
        <v>1</v>
      </c>
      <c r="BE13" s="89" t="str">
        <f>REPLACE(INDEX(GroupVertices[Group],MATCH(Edges[[#This Row],[Vertex 2]],GroupVertices[Vertex],0)),1,1,"")</f>
        <v>1</v>
      </c>
      <c r="BF13" s="49"/>
      <c r="BG13" s="50"/>
      <c r="BH13" s="49"/>
      <c r="BI13" s="50"/>
      <c r="BJ13" s="49"/>
      <c r="BK13" s="50"/>
      <c r="BL13" s="49"/>
      <c r="BM13" s="50"/>
      <c r="BN13" s="49"/>
    </row>
    <row r="14" spans="1:66" ht="15">
      <c r="A14" s="66" t="s">
        <v>228</v>
      </c>
      <c r="B14" s="66" t="s">
        <v>293</v>
      </c>
      <c r="C14" s="67" t="s">
        <v>2108</v>
      </c>
      <c r="D14" s="68">
        <v>1</v>
      </c>
      <c r="E14" s="69" t="s">
        <v>132</v>
      </c>
      <c r="F14" s="70">
        <v>32</v>
      </c>
      <c r="G14" s="67" t="s">
        <v>51</v>
      </c>
      <c r="H14" s="71"/>
      <c r="I14" s="72"/>
      <c r="J14" s="72"/>
      <c r="K14" s="35" t="s">
        <v>65</v>
      </c>
      <c r="L14" s="79">
        <v>14</v>
      </c>
      <c r="M14" s="79"/>
      <c r="N14" s="74"/>
      <c r="O14" s="90" t="s">
        <v>305</v>
      </c>
      <c r="P14" s="93">
        <v>44483.26420138889</v>
      </c>
      <c r="Q14" s="90" t="s">
        <v>310</v>
      </c>
      <c r="R14" s="96" t="str">
        <f>HYPERLINK("https://talouskurssi.fi/")</f>
        <v>https://talouskurssi.fi/</v>
      </c>
      <c r="S14" s="90" t="s">
        <v>334</v>
      </c>
      <c r="T14" s="99" t="s">
        <v>338</v>
      </c>
      <c r="U14" s="96" t="str">
        <f>HYPERLINK("https://pbs.twimg.com/ext_tw_video_thumb/1448527896562348036/pu/img/0PqSbNMaXHvzKHCc.jpg")</f>
        <v>https://pbs.twimg.com/ext_tw_video_thumb/1448527896562348036/pu/img/0PqSbNMaXHvzKHCc.jpg</v>
      </c>
      <c r="V14" s="96" t="str">
        <f>HYPERLINK("https://pbs.twimg.com/ext_tw_video_thumb/1448527896562348036/pu/img/0PqSbNMaXHvzKHCc.jpg")</f>
        <v>https://pbs.twimg.com/ext_tw_video_thumb/1448527896562348036/pu/img/0PqSbNMaXHvzKHCc.jpg</v>
      </c>
      <c r="W14" s="93">
        <v>44483.26420138889</v>
      </c>
      <c r="X14" s="102">
        <v>44483</v>
      </c>
      <c r="Y14" s="99" t="s">
        <v>349</v>
      </c>
      <c r="Z14" s="96" t="str">
        <f>HYPERLINK("https://twitter.com/sari62494762/status/1448534146310152195")</f>
        <v>https://twitter.com/sari62494762/status/1448534146310152195</v>
      </c>
      <c r="AA14" s="90"/>
      <c r="AB14" s="90"/>
      <c r="AC14" s="99" t="s">
        <v>443</v>
      </c>
      <c r="AD14" s="90"/>
      <c r="AE14" s="90" t="b">
        <v>0</v>
      </c>
      <c r="AF14" s="90">
        <v>0</v>
      </c>
      <c r="AG14" s="99" t="s">
        <v>535</v>
      </c>
      <c r="AH14" s="90" t="b">
        <v>0</v>
      </c>
      <c r="AI14" s="90" t="s">
        <v>537</v>
      </c>
      <c r="AJ14" s="90"/>
      <c r="AK14" s="99" t="s">
        <v>535</v>
      </c>
      <c r="AL14" s="90" t="b">
        <v>0</v>
      </c>
      <c r="AM14" s="90">
        <v>52</v>
      </c>
      <c r="AN14" s="99" t="s">
        <v>526</v>
      </c>
      <c r="AO14" s="99" t="s">
        <v>544</v>
      </c>
      <c r="AP14" s="90" t="b">
        <v>0</v>
      </c>
      <c r="AQ14" s="99" t="s">
        <v>526</v>
      </c>
      <c r="AR14" s="90" t="s">
        <v>187</v>
      </c>
      <c r="AS14" s="90">
        <v>0</v>
      </c>
      <c r="AT14" s="90">
        <v>0</v>
      </c>
      <c r="AU14" s="90"/>
      <c r="AV14" s="90"/>
      <c r="AW14" s="90"/>
      <c r="AX14" s="90"/>
      <c r="AY14" s="90"/>
      <c r="AZ14" s="90"/>
      <c r="BA14" s="90"/>
      <c r="BB14" s="90"/>
      <c r="BC14" s="90">
        <v>1</v>
      </c>
      <c r="BD14" s="89" t="str">
        <f>REPLACE(INDEX(GroupVertices[Group],MATCH(Edges[[#This Row],[Vertex 1]],GroupVertices[Vertex],0)),1,1,"")</f>
        <v>1</v>
      </c>
      <c r="BE14" s="89" t="str">
        <f>REPLACE(INDEX(GroupVertices[Group],MATCH(Edges[[#This Row],[Vertex 2]],GroupVertices[Vertex],0)),1,1,"")</f>
        <v>3</v>
      </c>
      <c r="BF14" s="49">
        <v>0</v>
      </c>
      <c r="BG14" s="50">
        <v>0</v>
      </c>
      <c r="BH14" s="49">
        <v>0</v>
      </c>
      <c r="BI14" s="50">
        <v>0</v>
      </c>
      <c r="BJ14" s="49">
        <v>0</v>
      </c>
      <c r="BK14" s="50">
        <v>0</v>
      </c>
      <c r="BL14" s="49">
        <v>28</v>
      </c>
      <c r="BM14" s="50">
        <v>100</v>
      </c>
      <c r="BN14" s="49">
        <v>28</v>
      </c>
    </row>
    <row r="15" spans="1:66" ht="15">
      <c r="A15" s="66" t="s">
        <v>229</v>
      </c>
      <c r="B15" s="66" t="s">
        <v>299</v>
      </c>
      <c r="C15" s="67" t="s">
        <v>2108</v>
      </c>
      <c r="D15" s="68">
        <v>1</v>
      </c>
      <c r="E15" s="69" t="s">
        <v>132</v>
      </c>
      <c r="F15" s="70">
        <v>32</v>
      </c>
      <c r="G15" s="67" t="s">
        <v>51</v>
      </c>
      <c r="H15" s="71"/>
      <c r="I15" s="72"/>
      <c r="J15" s="72"/>
      <c r="K15" s="35" t="s">
        <v>65</v>
      </c>
      <c r="L15" s="79">
        <v>15</v>
      </c>
      <c r="M15" s="79"/>
      <c r="N15" s="74"/>
      <c r="O15" s="90" t="s">
        <v>306</v>
      </c>
      <c r="P15" s="93">
        <v>44483.26490740741</v>
      </c>
      <c r="Q15" s="90" t="s">
        <v>310</v>
      </c>
      <c r="R15" s="96" t="str">
        <f>HYPERLINK("https://talouskurssi.fi/")</f>
        <v>https://talouskurssi.fi/</v>
      </c>
      <c r="S15" s="90" t="s">
        <v>334</v>
      </c>
      <c r="T15" s="99" t="s">
        <v>338</v>
      </c>
      <c r="U15" s="96" t="str">
        <f>HYPERLINK("https://pbs.twimg.com/ext_tw_video_thumb/1448527896562348036/pu/img/0PqSbNMaXHvzKHCc.jpg")</f>
        <v>https://pbs.twimg.com/ext_tw_video_thumb/1448527896562348036/pu/img/0PqSbNMaXHvzKHCc.jpg</v>
      </c>
      <c r="V15" s="96" t="str">
        <f>HYPERLINK("https://pbs.twimg.com/ext_tw_video_thumb/1448527896562348036/pu/img/0PqSbNMaXHvzKHCc.jpg")</f>
        <v>https://pbs.twimg.com/ext_tw_video_thumb/1448527896562348036/pu/img/0PqSbNMaXHvzKHCc.jpg</v>
      </c>
      <c r="W15" s="93">
        <v>44483.26490740741</v>
      </c>
      <c r="X15" s="102">
        <v>44483</v>
      </c>
      <c r="Y15" s="99" t="s">
        <v>350</v>
      </c>
      <c r="Z15" s="96" t="str">
        <f>HYPERLINK("https://twitter.com/v_pikkarainen/status/1448534401835585536")</f>
        <v>https://twitter.com/v_pikkarainen/status/1448534401835585536</v>
      </c>
      <c r="AA15" s="90"/>
      <c r="AB15" s="90"/>
      <c r="AC15" s="99" t="s">
        <v>444</v>
      </c>
      <c r="AD15" s="90"/>
      <c r="AE15" s="90" t="b">
        <v>0</v>
      </c>
      <c r="AF15" s="90">
        <v>0</v>
      </c>
      <c r="AG15" s="99" t="s">
        <v>535</v>
      </c>
      <c r="AH15" s="90" t="b">
        <v>0</v>
      </c>
      <c r="AI15" s="90" t="s">
        <v>537</v>
      </c>
      <c r="AJ15" s="90"/>
      <c r="AK15" s="99" t="s">
        <v>535</v>
      </c>
      <c r="AL15" s="90" t="b">
        <v>0</v>
      </c>
      <c r="AM15" s="90">
        <v>52</v>
      </c>
      <c r="AN15" s="99" t="s">
        <v>526</v>
      </c>
      <c r="AO15" s="99" t="s">
        <v>542</v>
      </c>
      <c r="AP15" s="90" t="b">
        <v>0</v>
      </c>
      <c r="AQ15" s="99" t="s">
        <v>526</v>
      </c>
      <c r="AR15" s="90" t="s">
        <v>187</v>
      </c>
      <c r="AS15" s="90">
        <v>0</v>
      </c>
      <c r="AT15" s="90">
        <v>0</v>
      </c>
      <c r="AU15" s="90"/>
      <c r="AV15" s="90"/>
      <c r="AW15" s="90"/>
      <c r="AX15" s="90"/>
      <c r="AY15" s="90"/>
      <c r="AZ15" s="90"/>
      <c r="BA15" s="90"/>
      <c r="BB15" s="90"/>
      <c r="BC15" s="90">
        <v>1</v>
      </c>
      <c r="BD15" s="89" t="str">
        <f>REPLACE(INDEX(GroupVertices[Group],MATCH(Edges[[#This Row],[Vertex 1]],GroupVertices[Vertex],0)),1,1,"")</f>
        <v>1</v>
      </c>
      <c r="BE15" s="89" t="str">
        <f>REPLACE(INDEX(GroupVertices[Group],MATCH(Edges[[#This Row],[Vertex 2]],GroupVertices[Vertex],0)),1,1,"")</f>
        <v>1</v>
      </c>
      <c r="BF15" s="49"/>
      <c r="BG15" s="50"/>
      <c r="BH15" s="49"/>
      <c r="BI15" s="50"/>
      <c r="BJ15" s="49"/>
      <c r="BK15" s="50"/>
      <c r="BL15" s="49"/>
      <c r="BM15" s="50"/>
      <c r="BN15" s="49"/>
    </row>
    <row r="16" spans="1:66" ht="15">
      <c r="A16" s="66" t="s">
        <v>229</v>
      </c>
      <c r="B16" s="66" t="s">
        <v>302</v>
      </c>
      <c r="C16" s="67" t="s">
        <v>2108</v>
      </c>
      <c r="D16" s="68">
        <v>1</v>
      </c>
      <c r="E16" s="69" t="s">
        <v>132</v>
      </c>
      <c r="F16" s="70">
        <v>32</v>
      </c>
      <c r="G16" s="67" t="s">
        <v>51</v>
      </c>
      <c r="H16" s="71"/>
      <c r="I16" s="72"/>
      <c r="J16" s="72"/>
      <c r="K16" s="35" t="s">
        <v>65</v>
      </c>
      <c r="L16" s="79">
        <v>16</v>
      </c>
      <c r="M16" s="79"/>
      <c r="N16" s="74"/>
      <c r="O16" s="90" t="s">
        <v>306</v>
      </c>
      <c r="P16" s="93">
        <v>44483.26490740741</v>
      </c>
      <c r="Q16" s="90" t="s">
        <v>310</v>
      </c>
      <c r="R16" s="96" t="str">
        <f>HYPERLINK("https://talouskurssi.fi/")</f>
        <v>https://talouskurssi.fi/</v>
      </c>
      <c r="S16" s="90" t="s">
        <v>334</v>
      </c>
      <c r="T16" s="99" t="s">
        <v>338</v>
      </c>
      <c r="U16" s="96" t="str">
        <f>HYPERLINK("https://pbs.twimg.com/ext_tw_video_thumb/1448527896562348036/pu/img/0PqSbNMaXHvzKHCc.jpg")</f>
        <v>https://pbs.twimg.com/ext_tw_video_thumb/1448527896562348036/pu/img/0PqSbNMaXHvzKHCc.jpg</v>
      </c>
      <c r="V16" s="96" t="str">
        <f>HYPERLINK("https://pbs.twimg.com/ext_tw_video_thumb/1448527896562348036/pu/img/0PqSbNMaXHvzKHCc.jpg")</f>
        <v>https://pbs.twimg.com/ext_tw_video_thumb/1448527896562348036/pu/img/0PqSbNMaXHvzKHCc.jpg</v>
      </c>
      <c r="W16" s="93">
        <v>44483.26490740741</v>
      </c>
      <c r="X16" s="102">
        <v>44483</v>
      </c>
      <c r="Y16" s="99" t="s">
        <v>350</v>
      </c>
      <c r="Z16" s="96" t="str">
        <f>HYPERLINK("https://twitter.com/v_pikkarainen/status/1448534401835585536")</f>
        <v>https://twitter.com/v_pikkarainen/status/1448534401835585536</v>
      </c>
      <c r="AA16" s="90"/>
      <c r="AB16" s="90"/>
      <c r="AC16" s="99" t="s">
        <v>444</v>
      </c>
      <c r="AD16" s="90"/>
      <c r="AE16" s="90" t="b">
        <v>0</v>
      </c>
      <c r="AF16" s="90">
        <v>0</v>
      </c>
      <c r="AG16" s="99" t="s">
        <v>535</v>
      </c>
      <c r="AH16" s="90" t="b">
        <v>0</v>
      </c>
      <c r="AI16" s="90" t="s">
        <v>537</v>
      </c>
      <c r="AJ16" s="90"/>
      <c r="AK16" s="99" t="s">
        <v>535</v>
      </c>
      <c r="AL16" s="90" t="b">
        <v>0</v>
      </c>
      <c r="AM16" s="90">
        <v>52</v>
      </c>
      <c r="AN16" s="99" t="s">
        <v>526</v>
      </c>
      <c r="AO16" s="99" t="s">
        <v>542</v>
      </c>
      <c r="AP16" s="90" t="b">
        <v>0</v>
      </c>
      <c r="AQ16" s="99" t="s">
        <v>526</v>
      </c>
      <c r="AR16" s="90" t="s">
        <v>187</v>
      </c>
      <c r="AS16" s="90">
        <v>0</v>
      </c>
      <c r="AT16" s="90">
        <v>0</v>
      </c>
      <c r="AU16" s="90"/>
      <c r="AV16" s="90"/>
      <c r="AW16" s="90"/>
      <c r="AX16" s="90"/>
      <c r="AY16" s="90"/>
      <c r="AZ16" s="90"/>
      <c r="BA16" s="90"/>
      <c r="BB16" s="90"/>
      <c r="BC16" s="90">
        <v>1</v>
      </c>
      <c r="BD16" s="89" t="str">
        <f>REPLACE(INDEX(GroupVertices[Group],MATCH(Edges[[#This Row],[Vertex 1]],GroupVertices[Vertex],0)),1,1,"")</f>
        <v>1</v>
      </c>
      <c r="BE16" s="89" t="str">
        <f>REPLACE(INDEX(GroupVertices[Group],MATCH(Edges[[#This Row],[Vertex 2]],GroupVertices[Vertex],0)),1,1,"")</f>
        <v>1</v>
      </c>
      <c r="BF16" s="49"/>
      <c r="BG16" s="50"/>
      <c r="BH16" s="49"/>
      <c r="BI16" s="50"/>
      <c r="BJ16" s="49"/>
      <c r="BK16" s="50"/>
      <c r="BL16" s="49"/>
      <c r="BM16" s="50"/>
      <c r="BN16" s="49"/>
    </row>
    <row r="17" spans="1:66" ht="15">
      <c r="A17" s="66" t="s">
        <v>229</v>
      </c>
      <c r="B17" s="66" t="s">
        <v>293</v>
      </c>
      <c r="C17" s="67" t="s">
        <v>2108</v>
      </c>
      <c r="D17" s="68">
        <v>1</v>
      </c>
      <c r="E17" s="69" t="s">
        <v>132</v>
      </c>
      <c r="F17" s="70">
        <v>32</v>
      </c>
      <c r="G17" s="67" t="s">
        <v>51</v>
      </c>
      <c r="H17" s="71"/>
      <c r="I17" s="72"/>
      <c r="J17" s="72"/>
      <c r="K17" s="35" t="s">
        <v>65</v>
      </c>
      <c r="L17" s="79">
        <v>17</v>
      </c>
      <c r="M17" s="79"/>
      <c r="N17" s="74"/>
      <c r="O17" s="90" t="s">
        <v>305</v>
      </c>
      <c r="P17" s="93">
        <v>44483.26490740741</v>
      </c>
      <c r="Q17" s="90" t="s">
        <v>310</v>
      </c>
      <c r="R17" s="96" t="str">
        <f>HYPERLINK("https://talouskurssi.fi/")</f>
        <v>https://talouskurssi.fi/</v>
      </c>
      <c r="S17" s="90" t="s">
        <v>334</v>
      </c>
      <c r="T17" s="99" t="s">
        <v>338</v>
      </c>
      <c r="U17" s="96" t="str">
        <f>HYPERLINK("https://pbs.twimg.com/ext_tw_video_thumb/1448527896562348036/pu/img/0PqSbNMaXHvzKHCc.jpg")</f>
        <v>https://pbs.twimg.com/ext_tw_video_thumb/1448527896562348036/pu/img/0PqSbNMaXHvzKHCc.jpg</v>
      </c>
      <c r="V17" s="96" t="str">
        <f>HYPERLINK("https://pbs.twimg.com/ext_tw_video_thumb/1448527896562348036/pu/img/0PqSbNMaXHvzKHCc.jpg")</f>
        <v>https://pbs.twimg.com/ext_tw_video_thumb/1448527896562348036/pu/img/0PqSbNMaXHvzKHCc.jpg</v>
      </c>
      <c r="W17" s="93">
        <v>44483.26490740741</v>
      </c>
      <c r="X17" s="102">
        <v>44483</v>
      </c>
      <c r="Y17" s="99" t="s">
        <v>350</v>
      </c>
      <c r="Z17" s="96" t="str">
        <f>HYPERLINK("https://twitter.com/v_pikkarainen/status/1448534401835585536")</f>
        <v>https://twitter.com/v_pikkarainen/status/1448534401835585536</v>
      </c>
      <c r="AA17" s="90"/>
      <c r="AB17" s="90"/>
      <c r="AC17" s="99" t="s">
        <v>444</v>
      </c>
      <c r="AD17" s="90"/>
      <c r="AE17" s="90" t="b">
        <v>0</v>
      </c>
      <c r="AF17" s="90">
        <v>0</v>
      </c>
      <c r="AG17" s="99" t="s">
        <v>535</v>
      </c>
      <c r="AH17" s="90" t="b">
        <v>0</v>
      </c>
      <c r="AI17" s="90" t="s">
        <v>537</v>
      </c>
      <c r="AJ17" s="90"/>
      <c r="AK17" s="99" t="s">
        <v>535</v>
      </c>
      <c r="AL17" s="90" t="b">
        <v>0</v>
      </c>
      <c r="AM17" s="90">
        <v>52</v>
      </c>
      <c r="AN17" s="99" t="s">
        <v>526</v>
      </c>
      <c r="AO17" s="99" t="s">
        <v>542</v>
      </c>
      <c r="AP17" s="90" t="b">
        <v>0</v>
      </c>
      <c r="AQ17" s="99" t="s">
        <v>526</v>
      </c>
      <c r="AR17" s="90" t="s">
        <v>187</v>
      </c>
      <c r="AS17" s="90">
        <v>0</v>
      </c>
      <c r="AT17" s="90">
        <v>0</v>
      </c>
      <c r="AU17" s="90"/>
      <c r="AV17" s="90"/>
      <c r="AW17" s="90"/>
      <c r="AX17" s="90"/>
      <c r="AY17" s="90"/>
      <c r="AZ17" s="90"/>
      <c r="BA17" s="90"/>
      <c r="BB17" s="90"/>
      <c r="BC17" s="90">
        <v>1</v>
      </c>
      <c r="BD17" s="89" t="str">
        <f>REPLACE(INDEX(GroupVertices[Group],MATCH(Edges[[#This Row],[Vertex 1]],GroupVertices[Vertex],0)),1,1,"")</f>
        <v>1</v>
      </c>
      <c r="BE17" s="89" t="str">
        <f>REPLACE(INDEX(GroupVertices[Group],MATCH(Edges[[#This Row],[Vertex 2]],GroupVertices[Vertex],0)),1,1,"")</f>
        <v>3</v>
      </c>
      <c r="BF17" s="49">
        <v>0</v>
      </c>
      <c r="BG17" s="50">
        <v>0</v>
      </c>
      <c r="BH17" s="49">
        <v>0</v>
      </c>
      <c r="BI17" s="50">
        <v>0</v>
      </c>
      <c r="BJ17" s="49">
        <v>0</v>
      </c>
      <c r="BK17" s="50">
        <v>0</v>
      </c>
      <c r="BL17" s="49">
        <v>28</v>
      </c>
      <c r="BM17" s="50">
        <v>100</v>
      </c>
      <c r="BN17" s="49">
        <v>28</v>
      </c>
    </row>
    <row r="18" spans="1:66" ht="15">
      <c r="A18" s="66" t="s">
        <v>230</v>
      </c>
      <c r="B18" s="66" t="s">
        <v>299</v>
      </c>
      <c r="C18" s="67" t="s">
        <v>2108</v>
      </c>
      <c r="D18" s="68">
        <v>1</v>
      </c>
      <c r="E18" s="69" t="s">
        <v>132</v>
      </c>
      <c r="F18" s="70">
        <v>32</v>
      </c>
      <c r="G18" s="67" t="s">
        <v>51</v>
      </c>
      <c r="H18" s="71"/>
      <c r="I18" s="72"/>
      <c r="J18" s="72"/>
      <c r="K18" s="35" t="s">
        <v>65</v>
      </c>
      <c r="L18" s="79">
        <v>18</v>
      </c>
      <c r="M18" s="79"/>
      <c r="N18" s="74"/>
      <c r="O18" s="90" t="s">
        <v>306</v>
      </c>
      <c r="P18" s="93">
        <v>44483.26540509259</v>
      </c>
      <c r="Q18" s="90" t="s">
        <v>310</v>
      </c>
      <c r="R18" s="96" t="str">
        <f>HYPERLINK("https://talouskurssi.fi/")</f>
        <v>https://talouskurssi.fi/</v>
      </c>
      <c r="S18" s="90" t="s">
        <v>334</v>
      </c>
      <c r="T18" s="99" t="s">
        <v>338</v>
      </c>
      <c r="U18" s="96" t="str">
        <f>HYPERLINK("https://pbs.twimg.com/ext_tw_video_thumb/1448527896562348036/pu/img/0PqSbNMaXHvzKHCc.jpg")</f>
        <v>https://pbs.twimg.com/ext_tw_video_thumb/1448527896562348036/pu/img/0PqSbNMaXHvzKHCc.jpg</v>
      </c>
      <c r="V18" s="96" t="str">
        <f>HYPERLINK("https://pbs.twimg.com/ext_tw_video_thumb/1448527896562348036/pu/img/0PqSbNMaXHvzKHCc.jpg")</f>
        <v>https://pbs.twimg.com/ext_tw_video_thumb/1448527896562348036/pu/img/0PqSbNMaXHvzKHCc.jpg</v>
      </c>
      <c r="W18" s="93">
        <v>44483.26540509259</v>
      </c>
      <c r="X18" s="102">
        <v>44483</v>
      </c>
      <c r="Y18" s="99" t="s">
        <v>351</v>
      </c>
      <c r="Z18" s="96" t="str">
        <f>HYPERLINK("https://twitter.com/teemupekkarinen/status/1448534580252880899")</f>
        <v>https://twitter.com/teemupekkarinen/status/1448534580252880899</v>
      </c>
      <c r="AA18" s="90"/>
      <c r="AB18" s="90"/>
      <c r="AC18" s="99" t="s">
        <v>445</v>
      </c>
      <c r="AD18" s="90"/>
      <c r="AE18" s="90" t="b">
        <v>0</v>
      </c>
      <c r="AF18" s="90">
        <v>0</v>
      </c>
      <c r="AG18" s="99" t="s">
        <v>535</v>
      </c>
      <c r="AH18" s="90" t="b">
        <v>0</v>
      </c>
      <c r="AI18" s="90" t="s">
        <v>537</v>
      </c>
      <c r="AJ18" s="90"/>
      <c r="AK18" s="99" t="s">
        <v>535</v>
      </c>
      <c r="AL18" s="90" t="b">
        <v>0</v>
      </c>
      <c r="AM18" s="90">
        <v>52</v>
      </c>
      <c r="AN18" s="99" t="s">
        <v>526</v>
      </c>
      <c r="AO18" s="99" t="s">
        <v>543</v>
      </c>
      <c r="AP18" s="90" t="b">
        <v>0</v>
      </c>
      <c r="AQ18" s="99" t="s">
        <v>526</v>
      </c>
      <c r="AR18" s="90" t="s">
        <v>187</v>
      </c>
      <c r="AS18" s="90">
        <v>0</v>
      </c>
      <c r="AT18" s="90">
        <v>0</v>
      </c>
      <c r="AU18" s="90"/>
      <c r="AV18" s="90"/>
      <c r="AW18" s="90"/>
      <c r="AX18" s="90"/>
      <c r="AY18" s="90"/>
      <c r="AZ18" s="90"/>
      <c r="BA18" s="90"/>
      <c r="BB18" s="90"/>
      <c r="BC18" s="90">
        <v>1</v>
      </c>
      <c r="BD18" s="89" t="str">
        <f>REPLACE(INDEX(GroupVertices[Group],MATCH(Edges[[#This Row],[Vertex 1]],GroupVertices[Vertex],0)),1,1,"")</f>
        <v>1</v>
      </c>
      <c r="BE18" s="89" t="str">
        <f>REPLACE(INDEX(GroupVertices[Group],MATCH(Edges[[#This Row],[Vertex 2]],GroupVertices[Vertex],0)),1,1,"")</f>
        <v>1</v>
      </c>
      <c r="BF18" s="49"/>
      <c r="BG18" s="50"/>
      <c r="BH18" s="49"/>
      <c r="BI18" s="50"/>
      <c r="BJ18" s="49"/>
      <c r="BK18" s="50"/>
      <c r="BL18" s="49"/>
      <c r="BM18" s="50"/>
      <c r="BN18" s="49"/>
    </row>
    <row r="19" spans="1:66" ht="15">
      <c r="A19" s="66" t="s">
        <v>230</v>
      </c>
      <c r="B19" s="66" t="s">
        <v>302</v>
      </c>
      <c r="C19" s="67" t="s">
        <v>2108</v>
      </c>
      <c r="D19" s="68">
        <v>1</v>
      </c>
      <c r="E19" s="69" t="s">
        <v>132</v>
      </c>
      <c r="F19" s="70">
        <v>32</v>
      </c>
      <c r="G19" s="67" t="s">
        <v>51</v>
      </c>
      <c r="H19" s="71"/>
      <c r="I19" s="72"/>
      <c r="J19" s="72"/>
      <c r="K19" s="35" t="s">
        <v>65</v>
      </c>
      <c r="L19" s="79">
        <v>19</v>
      </c>
      <c r="M19" s="79"/>
      <c r="N19" s="74"/>
      <c r="O19" s="90" t="s">
        <v>306</v>
      </c>
      <c r="P19" s="93">
        <v>44483.26540509259</v>
      </c>
      <c r="Q19" s="90" t="s">
        <v>310</v>
      </c>
      <c r="R19" s="96" t="str">
        <f>HYPERLINK("https://talouskurssi.fi/")</f>
        <v>https://talouskurssi.fi/</v>
      </c>
      <c r="S19" s="90" t="s">
        <v>334</v>
      </c>
      <c r="T19" s="99" t="s">
        <v>338</v>
      </c>
      <c r="U19" s="96" t="str">
        <f>HYPERLINK("https://pbs.twimg.com/ext_tw_video_thumb/1448527896562348036/pu/img/0PqSbNMaXHvzKHCc.jpg")</f>
        <v>https://pbs.twimg.com/ext_tw_video_thumb/1448527896562348036/pu/img/0PqSbNMaXHvzKHCc.jpg</v>
      </c>
      <c r="V19" s="96" t="str">
        <f>HYPERLINK("https://pbs.twimg.com/ext_tw_video_thumb/1448527896562348036/pu/img/0PqSbNMaXHvzKHCc.jpg")</f>
        <v>https://pbs.twimg.com/ext_tw_video_thumb/1448527896562348036/pu/img/0PqSbNMaXHvzKHCc.jpg</v>
      </c>
      <c r="W19" s="93">
        <v>44483.26540509259</v>
      </c>
      <c r="X19" s="102">
        <v>44483</v>
      </c>
      <c r="Y19" s="99" t="s">
        <v>351</v>
      </c>
      <c r="Z19" s="96" t="str">
        <f>HYPERLINK("https://twitter.com/teemupekkarinen/status/1448534580252880899")</f>
        <v>https://twitter.com/teemupekkarinen/status/1448534580252880899</v>
      </c>
      <c r="AA19" s="90"/>
      <c r="AB19" s="90"/>
      <c r="AC19" s="99" t="s">
        <v>445</v>
      </c>
      <c r="AD19" s="90"/>
      <c r="AE19" s="90" t="b">
        <v>0</v>
      </c>
      <c r="AF19" s="90">
        <v>0</v>
      </c>
      <c r="AG19" s="99" t="s">
        <v>535</v>
      </c>
      <c r="AH19" s="90" t="b">
        <v>0</v>
      </c>
      <c r="AI19" s="90" t="s">
        <v>537</v>
      </c>
      <c r="AJ19" s="90"/>
      <c r="AK19" s="99" t="s">
        <v>535</v>
      </c>
      <c r="AL19" s="90" t="b">
        <v>0</v>
      </c>
      <c r="AM19" s="90">
        <v>52</v>
      </c>
      <c r="AN19" s="99" t="s">
        <v>526</v>
      </c>
      <c r="AO19" s="99" t="s">
        <v>543</v>
      </c>
      <c r="AP19" s="90" t="b">
        <v>0</v>
      </c>
      <c r="AQ19" s="99" t="s">
        <v>526</v>
      </c>
      <c r="AR19" s="90" t="s">
        <v>187</v>
      </c>
      <c r="AS19" s="90">
        <v>0</v>
      </c>
      <c r="AT19" s="90">
        <v>0</v>
      </c>
      <c r="AU19" s="90"/>
      <c r="AV19" s="90"/>
      <c r="AW19" s="90"/>
      <c r="AX19" s="90"/>
      <c r="AY19" s="90"/>
      <c r="AZ19" s="90"/>
      <c r="BA19" s="90"/>
      <c r="BB19" s="90"/>
      <c r="BC19" s="90">
        <v>1</v>
      </c>
      <c r="BD19" s="89" t="str">
        <f>REPLACE(INDEX(GroupVertices[Group],MATCH(Edges[[#This Row],[Vertex 1]],GroupVertices[Vertex],0)),1,1,"")</f>
        <v>1</v>
      </c>
      <c r="BE19" s="89" t="str">
        <f>REPLACE(INDEX(GroupVertices[Group],MATCH(Edges[[#This Row],[Vertex 2]],GroupVertices[Vertex],0)),1,1,"")</f>
        <v>1</v>
      </c>
      <c r="BF19" s="49"/>
      <c r="BG19" s="50"/>
      <c r="BH19" s="49"/>
      <c r="BI19" s="50"/>
      <c r="BJ19" s="49"/>
      <c r="BK19" s="50"/>
      <c r="BL19" s="49"/>
      <c r="BM19" s="50"/>
      <c r="BN19" s="49"/>
    </row>
    <row r="20" spans="1:66" ht="15">
      <c r="A20" s="66" t="s">
        <v>230</v>
      </c>
      <c r="B20" s="66" t="s">
        <v>293</v>
      </c>
      <c r="C20" s="67" t="s">
        <v>2108</v>
      </c>
      <c r="D20" s="68">
        <v>1</v>
      </c>
      <c r="E20" s="69" t="s">
        <v>132</v>
      </c>
      <c r="F20" s="70">
        <v>32</v>
      </c>
      <c r="G20" s="67" t="s">
        <v>51</v>
      </c>
      <c r="H20" s="71"/>
      <c r="I20" s="72"/>
      <c r="J20" s="72"/>
      <c r="K20" s="35" t="s">
        <v>65</v>
      </c>
      <c r="L20" s="79">
        <v>20</v>
      </c>
      <c r="M20" s="79"/>
      <c r="N20" s="74"/>
      <c r="O20" s="90" t="s">
        <v>305</v>
      </c>
      <c r="P20" s="93">
        <v>44483.26540509259</v>
      </c>
      <c r="Q20" s="90" t="s">
        <v>310</v>
      </c>
      <c r="R20" s="96" t="str">
        <f>HYPERLINK("https://talouskurssi.fi/")</f>
        <v>https://talouskurssi.fi/</v>
      </c>
      <c r="S20" s="90" t="s">
        <v>334</v>
      </c>
      <c r="T20" s="99" t="s">
        <v>338</v>
      </c>
      <c r="U20" s="96" t="str">
        <f>HYPERLINK("https://pbs.twimg.com/ext_tw_video_thumb/1448527896562348036/pu/img/0PqSbNMaXHvzKHCc.jpg")</f>
        <v>https://pbs.twimg.com/ext_tw_video_thumb/1448527896562348036/pu/img/0PqSbNMaXHvzKHCc.jpg</v>
      </c>
      <c r="V20" s="96" t="str">
        <f>HYPERLINK("https://pbs.twimg.com/ext_tw_video_thumb/1448527896562348036/pu/img/0PqSbNMaXHvzKHCc.jpg")</f>
        <v>https://pbs.twimg.com/ext_tw_video_thumb/1448527896562348036/pu/img/0PqSbNMaXHvzKHCc.jpg</v>
      </c>
      <c r="W20" s="93">
        <v>44483.26540509259</v>
      </c>
      <c r="X20" s="102">
        <v>44483</v>
      </c>
      <c r="Y20" s="99" t="s">
        <v>351</v>
      </c>
      <c r="Z20" s="96" t="str">
        <f>HYPERLINK("https://twitter.com/teemupekkarinen/status/1448534580252880899")</f>
        <v>https://twitter.com/teemupekkarinen/status/1448534580252880899</v>
      </c>
      <c r="AA20" s="90"/>
      <c r="AB20" s="90"/>
      <c r="AC20" s="99" t="s">
        <v>445</v>
      </c>
      <c r="AD20" s="90"/>
      <c r="AE20" s="90" t="b">
        <v>0</v>
      </c>
      <c r="AF20" s="90">
        <v>0</v>
      </c>
      <c r="AG20" s="99" t="s">
        <v>535</v>
      </c>
      <c r="AH20" s="90" t="b">
        <v>0</v>
      </c>
      <c r="AI20" s="90" t="s">
        <v>537</v>
      </c>
      <c r="AJ20" s="90"/>
      <c r="AK20" s="99" t="s">
        <v>535</v>
      </c>
      <c r="AL20" s="90" t="b">
        <v>0</v>
      </c>
      <c r="AM20" s="90">
        <v>52</v>
      </c>
      <c r="AN20" s="99" t="s">
        <v>526</v>
      </c>
      <c r="AO20" s="99" t="s">
        <v>543</v>
      </c>
      <c r="AP20" s="90" t="b">
        <v>0</v>
      </c>
      <c r="AQ20" s="99" t="s">
        <v>526</v>
      </c>
      <c r="AR20" s="90" t="s">
        <v>187</v>
      </c>
      <c r="AS20" s="90">
        <v>0</v>
      </c>
      <c r="AT20" s="90">
        <v>0</v>
      </c>
      <c r="AU20" s="90"/>
      <c r="AV20" s="90"/>
      <c r="AW20" s="90"/>
      <c r="AX20" s="90"/>
      <c r="AY20" s="90"/>
      <c r="AZ20" s="90"/>
      <c r="BA20" s="90"/>
      <c r="BB20" s="90"/>
      <c r="BC20" s="90">
        <v>1</v>
      </c>
      <c r="BD20" s="89" t="str">
        <f>REPLACE(INDEX(GroupVertices[Group],MATCH(Edges[[#This Row],[Vertex 1]],GroupVertices[Vertex],0)),1,1,"")</f>
        <v>1</v>
      </c>
      <c r="BE20" s="89" t="str">
        <f>REPLACE(INDEX(GroupVertices[Group],MATCH(Edges[[#This Row],[Vertex 2]],GroupVertices[Vertex],0)),1,1,"")</f>
        <v>3</v>
      </c>
      <c r="BF20" s="49">
        <v>0</v>
      </c>
      <c r="BG20" s="50">
        <v>0</v>
      </c>
      <c r="BH20" s="49">
        <v>0</v>
      </c>
      <c r="BI20" s="50">
        <v>0</v>
      </c>
      <c r="BJ20" s="49">
        <v>0</v>
      </c>
      <c r="BK20" s="50">
        <v>0</v>
      </c>
      <c r="BL20" s="49">
        <v>28</v>
      </c>
      <c r="BM20" s="50">
        <v>100</v>
      </c>
      <c r="BN20" s="49">
        <v>28</v>
      </c>
    </row>
    <row r="21" spans="1:66" ht="15">
      <c r="A21" s="66" t="s">
        <v>231</v>
      </c>
      <c r="B21" s="66" t="s">
        <v>299</v>
      </c>
      <c r="C21" s="67" t="s">
        <v>2108</v>
      </c>
      <c r="D21" s="68">
        <v>1</v>
      </c>
      <c r="E21" s="69" t="s">
        <v>132</v>
      </c>
      <c r="F21" s="70">
        <v>32</v>
      </c>
      <c r="G21" s="67" t="s">
        <v>51</v>
      </c>
      <c r="H21" s="71"/>
      <c r="I21" s="72"/>
      <c r="J21" s="72"/>
      <c r="K21" s="35" t="s">
        <v>65</v>
      </c>
      <c r="L21" s="79">
        <v>21</v>
      </c>
      <c r="M21" s="79"/>
      <c r="N21" s="74"/>
      <c r="O21" s="90" t="s">
        <v>306</v>
      </c>
      <c r="P21" s="93">
        <v>44483.27850694444</v>
      </c>
      <c r="Q21" s="90" t="s">
        <v>310</v>
      </c>
      <c r="R21" s="96" t="str">
        <f>HYPERLINK("https://talouskurssi.fi/")</f>
        <v>https://talouskurssi.fi/</v>
      </c>
      <c r="S21" s="90" t="s">
        <v>334</v>
      </c>
      <c r="T21" s="99" t="s">
        <v>338</v>
      </c>
      <c r="U21" s="96" t="str">
        <f>HYPERLINK("https://pbs.twimg.com/ext_tw_video_thumb/1448527896562348036/pu/img/0PqSbNMaXHvzKHCc.jpg")</f>
        <v>https://pbs.twimg.com/ext_tw_video_thumb/1448527896562348036/pu/img/0PqSbNMaXHvzKHCc.jpg</v>
      </c>
      <c r="V21" s="96" t="str">
        <f>HYPERLINK("https://pbs.twimg.com/ext_tw_video_thumb/1448527896562348036/pu/img/0PqSbNMaXHvzKHCc.jpg")</f>
        <v>https://pbs.twimg.com/ext_tw_video_thumb/1448527896562348036/pu/img/0PqSbNMaXHvzKHCc.jpg</v>
      </c>
      <c r="W21" s="93">
        <v>44483.27850694444</v>
      </c>
      <c r="X21" s="102">
        <v>44483</v>
      </c>
      <c r="Y21" s="99" t="s">
        <v>352</v>
      </c>
      <c r="Z21" s="96" t="str">
        <f>HYPERLINK("https://twitter.com/makisenjussi/status/1448539328561491973")</f>
        <v>https://twitter.com/makisenjussi/status/1448539328561491973</v>
      </c>
      <c r="AA21" s="90"/>
      <c r="AB21" s="90"/>
      <c r="AC21" s="99" t="s">
        <v>446</v>
      </c>
      <c r="AD21" s="90"/>
      <c r="AE21" s="90" t="b">
        <v>0</v>
      </c>
      <c r="AF21" s="90">
        <v>0</v>
      </c>
      <c r="AG21" s="99" t="s">
        <v>535</v>
      </c>
      <c r="AH21" s="90" t="b">
        <v>0</v>
      </c>
      <c r="AI21" s="90" t="s">
        <v>537</v>
      </c>
      <c r="AJ21" s="90"/>
      <c r="AK21" s="99" t="s">
        <v>535</v>
      </c>
      <c r="AL21" s="90" t="b">
        <v>0</v>
      </c>
      <c r="AM21" s="90">
        <v>52</v>
      </c>
      <c r="AN21" s="99" t="s">
        <v>526</v>
      </c>
      <c r="AO21" s="99" t="s">
        <v>543</v>
      </c>
      <c r="AP21" s="90" t="b">
        <v>0</v>
      </c>
      <c r="AQ21" s="99" t="s">
        <v>526</v>
      </c>
      <c r="AR21" s="90" t="s">
        <v>187</v>
      </c>
      <c r="AS21" s="90">
        <v>0</v>
      </c>
      <c r="AT21" s="90">
        <v>0</v>
      </c>
      <c r="AU21" s="90"/>
      <c r="AV21" s="90"/>
      <c r="AW21" s="90"/>
      <c r="AX21" s="90"/>
      <c r="AY21" s="90"/>
      <c r="AZ21" s="90"/>
      <c r="BA21" s="90"/>
      <c r="BB21" s="90"/>
      <c r="BC21" s="90">
        <v>1</v>
      </c>
      <c r="BD21" s="89" t="str">
        <f>REPLACE(INDEX(GroupVertices[Group],MATCH(Edges[[#This Row],[Vertex 1]],GroupVertices[Vertex],0)),1,1,"")</f>
        <v>1</v>
      </c>
      <c r="BE21" s="89" t="str">
        <f>REPLACE(INDEX(GroupVertices[Group],MATCH(Edges[[#This Row],[Vertex 2]],GroupVertices[Vertex],0)),1,1,"")</f>
        <v>1</v>
      </c>
      <c r="BF21" s="49"/>
      <c r="BG21" s="50"/>
      <c r="BH21" s="49"/>
      <c r="BI21" s="50"/>
      <c r="BJ21" s="49"/>
      <c r="BK21" s="50"/>
      <c r="BL21" s="49"/>
      <c r="BM21" s="50"/>
      <c r="BN21" s="49"/>
    </row>
    <row r="22" spans="1:66" ht="15">
      <c r="A22" s="66" t="s">
        <v>231</v>
      </c>
      <c r="B22" s="66" t="s">
        <v>302</v>
      </c>
      <c r="C22" s="67" t="s">
        <v>2108</v>
      </c>
      <c r="D22" s="68">
        <v>1</v>
      </c>
      <c r="E22" s="69" t="s">
        <v>132</v>
      </c>
      <c r="F22" s="70">
        <v>32</v>
      </c>
      <c r="G22" s="67" t="s">
        <v>51</v>
      </c>
      <c r="H22" s="71"/>
      <c r="I22" s="72"/>
      <c r="J22" s="72"/>
      <c r="K22" s="35" t="s">
        <v>65</v>
      </c>
      <c r="L22" s="79">
        <v>22</v>
      </c>
      <c r="M22" s="79"/>
      <c r="N22" s="74"/>
      <c r="O22" s="90" t="s">
        <v>306</v>
      </c>
      <c r="P22" s="93">
        <v>44483.27850694444</v>
      </c>
      <c r="Q22" s="90" t="s">
        <v>310</v>
      </c>
      <c r="R22" s="96" t="str">
        <f>HYPERLINK("https://talouskurssi.fi/")</f>
        <v>https://talouskurssi.fi/</v>
      </c>
      <c r="S22" s="90" t="s">
        <v>334</v>
      </c>
      <c r="T22" s="99" t="s">
        <v>338</v>
      </c>
      <c r="U22" s="96" t="str">
        <f>HYPERLINK("https://pbs.twimg.com/ext_tw_video_thumb/1448527896562348036/pu/img/0PqSbNMaXHvzKHCc.jpg")</f>
        <v>https://pbs.twimg.com/ext_tw_video_thumb/1448527896562348036/pu/img/0PqSbNMaXHvzKHCc.jpg</v>
      </c>
      <c r="V22" s="96" t="str">
        <f>HYPERLINK("https://pbs.twimg.com/ext_tw_video_thumb/1448527896562348036/pu/img/0PqSbNMaXHvzKHCc.jpg")</f>
        <v>https://pbs.twimg.com/ext_tw_video_thumb/1448527896562348036/pu/img/0PqSbNMaXHvzKHCc.jpg</v>
      </c>
      <c r="W22" s="93">
        <v>44483.27850694444</v>
      </c>
      <c r="X22" s="102">
        <v>44483</v>
      </c>
      <c r="Y22" s="99" t="s">
        <v>352</v>
      </c>
      <c r="Z22" s="96" t="str">
        <f>HYPERLINK("https://twitter.com/makisenjussi/status/1448539328561491973")</f>
        <v>https://twitter.com/makisenjussi/status/1448539328561491973</v>
      </c>
      <c r="AA22" s="90"/>
      <c r="AB22" s="90"/>
      <c r="AC22" s="99" t="s">
        <v>446</v>
      </c>
      <c r="AD22" s="90"/>
      <c r="AE22" s="90" t="b">
        <v>0</v>
      </c>
      <c r="AF22" s="90">
        <v>0</v>
      </c>
      <c r="AG22" s="99" t="s">
        <v>535</v>
      </c>
      <c r="AH22" s="90" t="b">
        <v>0</v>
      </c>
      <c r="AI22" s="90" t="s">
        <v>537</v>
      </c>
      <c r="AJ22" s="90"/>
      <c r="AK22" s="99" t="s">
        <v>535</v>
      </c>
      <c r="AL22" s="90" t="b">
        <v>0</v>
      </c>
      <c r="AM22" s="90">
        <v>52</v>
      </c>
      <c r="AN22" s="99" t="s">
        <v>526</v>
      </c>
      <c r="AO22" s="99" t="s">
        <v>543</v>
      </c>
      <c r="AP22" s="90" t="b">
        <v>0</v>
      </c>
      <c r="AQ22" s="99" t="s">
        <v>526</v>
      </c>
      <c r="AR22" s="90" t="s">
        <v>187</v>
      </c>
      <c r="AS22" s="90">
        <v>0</v>
      </c>
      <c r="AT22" s="90">
        <v>0</v>
      </c>
      <c r="AU22" s="90"/>
      <c r="AV22" s="90"/>
      <c r="AW22" s="90"/>
      <c r="AX22" s="90"/>
      <c r="AY22" s="90"/>
      <c r="AZ22" s="90"/>
      <c r="BA22" s="90"/>
      <c r="BB22" s="90"/>
      <c r="BC22" s="90">
        <v>1</v>
      </c>
      <c r="BD22" s="89" t="str">
        <f>REPLACE(INDEX(GroupVertices[Group],MATCH(Edges[[#This Row],[Vertex 1]],GroupVertices[Vertex],0)),1,1,"")</f>
        <v>1</v>
      </c>
      <c r="BE22" s="89" t="str">
        <f>REPLACE(INDEX(GroupVertices[Group],MATCH(Edges[[#This Row],[Vertex 2]],GroupVertices[Vertex],0)),1,1,"")</f>
        <v>1</v>
      </c>
      <c r="BF22" s="49"/>
      <c r="BG22" s="50"/>
      <c r="BH22" s="49"/>
      <c r="BI22" s="50"/>
      <c r="BJ22" s="49"/>
      <c r="BK22" s="50"/>
      <c r="BL22" s="49"/>
      <c r="BM22" s="50"/>
      <c r="BN22" s="49"/>
    </row>
    <row r="23" spans="1:66" ht="15">
      <c r="A23" s="66" t="s">
        <v>231</v>
      </c>
      <c r="B23" s="66" t="s">
        <v>293</v>
      </c>
      <c r="C23" s="67" t="s">
        <v>2108</v>
      </c>
      <c r="D23" s="68">
        <v>1</v>
      </c>
      <c r="E23" s="69" t="s">
        <v>132</v>
      </c>
      <c r="F23" s="70">
        <v>32</v>
      </c>
      <c r="G23" s="67" t="s">
        <v>51</v>
      </c>
      <c r="H23" s="71"/>
      <c r="I23" s="72"/>
      <c r="J23" s="72"/>
      <c r="K23" s="35" t="s">
        <v>65</v>
      </c>
      <c r="L23" s="79">
        <v>23</v>
      </c>
      <c r="M23" s="79"/>
      <c r="N23" s="74"/>
      <c r="O23" s="90" t="s">
        <v>305</v>
      </c>
      <c r="P23" s="93">
        <v>44483.27850694444</v>
      </c>
      <c r="Q23" s="90" t="s">
        <v>310</v>
      </c>
      <c r="R23" s="96" t="str">
        <f>HYPERLINK("https://talouskurssi.fi/")</f>
        <v>https://talouskurssi.fi/</v>
      </c>
      <c r="S23" s="90" t="s">
        <v>334</v>
      </c>
      <c r="T23" s="99" t="s">
        <v>338</v>
      </c>
      <c r="U23" s="96" t="str">
        <f>HYPERLINK("https://pbs.twimg.com/ext_tw_video_thumb/1448527896562348036/pu/img/0PqSbNMaXHvzKHCc.jpg")</f>
        <v>https://pbs.twimg.com/ext_tw_video_thumb/1448527896562348036/pu/img/0PqSbNMaXHvzKHCc.jpg</v>
      </c>
      <c r="V23" s="96" t="str">
        <f>HYPERLINK("https://pbs.twimg.com/ext_tw_video_thumb/1448527896562348036/pu/img/0PqSbNMaXHvzKHCc.jpg")</f>
        <v>https://pbs.twimg.com/ext_tw_video_thumb/1448527896562348036/pu/img/0PqSbNMaXHvzKHCc.jpg</v>
      </c>
      <c r="W23" s="93">
        <v>44483.27850694444</v>
      </c>
      <c r="X23" s="102">
        <v>44483</v>
      </c>
      <c r="Y23" s="99" t="s">
        <v>352</v>
      </c>
      <c r="Z23" s="96" t="str">
        <f>HYPERLINK("https://twitter.com/makisenjussi/status/1448539328561491973")</f>
        <v>https://twitter.com/makisenjussi/status/1448539328561491973</v>
      </c>
      <c r="AA23" s="90"/>
      <c r="AB23" s="90"/>
      <c r="AC23" s="99" t="s">
        <v>446</v>
      </c>
      <c r="AD23" s="90"/>
      <c r="AE23" s="90" t="b">
        <v>0</v>
      </c>
      <c r="AF23" s="90">
        <v>0</v>
      </c>
      <c r="AG23" s="99" t="s">
        <v>535</v>
      </c>
      <c r="AH23" s="90" t="b">
        <v>0</v>
      </c>
      <c r="AI23" s="90" t="s">
        <v>537</v>
      </c>
      <c r="AJ23" s="90"/>
      <c r="AK23" s="99" t="s">
        <v>535</v>
      </c>
      <c r="AL23" s="90" t="b">
        <v>0</v>
      </c>
      <c r="AM23" s="90">
        <v>52</v>
      </c>
      <c r="AN23" s="99" t="s">
        <v>526</v>
      </c>
      <c r="AO23" s="99" t="s">
        <v>543</v>
      </c>
      <c r="AP23" s="90" t="b">
        <v>0</v>
      </c>
      <c r="AQ23" s="99" t="s">
        <v>526</v>
      </c>
      <c r="AR23" s="90" t="s">
        <v>187</v>
      </c>
      <c r="AS23" s="90">
        <v>0</v>
      </c>
      <c r="AT23" s="90">
        <v>0</v>
      </c>
      <c r="AU23" s="90"/>
      <c r="AV23" s="90"/>
      <c r="AW23" s="90"/>
      <c r="AX23" s="90"/>
      <c r="AY23" s="90"/>
      <c r="AZ23" s="90"/>
      <c r="BA23" s="90"/>
      <c r="BB23" s="90"/>
      <c r="BC23" s="90">
        <v>1</v>
      </c>
      <c r="BD23" s="89" t="str">
        <f>REPLACE(INDEX(GroupVertices[Group],MATCH(Edges[[#This Row],[Vertex 1]],GroupVertices[Vertex],0)),1,1,"")</f>
        <v>1</v>
      </c>
      <c r="BE23" s="89" t="str">
        <f>REPLACE(INDEX(GroupVertices[Group],MATCH(Edges[[#This Row],[Vertex 2]],GroupVertices[Vertex],0)),1,1,"")</f>
        <v>3</v>
      </c>
      <c r="BF23" s="49">
        <v>0</v>
      </c>
      <c r="BG23" s="50">
        <v>0</v>
      </c>
      <c r="BH23" s="49">
        <v>0</v>
      </c>
      <c r="BI23" s="50">
        <v>0</v>
      </c>
      <c r="BJ23" s="49">
        <v>0</v>
      </c>
      <c r="BK23" s="50">
        <v>0</v>
      </c>
      <c r="BL23" s="49">
        <v>28</v>
      </c>
      <c r="BM23" s="50">
        <v>100</v>
      </c>
      <c r="BN23" s="49">
        <v>28</v>
      </c>
    </row>
    <row r="24" spans="1:66" ht="15">
      <c r="A24" s="66" t="s">
        <v>232</v>
      </c>
      <c r="B24" s="66" t="s">
        <v>299</v>
      </c>
      <c r="C24" s="67" t="s">
        <v>2108</v>
      </c>
      <c r="D24" s="68">
        <v>1</v>
      </c>
      <c r="E24" s="69" t="s">
        <v>132</v>
      </c>
      <c r="F24" s="70">
        <v>32</v>
      </c>
      <c r="G24" s="67" t="s">
        <v>51</v>
      </c>
      <c r="H24" s="71"/>
      <c r="I24" s="72"/>
      <c r="J24" s="72"/>
      <c r="K24" s="35" t="s">
        <v>65</v>
      </c>
      <c r="L24" s="79">
        <v>24</v>
      </c>
      <c r="M24" s="79"/>
      <c r="N24" s="74"/>
      <c r="O24" s="90" t="s">
        <v>306</v>
      </c>
      <c r="P24" s="93">
        <v>44483.27853009259</v>
      </c>
      <c r="Q24" s="90" t="s">
        <v>310</v>
      </c>
      <c r="R24" s="96" t="str">
        <f>HYPERLINK("https://talouskurssi.fi/")</f>
        <v>https://talouskurssi.fi/</v>
      </c>
      <c r="S24" s="90" t="s">
        <v>334</v>
      </c>
      <c r="T24" s="99" t="s">
        <v>338</v>
      </c>
      <c r="U24" s="96" t="str">
        <f>HYPERLINK("https://pbs.twimg.com/ext_tw_video_thumb/1448527896562348036/pu/img/0PqSbNMaXHvzKHCc.jpg")</f>
        <v>https://pbs.twimg.com/ext_tw_video_thumb/1448527896562348036/pu/img/0PqSbNMaXHvzKHCc.jpg</v>
      </c>
      <c r="V24" s="96" t="str">
        <f>HYPERLINK("https://pbs.twimg.com/ext_tw_video_thumb/1448527896562348036/pu/img/0PqSbNMaXHvzKHCc.jpg")</f>
        <v>https://pbs.twimg.com/ext_tw_video_thumb/1448527896562348036/pu/img/0PqSbNMaXHvzKHCc.jpg</v>
      </c>
      <c r="W24" s="93">
        <v>44483.27853009259</v>
      </c>
      <c r="X24" s="102">
        <v>44483</v>
      </c>
      <c r="Y24" s="99" t="s">
        <v>353</v>
      </c>
      <c r="Z24" s="96" t="str">
        <f>HYPERLINK("https://twitter.com/pvesterbacka/status/1448539337134592000")</f>
        <v>https://twitter.com/pvesterbacka/status/1448539337134592000</v>
      </c>
      <c r="AA24" s="90"/>
      <c r="AB24" s="90"/>
      <c r="AC24" s="99" t="s">
        <v>447</v>
      </c>
      <c r="AD24" s="90"/>
      <c r="AE24" s="90" t="b">
        <v>0</v>
      </c>
      <c r="AF24" s="90">
        <v>0</v>
      </c>
      <c r="AG24" s="99" t="s">
        <v>535</v>
      </c>
      <c r="AH24" s="90" t="b">
        <v>0</v>
      </c>
      <c r="AI24" s="90" t="s">
        <v>537</v>
      </c>
      <c r="AJ24" s="90"/>
      <c r="AK24" s="99" t="s">
        <v>535</v>
      </c>
      <c r="AL24" s="90" t="b">
        <v>0</v>
      </c>
      <c r="AM24" s="90">
        <v>52</v>
      </c>
      <c r="AN24" s="99" t="s">
        <v>526</v>
      </c>
      <c r="AO24" s="99" t="s">
        <v>545</v>
      </c>
      <c r="AP24" s="90" t="b">
        <v>0</v>
      </c>
      <c r="AQ24" s="99" t="s">
        <v>526</v>
      </c>
      <c r="AR24" s="90" t="s">
        <v>187</v>
      </c>
      <c r="AS24" s="90">
        <v>0</v>
      </c>
      <c r="AT24" s="90">
        <v>0</v>
      </c>
      <c r="AU24" s="90"/>
      <c r="AV24" s="90"/>
      <c r="AW24" s="90"/>
      <c r="AX24" s="90"/>
      <c r="AY24" s="90"/>
      <c r="AZ24" s="90"/>
      <c r="BA24" s="90"/>
      <c r="BB24" s="90"/>
      <c r="BC24" s="90">
        <v>1</v>
      </c>
      <c r="BD24" s="89" t="str">
        <f>REPLACE(INDEX(GroupVertices[Group],MATCH(Edges[[#This Row],[Vertex 1]],GroupVertices[Vertex],0)),1,1,"")</f>
        <v>1</v>
      </c>
      <c r="BE24" s="89" t="str">
        <f>REPLACE(INDEX(GroupVertices[Group],MATCH(Edges[[#This Row],[Vertex 2]],GroupVertices[Vertex],0)),1,1,"")</f>
        <v>1</v>
      </c>
      <c r="BF24" s="49"/>
      <c r="BG24" s="50"/>
      <c r="BH24" s="49"/>
      <c r="BI24" s="50"/>
      <c r="BJ24" s="49"/>
      <c r="BK24" s="50"/>
      <c r="BL24" s="49"/>
      <c r="BM24" s="50"/>
      <c r="BN24" s="49"/>
    </row>
    <row r="25" spans="1:66" ht="15">
      <c r="A25" s="66" t="s">
        <v>232</v>
      </c>
      <c r="B25" s="66" t="s">
        <v>302</v>
      </c>
      <c r="C25" s="67" t="s">
        <v>2108</v>
      </c>
      <c r="D25" s="68">
        <v>1</v>
      </c>
      <c r="E25" s="69" t="s">
        <v>132</v>
      </c>
      <c r="F25" s="70">
        <v>32</v>
      </c>
      <c r="G25" s="67" t="s">
        <v>51</v>
      </c>
      <c r="H25" s="71"/>
      <c r="I25" s="72"/>
      <c r="J25" s="72"/>
      <c r="K25" s="35" t="s">
        <v>65</v>
      </c>
      <c r="L25" s="79">
        <v>25</v>
      </c>
      <c r="M25" s="79"/>
      <c r="N25" s="74"/>
      <c r="O25" s="90" t="s">
        <v>306</v>
      </c>
      <c r="P25" s="93">
        <v>44483.27853009259</v>
      </c>
      <c r="Q25" s="90" t="s">
        <v>310</v>
      </c>
      <c r="R25" s="96" t="str">
        <f>HYPERLINK("https://talouskurssi.fi/")</f>
        <v>https://talouskurssi.fi/</v>
      </c>
      <c r="S25" s="90" t="s">
        <v>334</v>
      </c>
      <c r="T25" s="99" t="s">
        <v>338</v>
      </c>
      <c r="U25" s="96" t="str">
        <f>HYPERLINK("https://pbs.twimg.com/ext_tw_video_thumb/1448527896562348036/pu/img/0PqSbNMaXHvzKHCc.jpg")</f>
        <v>https://pbs.twimg.com/ext_tw_video_thumb/1448527896562348036/pu/img/0PqSbNMaXHvzKHCc.jpg</v>
      </c>
      <c r="V25" s="96" t="str">
        <f>HYPERLINK("https://pbs.twimg.com/ext_tw_video_thumb/1448527896562348036/pu/img/0PqSbNMaXHvzKHCc.jpg")</f>
        <v>https://pbs.twimg.com/ext_tw_video_thumb/1448527896562348036/pu/img/0PqSbNMaXHvzKHCc.jpg</v>
      </c>
      <c r="W25" s="93">
        <v>44483.27853009259</v>
      </c>
      <c r="X25" s="102">
        <v>44483</v>
      </c>
      <c r="Y25" s="99" t="s">
        <v>353</v>
      </c>
      <c r="Z25" s="96" t="str">
        <f>HYPERLINK("https://twitter.com/pvesterbacka/status/1448539337134592000")</f>
        <v>https://twitter.com/pvesterbacka/status/1448539337134592000</v>
      </c>
      <c r="AA25" s="90"/>
      <c r="AB25" s="90"/>
      <c r="AC25" s="99" t="s">
        <v>447</v>
      </c>
      <c r="AD25" s="90"/>
      <c r="AE25" s="90" t="b">
        <v>0</v>
      </c>
      <c r="AF25" s="90">
        <v>0</v>
      </c>
      <c r="AG25" s="99" t="s">
        <v>535</v>
      </c>
      <c r="AH25" s="90" t="b">
        <v>0</v>
      </c>
      <c r="AI25" s="90" t="s">
        <v>537</v>
      </c>
      <c r="AJ25" s="90"/>
      <c r="AK25" s="99" t="s">
        <v>535</v>
      </c>
      <c r="AL25" s="90" t="b">
        <v>0</v>
      </c>
      <c r="AM25" s="90">
        <v>52</v>
      </c>
      <c r="AN25" s="99" t="s">
        <v>526</v>
      </c>
      <c r="AO25" s="99" t="s">
        <v>545</v>
      </c>
      <c r="AP25" s="90" t="b">
        <v>0</v>
      </c>
      <c r="AQ25" s="99" t="s">
        <v>526</v>
      </c>
      <c r="AR25" s="90" t="s">
        <v>187</v>
      </c>
      <c r="AS25" s="90">
        <v>0</v>
      </c>
      <c r="AT25" s="90">
        <v>0</v>
      </c>
      <c r="AU25" s="90"/>
      <c r="AV25" s="90"/>
      <c r="AW25" s="90"/>
      <c r="AX25" s="90"/>
      <c r="AY25" s="90"/>
      <c r="AZ25" s="90"/>
      <c r="BA25" s="90"/>
      <c r="BB25" s="90"/>
      <c r="BC25" s="90">
        <v>1</v>
      </c>
      <c r="BD25" s="89" t="str">
        <f>REPLACE(INDEX(GroupVertices[Group],MATCH(Edges[[#This Row],[Vertex 1]],GroupVertices[Vertex],0)),1,1,"")</f>
        <v>1</v>
      </c>
      <c r="BE25" s="89" t="str">
        <f>REPLACE(INDEX(GroupVertices[Group],MATCH(Edges[[#This Row],[Vertex 2]],GroupVertices[Vertex],0)),1,1,"")</f>
        <v>1</v>
      </c>
      <c r="BF25" s="49"/>
      <c r="BG25" s="50"/>
      <c r="BH25" s="49"/>
      <c r="BI25" s="50"/>
      <c r="BJ25" s="49"/>
      <c r="BK25" s="50"/>
      <c r="BL25" s="49"/>
      <c r="BM25" s="50"/>
      <c r="BN25" s="49"/>
    </row>
    <row r="26" spans="1:66" ht="15">
      <c r="A26" s="66" t="s">
        <v>232</v>
      </c>
      <c r="B26" s="66" t="s">
        <v>293</v>
      </c>
      <c r="C26" s="67" t="s">
        <v>2108</v>
      </c>
      <c r="D26" s="68">
        <v>1</v>
      </c>
      <c r="E26" s="69" t="s">
        <v>132</v>
      </c>
      <c r="F26" s="70">
        <v>32</v>
      </c>
      <c r="G26" s="67" t="s">
        <v>51</v>
      </c>
      <c r="H26" s="71"/>
      <c r="I26" s="72"/>
      <c r="J26" s="72"/>
      <c r="K26" s="35" t="s">
        <v>65</v>
      </c>
      <c r="L26" s="79">
        <v>26</v>
      </c>
      <c r="M26" s="79"/>
      <c r="N26" s="74"/>
      <c r="O26" s="90" t="s">
        <v>305</v>
      </c>
      <c r="P26" s="93">
        <v>44483.27853009259</v>
      </c>
      <c r="Q26" s="90" t="s">
        <v>310</v>
      </c>
      <c r="R26" s="96" t="str">
        <f>HYPERLINK("https://talouskurssi.fi/")</f>
        <v>https://talouskurssi.fi/</v>
      </c>
      <c r="S26" s="90" t="s">
        <v>334</v>
      </c>
      <c r="T26" s="99" t="s">
        <v>338</v>
      </c>
      <c r="U26" s="96" t="str">
        <f>HYPERLINK("https://pbs.twimg.com/ext_tw_video_thumb/1448527896562348036/pu/img/0PqSbNMaXHvzKHCc.jpg")</f>
        <v>https://pbs.twimg.com/ext_tw_video_thumb/1448527896562348036/pu/img/0PqSbNMaXHvzKHCc.jpg</v>
      </c>
      <c r="V26" s="96" t="str">
        <f>HYPERLINK("https://pbs.twimg.com/ext_tw_video_thumb/1448527896562348036/pu/img/0PqSbNMaXHvzKHCc.jpg")</f>
        <v>https://pbs.twimg.com/ext_tw_video_thumb/1448527896562348036/pu/img/0PqSbNMaXHvzKHCc.jpg</v>
      </c>
      <c r="W26" s="93">
        <v>44483.27853009259</v>
      </c>
      <c r="X26" s="102">
        <v>44483</v>
      </c>
      <c r="Y26" s="99" t="s">
        <v>353</v>
      </c>
      <c r="Z26" s="96" t="str">
        <f>HYPERLINK("https://twitter.com/pvesterbacka/status/1448539337134592000")</f>
        <v>https://twitter.com/pvesterbacka/status/1448539337134592000</v>
      </c>
      <c r="AA26" s="90"/>
      <c r="AB26" s="90"/>
      <c r="AC26" s="99" t="s">
        <v>447</v>
      </c>
      <c r="AD26" s="90"/>
      <c r="AE26" s="90" t="b">
        <v>0</v>
      </c>
      <c r="AF26" s="90">
        <v>0</v>
      </c>
      <c r="AG26" s="99" t="s">
        <v>535</v>
      </c>
      <c r="AH26" s="90" t="b">
        <v>0</v>
      </c>
      <c r="AI26" s="90" t="s">
        <v>537</v>
      </c>
      <c r="AJ26" s="90"/>
      <c r="AK26" s="99" t="s">
        <v>535</v>
      </c>
      <c r="AL26" s="90" t="b">
        <v>0</v>
      </c>
      <c r="AM26" s="90">
        <v>52</v>
      </c>
      <c r="AN26" s="99" t="s">
        <v>526</v>
      </c>
      <c r="AO26" s="99" t="s">
        <v>545</v>
      </c>
      <c r="AP26" s="90" t="b">
        <v>0</v>
      </c>
      <c r="AQ26" s="99" t="s">
        <v>526</v>
      </c>
      <c r="AR26" s="90" t="s">
        <v>187</v>
      </c>
      <c r="AS26" s="90">
        <v>0</v>
      </c>
      <c r="AT26" s="90">
        <v>0</v>
      </c>
      <c r="AU26" s="90"/>
      <c r="AV26" s="90"/>
      <c r="AW26" s="90"/>
      <c r="AX26" s="90"/>
      <c r="AY26" s="90"/>
      <c r="AZ26" s="90"/>
      <c r="BA26" s="90"/>
      <c r="BB26" s="90"/>
      <c r="BC26" s="90">
        <v>1</v>
      </c>
      <c r="BD26" s="89" t="str">
        <f>REPLACE(INDEX(GroupVertices[Group],MATCH(Edges[[#This Row],[Vertex 1]],GroupVertices[Vertex],0)),1,1,"")</f>
        <v>1</v>
      </c>
      <c r="BE26" s="89" t="str">
        <f>REPLACE(INDEX(GroupVertices[Group],MATCH(Edges[[#This Row],[Vertex 2]],GroupVertices[Vertex],0)),1,1,"")</f>
        <v>3</v>
      </c>
      <c r="BF26" s="49">
        <v>0</v>
      </c>
      <c r="BG26" s="50">
        <v>0</v>
      </c>
      <c r="BH26" s="49">
        <v>0</v>
      </c>
      <c r="BI26" s="50">
        <v>0</v>
      </c>
      <c r="BJ26" s="49">
        <v>0</v>
      </c>
      <c r="BK26" s="50">
        <v>0</v>
      </c>
      <c r="BL26" s="49">
        <v>28</v>
      </c>
      <c r="BM26" s="50">
        <v>100</v>
      </c>
      <c r="BN26" s="49">
        <v>28</v>
      </c>
    </row>
    <row r="27" spans="1:66" ht="15">
      <c r="A27" s="66" t="s">
        <v>233</v>
      </c>
      <c r="B27" s="66" t="s">
        <v>299</v>
      </c>
      <c r="C27" s="67" t="s">
        <v>2108</v>
      </c>
      <c r="D27" s="68">
        <v>1</v>
      </c>
      <c r="E27" s="69" t="s">
        <v>132</v>
      </c>
      <c r="F27" s="70">
        <v>32</v>
      </c>
      <c r="G27" s="67" t="s">
        <v>51</v>
      </c>
      <c r="H27" s="71"/>
      <c r="I27" s="72"/>
      <c r="J27" s="72"/>
      <c r="K27" s="35" t="s">
        <v>65</v>
      </c>
      <c r="L27" s="79">
        <v>27</v>
      </c>
      <c r="M27" s="79"/>
      <c r="N27" s="74"/>
      <c r="O27" s="90" t="s">
        <v>306</v>
      </c>
      <c r="P27" s="93">
        <v>44483.27908564815</v>
      </c>
      <c r="Q27" s="90" t="s">
        <v>310</v>
      </c>
      <c r="R27" s="96" t="str">
        <f>HYPERLINK("https://talouskurssi.fi/")</f>
        <v>https://talouskurssi.fi/</v>
      </c>
      <c r="S27" s="90" t="s">
        <v>334</v>
      </c>
      <c r="T27" s="99" t="s">
        <v>338</v>
      </c>
      <c r="U27" s="96" t="str">
        <f>HYPERLINK("https://pbs.twimg.com/ext_tw_video_thumb/1448527896562348036/pu/img/0PqSbNMaXHvzKHCc.jpg")</f>
        <v>https://pbs.twimg.com/ext_tw_video_thumb/1448527896562348036/pu/img/0PqSbNMaXHvzKHCc.jpg</v>
      </c>
      <c r="V27" s="96" t="str">
        <f>HYPERLINK("https://pbs.twimg.com/ext_tw_video_thumb/1448527896562348036/pu/img/0PqSbNMaXHvzKHCc.jpg")</f>
        <v>https://pbs.twimg.com/ext_tw_video_thumb/1448527896562348036/pu/img/0PqSbNMaXHvzKHCc.jpg</v>
      </c>
      <c r="W27" s="93">
        <v>44483.27908564815</v>
      </c>
      <c r="X27" s="102">
        <v>44483</v>
      </c>
      <c r="Y27" s="99" t="s">
        <v>354</v>
      </c>
      <c r="Z27" s="96" t="str">
        <f>HYPERLINK("https://twitter.com/roope_uusitalo/status/1448539540080242689")</f>
        <v>https://twitter.com/roope_uusitalo/status/1448539540080242689</v>
      </c>
      <c r="AA27" s="90"/>
      <c r="AB27" s="90"/>
      <c r="AC27" s="99" t="s">
        <v>448</v>
      </c>
      <c r="AD27" s="90"/>
      <c r="AE27" s="90" t="b">
        <v>0</v>
      </c>
      <c r="AF27" s="90">
        <v>0</v>
      </c>
      <c r="AG27" s="99" t="s">
        <v>535</v>
      </c>
      <c r="AH27" s="90" t="b">
        <v>0</v>
      </c>
      <c r="AI27" s="90" t="s">
        <v>537</v>
      </c>
      <c r="AJ27" s="90"/>
      <c r="AK27" s="99" t="s">
        <v>535</v>
      </c>
      <c r="AL27" s="90" t="b">
        <v>0</v>
      </c>
      <c r="AM27" s="90">
        <v>52</v>
      </c>
      <c r="AN27" s="99" t="s">
        <v>526</v>
      </c>
      <c r="AO27" s="99" t="s">
        <v>542</v>
      </c>
      <c r="AP27" s="90" t="b">
        <v>0</v>
      </c>
      <c r="AQ27" s="99" t="s">
        <v>526</v>
      </c>
      <c r="AR27" s="90" t="s">
        <v>187</v>
      </c>
      <c r="AS27" s="90">
        <v>0</v>
      </c>
      <c r="AT27" s="90">
        <v>0</v>
      </c>
      <c r="AU27" s="90"/>
      <c r="AV27" s="90"/>
      <c r="AW27" s="90"/>
      <c r="AX27" s="90"/>
      <c r="AY27" s="90"/>
      <c r="AZ27" s="90"/>
      <c r="BA27" s="90"/>
      <c r="BB27" s="90"/>
      <c r="BC27" s="90">
        <v>1</v>
      </c>
      <c r="BD27" s="89" t="str">
        <f>REPLACE(INDEX(GroupVertices[Group],MATCH(Edges[[#This Row],[Vertex 1]],GroupVertices[Vertex],0)),1,1,"")</f>
        <v>1</v>
      </c>
      <c r="BE27" s="89" t="str">
        <f>REPLACE(INDEX(GroupVertices[Group],MATCH(Edges[[#This Row],[Vertex 2]],GroupVertices[Vertex],0)),1,1,"")</f>
        <v>1</v>
      </c>
      <c r="BF27" s="49"/>
      <c r="BG27" s="50"/>
      <c r="BH27" s="49"/>
      <c r="BI27" s="50"/>
      <c r="BJ27" s="49"/>
      <c r="BK27" s="50"/>
      <c r="BL27" s="49"/>
      <c r="BM27" s="50"/>
      <c r="BN27" s="49"/>
    </row>
    <row r="28" spans="1:66" ht="15">
      <c r="A28" s="66" t="s">
        <v>233</v>
      </c>
      <c r="B28" s="66" t="s">
        <v>302</v>
      </c>
      <c r="C28" s="67" t="s">
        <v>2108</v>
      </c>
      <c r="D28" s="68">
        <v>1</v>
      </c>
      <c r="E28" s="69" t="s">
        <v>132</v>
      </c>
      <c r="F28" s="70">
        <v>32</v>
      </c>
      <c r="G28" s="67" t="s">
        <v>51</v>
      </c>
      <c r="H28" s="71"/>
      <c r="I28" s="72"/>
      <c r="J28" s="72"/>
      <c r="K28" s="35" t="s">
        <v>65</v>
      </c>
      <c r="L28" s="79">
        <v>28</v>
      </c>
      <c r="M28" s="79"/>
      <c r="N28" s="74"/>
      <c r="O28" s="90" t="s">
        <v>306</v>
      </c>
      <c r="P28" s="93">
        <v>44483.27908564815</v>
      </c>
      <c r="Q28" s="90" t="s">
        <v>310</v>
      </c>
      <c r="R28" s="96" t="str">
        <f>HYPERLINK("https://talouskurssi.fi/")</f>
        <v>https://talouskurssi.fi/</v>
      </c>
      <c r="S28" s="90" t="s">
        <v>334</v>
      </c>
      <c r="T28" s="99" t="s">
        <v>338</v>
      </c>
      <c r="U28" s="96" t="str">
        <f>HYPERLINK("https://pbs.twimg.com/ext_tw_video_thumb/1448527896562348036/pu/img/0PqSbNMaXHvzKHCc.jpg")</f>
        <v>https://pbs.twimg.com/ext_tw_video_thumb/1448527896562348036/pu/img/0PqSbNMaXHvzKHCc.jpg</v>
      </c>
      <c r="V28" s="96" t="str">
        <f>HYPERLINK("https://pbs.twimg.com/ext_tw_video_thumb/1448527896562348036/pu/img/0PqSbNMaXHvzKHCc.jpg")</f>
        <v>https://pbs.twimg.com/ext_tw_video_thumb/1448527896562348036/pu/img/0PqSbNMaXHvzKHCc.jpg</v>
      </c>
      <c r="W28" s="93">
        <v>44483.27908564815</v>
      </c>
      <c r="X28" s="102">
        <v>44483</v>
      </c>
      <c r="Y28" s="99" t="s">
        <v>354</v>
      </c>
      <c r="Z28" s="96" t="str">
        <f>HYPERLINK("https://twitter.com/roope_uusitalo/status/1448539540080242689")</f>
        <v>https://twitter.com/roope_uusitalo/status/1448539540080242689</v>
      </c>
      <c r="AA28" s="90"/>
      <c r="AB28" s="90"/>
      <c r="AC28" s="99" t="s">
        <v>448</v>
      </c>
      <c r="AD28" s="90"/>
      <c r="AE28" s="90" t="b">
        <v>0</v>
      </c>
      <c r="AF28" s="90">
        <v>0</v>
      </c>
      <c r="AG28" s="99" t="s">
        <v>535</v>
      </c>
      <c r="AH28" s="90" t="b">
        <v>0</v>
      </c>
      <c r="AI28" s="90" t="s">
        <v>537</v>
      </c>
      <c r="AJ28" s="90"/>
      <c r="AK28" s="99" t="s">
        <v>535</v>
      </c>
      <c r="AL28" s="90" t="b">
        <v>0</v>
      </c>
      <c r="AM28" s="90">
        <v>52</v>
      </c>
      <c r="AN28" s="99" t="s">
        <v>526</v>
      </c>
      <c r="AO28" s="99" t="s">
        <v>542</v>
      </c>
      <c r="AP28" s="90" t="b">
        <v>0</v>
      </c>
      <c r="AQ28" s="99" t="s">
        <v>526</v>
      </c>
      <c r="AR28" s="90" t="s">
        <v>187</v>
      </c>
      <c r="AS28" s="90">
        <v>0</v>
      </c>
      <c r="AT28" s="90">
        <v>0</v>
      </c>
      <c r="AU28" s="90"/>
      <c r="AV28" s="90"/>
      <c r="AW28" s="90"/>
      <c r="AX28" s="90"/>
      <c r="AY28" s="90"/>
      <c r="AZ28" s="90"/>
      <c r="BA28" s="90"/>
      <c r="BB28" s="90"/>
      <c r="BC28" s="90">
        <v>1</v>
      </c>
      <c r="BD28" s="89" t="str">
        <f>REPLACE(INDEX(GroupVertices[Group],MATCH(Edges[[#This Row],[Vertex 1]],GroupVertices[Vertex],0)),1,1,"")</f>
        <v>1</v>
      </c>
      <c r="BE28" s="89" t="str">
        <f>REPLACE(INDEX(GroupVertices[Group],MATCH(Edges[[#This Row],[Vertex 2]],GroupVertices[Vertex],0)),1,1,"")</f>
        <v>1</v>
      </c>
      <c r="BF28" s="49"/>
      <c r="BG28" s="50"/>
      <c r="BH28" s="49"/>
      <c r="BI28" s="50"/>
      <c r="BJ28" s="49"/>
      <c r="BK28" s="50"/>
      <c r="BL28" s="49"/>
      <c r="BM28" s="50"/>
      <c r="BN28" s="49"/>
    </row>
    <row r="29" spans="1:66" ht="15">
      <c r="A29" s="66" t="s">
        <v>233</v>
      </c>
      <c r="B29" s="66" t="s">
        <v>293</v>
      </c>
      <c r="C29" s="67" t="s">
        <v>2108</v>
      </c>
      <c r="D29" s="68">
        <v>1</v>
      </c>
      <c r="E29" s="69" t="s">
        <v>132</v>
      </c>
      <c r="F29" s="70">
        <v>32</v>
      </c>
      <c r="G29" s="67" t="s">
        <v>51</v>
      </c>
      <c r="H29" s="71"/>
      <c r="I29" s="72"/>
      <c r="J29" s="72"/>
      <c r="K29" s="35" t="s">
        <v>65</v>
      </c>
      <c r="L29" s="79">
        <v>29</v>
      </c>
      <c r="M29" s="79"/>
      <c r="N29" s="74"/>
      <c r="O29" s="90" t="s">
        <v>305</v>
      </c>
      <c r="P29" s="93">
        <v>44483.27908564815</v>
      </c>
      <c r="Q29" s="90" t="s">
        <v>310</v>
      </c>
      <c r="R29" s="96" t="str">
        <f>HYPERLINK("https://talouskurssi.fi/")</f>
        <v>https://talouskurssi.fi/</v>
      </c>
      <c r="S29" s="90" t="s">
        <v>334</v>
      </c>
      <c r="T29" s="99" t="s">
        <v>338</v>
      </c>
      <c r="U29" s="96" t="str">
        <f>HYPERLINK("https://pbs.twimg.com/ext_tw_video_thumb/1448527896562348036/pu/img/0PqSbNMaXHvzKHCc.jpg")</f>
        <v>https://pbs.twimg.com/ext_tw_video_thumb/1448527896562348036/pu/img/0PqSbNMaXHvzKHCc.jpg</v>
      </c>
      <c r="V29" s="96" t="str">
        <f>HYPERLINK("https://pbs.twimg.com/ext_tw_video_thumb/1448527896562348036/pu/img/0PqSbNMaXHvzKHCc.jpg")</f>
        <v>https://pbs.twimg.com/ext_tw_video_thumb/1448527896562348036/pu/img/0PqSbNMaXHvzKHCc.jpg</v>
      </c>
      <c r="W29" s="93">
        <v>44483.27908564815</v>
      </c>
      <c r="X29" s="102">
        <v>44483</v>
      </c>
      <c r="Y29" s="99" t="s">
        <v>354</v>
      </c>
      <c r="Z29" s="96" t="str">
        <f>HYPERLINK("https://twitter.com/roope_uusitalo/status/1448539540080242689")</f>
        <v>https://twitter.com/roope_uusitalo/status/1448539540080242689</v>
      </c>
      <c r="AA29" s="90"/>
      <c r="AB29" s="90"/>
      <c r="AC29" s="99" t="s">
        <v>448</v>
      </c>
      <c r="AD29" s="90"/>
      <c r="AE29" s="90" t="b">
        <v>0</v>
      </c>
      <c r="AF29" s="90">
        <v>0</v>
      </c>
      <c r="AG29" s="99" t="s">
        <v>535</v>
      </c>
      <c r="AH29" s="90" t="b">
        <v>0</v>
      </c>
      <c r="AI29" s="90" t="s">
        <v>537</v>
      </c>
      <c r="AJ29" s="90"/>
      <c r="AK29" s="99" t="s">
        <v>535</v>
      </c>
      <c r="AL29" s="90" t="b">
        <v>0</v>
      </c>
      <c r="AM29" s="90">
        <v>52</v>
      </c>
      <c r="AN29" s="99" t="s">
        <v>526</v>
      </c>
      <c r="AO29" s="99" t="s">
        <v>542</v>
      </c>
      <c r="AP29" s="90" t="b">
        <v>0</v>
      </c>
      <c r="AQ29" s="99" t="s">
        <v>526</v>
      </c>
      <c r="AR29" s="90" t="s">
        <v>187</v>
      </c>
      <c r="AS29" s="90">
        <v>0</v>
      </c>
      <c r="AT29" s="90">
        <v>0</v>
      </c>
      <c r="AU29" s="90"/>
      <c r="AV29" s="90"/>
      <c r="AW29" s="90"/>
      <c r="AX29" s="90"/>
      <c r="AY29" s="90"/>
      <c r="AZ29" s="90"/>
      <c r="BA29" s="90"/>
      <c r="BB29" s="90"/>
      <c r="BC29" s="90">
        <v>1</v>
      </c>
      <c r="BD29" s="89" t="str">
        <f>REPLACE(INDEX(GroupVertices[Group],MATCH(Edges[[#This Row],[Vertex 1]],GroupVertices[Vertex],0)),1,1,"")</f>
        <v>1</v>
      </c>
      <c r="BE29" s="89" t="str">
        <f>REPLACE(INDEX(GroupVertices[Group],MATCH(Edges[[#This Row],[Vertex 2]],GroupVertices[Vertex],0)),1,1,"")</f>
        <v>3</v>
      </c>
      <c r="BF29" s="49">
        <v>0</v>
      </c>
      <c r="BG29" s="50">
        <v>0</v>
      </c>
      <c r="BH29" s="49">
        <v>0</v>
      </c>
      <c r="BI29" s="50">
        <v>0</v>
      </c>
      <c r="BJ29" s="49">
        <v>0</v>
      </c>
      <c r="BK29" s="50">
        <v>0</v>
      </c>
      <c r="BL29" s="49">
        <v>28</v>
      </c>
      <c r="BM29" s="50">
        <v>100</v>
      </c>
      <c r="BN29" s="49">
        <v>28</v>
      </c>
    </row>
    <row r="30" spans="1:66" ht="15">
      <c r="A30" s="66" t="s">
        <v>234</v>
      </c>
      <c r="B30" s="66" t="s">
        <v>299</v>
      </c>
      <c r="C30" s="67" t="s">
        <v>2108</v>
      </c>
      <c r="D30" s="68">
        <v>1</v>
      </c>
      <c r="E30" s="69" t="s">
        <v>132</v>
      </c>
      <c r="F30" s="70">
        <v>32</v>
      </c>
      <c r="G30" s="67" t="s">
        <v>51</v>
      </c>
      <c r="H30" s="71"/>
      <c r="I30" s="72"/>
      <c r="J30" s="72"/>
      <c r="K30" s="35" t="s">
        <v>65</v>
      </c>
      <c r="L30" s="79">
        <v>30</v>
      </c>
      <c r="M30" s="79"/>
      <c r="N30" s="74"/>
      <c r="O30" s="90" t="s">
        <v>306</v>
      </c>
      <c r="P30" s="93">
        <v>44483.27921296296</v>
      </c>
      <c r="Q30" s="90" t="s">
        <v>310</v>
      </c>
      <c r="R30" s="96" t="str">
        <f>HYPERLINK("https://talouskurssi.fi/")</f>
        <v>https://talouskurssi.fi/</v>
      </c>
      <c r="S30" s="90" t="s">
        <v>334</v>
      </c>
      <c r="T30" s="99" t="s">
        <v>338</v>
      </c>
      <c r="U30" s="96" t="str">
        <f>HYPERLINK("https://pbs.twimg.com/ext_tw_video_thumb/1448527896562348036/pu/img/0PqSbNMaXHvzKHCc.jpg")</f>
        <v>https://pbs.twimg.com/ext_tw_video_thumb/1448527896562348036/pu/img/0PqSbNMaXHvzKHCc.jpg</v>
      </c>
      <c r="V30" s="96" t="str">
        <f>HYPERLINK("https://pbs.twimg.com/ext_tw_video_thumb/1448527896562348036/pu/img/0PqSbNMaXHvzKHCc.jpg")</f>
        <v>https://pbs.twimg.com/ext_tw_video_thumb/1448527896562348036/pu/img/0PqSbNMaXHvzKHCc.jpg</v>
      </c>
      <c r="W30" s="93">
        <v>44483.27921296296</v>
      </c>
      <c r="X30" s="102">
        <v>44483</v>
      </c>
      <c r="Y30" s="99" t="s">
        <v>355</v>
      </c>
      <c r="Z30" s="96" t="str">
        <f>HYPERLINK("https://twitter.com/rsiivonen/status/1448539584493727748")</f>
        <v>https://twitter.com/rsiivonen/status/1448539584493727748</v>
      </c>
      <c r="AA30" s="90"/>
      <c r="AB30" s="90"/>
      <c r="AC30" s="99" t="s">
        <v>449</v>
      </c>
      <c r="AD30" s="90"/>
      <c r="AE30" s="90" t="b">
        <v>0</v>
      </c>
      <c r="AF30" s="90">
        <v>0</v>
      </c>
      <c r="AG30" s="99" t="s">
        <v>535</v>
      </c>
      <c r="AH30" s="90" t="b">
        <v>0</v>
      </c>
      <c r="AI30" s="90" t="s">
        <v>537</v>
      </c>
      <c r="AJ30" s="90"/>
      <c r="AK30" s="99" t="s">
        <v>535</v>
      </c>
      <c r="AL30" s="90" t="b">
        <v>0</v>
      </c>
      <c r="AM30" s="90">
        <v>52</v>
      </c>
      <c r="AN30" s="99" t="s">
        <v>526</v>
      </c>
      <c r="AO30" s="99" t="s">
        <v>543</v>
      </c>
      <c r="AP30" s="90" t="b">
        <v>0</v>
      </c>
      <c r="AQ30" s="99" t="s">
        <v>526</v>
      </c>
      <c r="AR30" s="90" t="s">
        <v>187</v>
      </c>
      <c r="AS30" s="90">
        <v>0</v>
      </c>
      <c r="AT30" s="90">
        <v>0</v>
      </c>
      <c r="AU30" s="90"/>
      <c r="AV30" s="90"/>
      <c r="AW30" s="90"/>
      <c r="AX30" s="90"/>
      <c r="AY30" s="90"/>
      <c r="AZ30" s="90"/>
      <c r="BA30" s="90"/>
      <c r="BB30" s="90"/>
      <c r="BC30" s="90">
        <v>1</v>
      </c>
      <c r="BD30" s="89" t="str">
        <f>REPLACE(INDEX(GroupVertices[Group],MATCH(Edges[[#This Row],[Vertex 1]],GroupVertices[Vertex],0)),1,1,"")</f>
        <v>1</v>
      </c>
      <c r="BE30" s="89" t="str">
        <f>REPLACE(INDEX(GroupVertices[Group],MATCH(Edges[[#This Row],[Vertex 2]],GroupVertices[Vertex],0)),1,1,"")</f>
        <v>1</v>
      </c>
      <c r="BF30" s="49"/>
      <c r="BG30" s="50"/>
      <c r="BH30" s="49"/>
      <c r="BI30" s="50"/>
      <c r="BJ30" s="49"/>
      <c r="BK30" s="50"/>
      <c r="BL30" s="49"/>
      <c r="BM30" s="50"/>
      <c r="BN30" s="49"/>
    </row>
    <row r="31" spans="1:66" ht="15">
      <c r="A31" s="66" t="s">
        <v>234</v>
      </c>
      <c r="B31" s="66" t="s">
        <v>302</v>
      </c>
      <c r="C31" s="67" t="s">
        <v>2108</v>
      </c>
      <c r="D31" s="68">
        <v>1</v>
      </c>
      <c r="E31" s="69" t="s">
        <v>132</v>
      </c>
      <c r="F31" s="70">
        <v>32</v>
      </c>
      <c r="G31" s="67" t="s">
        <v>51</v>
      </c>
      <c r="H31" s="71"/>
      <c r="I31" s="72"/>
      <c r="J31" s="72"/>
      <c r="K31" s="35" t="s">
        <v>65</v>
      </c>
      <c r="L31" s="79">
        <v>31</v>
      </c>
      <c r="M31" s="79"/>
      <c r="N31" s="74"/>
      <c r="O31" s="90" t="s">
        <v>306</v>
      </c>
      <c r="P31" s="93">
        <v>44483.27921296296</v>
      </c>
      <c r="Q31" s="90" t="s">
        <v>310</v>
      </c>
      <c r="R31" s="96" t="str">
        <f>HYPERLINK("https://talouskurssi.fi/")</f>
        <v>https://talouskurssi.fi/</v>
      </c>
      <c r="S31" s="90" t="s">
        <v>334</v>
      </c>
      <c r="T31" s="99" t="s">
        <v>338</v>
      </c>
      <c r="U31" s="96" t="str">
        <f>HYPERLINK("https://pbs.twimg.com/ext_tw_video_thumb/1448527896562348036/pu/img/0PqSbNMaXHvzKHCc.jpg")</f>
        <v>https://pbs.twimg.com/ext_tw_video_thumb/1448527896562348036/pu/img/0PqSbNMaXHvzKHCc.jpg</v>
      </c>
      <c r="V31" s="96" t="str">
        <f>HYPERLINK("https://pbs.twimg.com/ext_tw_video_thumb/1448527896562348036/pu/img/0PqSbNMaXHvzKHCc.jpg")</f>
        <v>https://pbs.twimg.com/ext_tw_video_thumb/1448527896562348036/pu/img/0PqSbNMaXHvzKHCc.jpg</v>
      </c>
      <c r="W31" s="93">
        <v>44483.27921296296</v>
      </c>
      <c r="X31" s="102">
        <v>44483</v>
      </c>
      <c r="Y31" s="99" t="s">
        <v>355</v>
      </c>
      <c r="Z31" s="96" t="str">
        <f>HYPERLINK("https://twitter.com/rsiivonen/status/1448539584493727748")</f>
        <v>https://twitter.com/rsiivonen/status/1448539584493727748</v>
      </c>
      <c r="AA31" s="90"/>
      <c r="AB31" s="90"/>
      <c r="AC31" s="99" t="s">
        <v>449</v>
      </c>
      <c r="AD31" s="90"/>
      <c r="AE31" s="90" t="b">
        <v>0</v>
      </c>
      <c r="AF31" s="90">
        <v>0</v>
      </c>
      <c r="AG31" s="99" t="s">
        <v>535</v>
      </c>
      <c r="AH31" s="90" t="b">
        <v>0</v>
      </c>
      <c r="AI31" s="90" t="s">
        <v>537</v>
      </c>
      <c r="AJ31" s="90"/>
      <c r="AK31" s="99" t="s">
        <v>535</v>
      </c>
      <c r="AL31" s="90" t="b">
        <v>0</v>
      </c>
      <c r="AM31" s="90">
        <v>52</v>
      </c>
      <c r="AN31" s="99" t="s">
        <v>526</v>
      </c>
      <c r="AO31" s="99" t="s">
        <v>543</v>
      </c>
      <c r="AP31" s="90" t="b">
        <v>0</v>
      </c>
      <c r="AQ31" s="99" t="s">
        <v>526</v>
      </c>
      <c r="AR31" s="90" t="s">
        <v>187</v>
      </c>
      <c r="AS31" s="90">
        <v>0</v>
      </c>
      <c r="AT31" s="90">
        <v>0</v>
      </c>
      <c r="AU31" s="90"/>
      <c r="AV31" s="90"/>
      <c r="AW31" s="90"/>
      <c r="AX31" s="90"/>
      <c r="AY31" s="90"/>
      <c r="AZ31" s="90"/>
      <c r="BA31" s="90"/>
      <c r="BB31" s="90"/>
      <c r="BC31" s="90">
        <v>1</v>
      </c>
      <c r="BD31" s="89" t="str">
        <f>REPLACE(INDEX(GroupVertices[Group],MATCH(Edges[[#This Row],[Vertex 1]],GroupVertices[Vertex],0)),1,1,"")</f>
        <v>1</v>
      </c>
      <c r="BE31" s="89" t="str">
        <f>REPLACE(INDEX(GroupVertices[Group],MATCH(Edges[[#This Row],[Vertex 2]],GroupVertices[Vertex],0)),1,1,"")</f>
        <v>1</v>
      </c>
      <c r="BF31" s="49"/>
      <c r="BG31" s="50"/>
      <c r="BH31" s="49"/>
      <c r="BI31" s="50"/>
      <c r="BJ31" s="49"/>
      <c r="BK31" s="50"/>
      <c r="BL31" s="49"/>
      <c r="BM31" s="50"/>
      <c r="BN31" s="49"/>
    </row>
    <row r="32" spans="1:66" ht="15">
      <c r="A32" s="66" t="s">
        <v>234</v>
      </c>
      <c r="B32" s="66" t="s">
        <v>293</v>
      </c>
      <c r="C32" s="67" t="s">
        <v>2108</v>
      </c>
      <c r="D32" s="68">
        <v>1</v>
      </c>
      <c r="E32" s="69" t="s">
        <v>132</v>
      </c>
      <c r="F32" s="70">
        <v>32</v>
      </c>
      <c r="G32" s="67" t="s">
        <v>51</v>
      </c>
      <c r="H32" s="71"/>
      <c r="I32" s="72"/>
      <c r="J32" s="72"/>
      <c r="K32" s="35" t="s">
        <v>65</v>
      </c>
      <c r="L32" s="79">
        <v>32</v>
      </c>
      <c r="M32" s="79"/>
      <c r="N32" s="74"/>
      <c r="O32" s="90" t="s">
        <v>305</v>
      </c>
      <c r="P32" s="93">
        <v>44483.27921296296</v>
      </c>
      <c r="Q32" s="90" t="s">
        <v>310</v>
      </c>
      <c r="R32" s="96" t="str">
        <f>HYPERLINK("https://talouskurssi.fi/")</f>
        <v>https://talouskurssi.fi/</v>
      </c>
      <c r="S32" s="90" t="s">
        <v>334</v>
      </c>
      <c r="T32" s="99" t="s">
        <v>338</v>
      </c>
      <c r="U32" s="96" t="str">
        <f>HYPERLINK("https://pbs.twimg.com/ext_tw_video_thumb/1448527896562348036/pu/img/0PqSbNMaXHvzKHCc.jpg")</f>
        <v>https://pbs.twimg.com/ext_tw_video_thumb/1448527896562348036/pu/img/0PqSbNMaXHvzKHCc.jpg</v>
      </c>
      <c r="V32" s="96" t="str">
        <f>HYPERLINK("https://pbs.twimg.com/ext_tw_video_thumb/1448527896562348036/pu/img/0PqSbNMaXHvzKHCc.jpg")</f>
        <v>https://pbs.twimg.com/ext_tw_video_thumb/1448527896562348036/pu/img/0PqSbNMaXHvzKHCc.jpg</v>
      </c>
      <c r="W32" s="93">
        <v>44483.27921296296</v>
      </c>
      <c r="X32" s="102">
        <v>44483</v>
      </c>
      <c r="Y32" s="99" t="s">
        <v>355</v>
      </c>
      <c r="Z32" s="96" t="str">
        <f>HYPERLINK("https://twitter.com/rsiivonen/status/1448539584493727748")</f>
        <v>https://twitter.com/rsiivonen/status/1448539584493727748</v>
      </c>
      <c r="AA32" s="90"/>
      <c r="AB32" s="90"/>
      <c r="AC32" s="99" t="s">
        <v>449</v>
      </c>
      <c r="AD32" s="90"/>
      <c r="AE32" s="90" t="b">
        <v>0</v>
      </c>
      <c r="AF32" s="90">
        <v>0</v>
      </c>
      <c r="AG32" s="99" t="s">
        <v>535</v>
      </c>
      <c r="AH32" s="90" t="b">
        <v>0</v>
      </c>
      <c r="AI32" s="90" t="s">
        <v>537</v>
      </c>
      <c r="AJ32" s="90"/>
      <c r="AK32" s="99" t="s">
        <v>535</v>
      </c>
      <c r="AL32" s="90" t="b">
        <v>0</v>
      </c>
      <c r="AM32" s="90">
        <v>52</v>
      </c>
      <c r="AN32" s="99" t="s">
        <v>526</v>
      </c>
      <c r="AO32" s="99" t="s">
        <v>543</v>
      </c>
      <c r="AP32" s="90" t="b">
        <v>0</v>
      </c>
      <c r="AQ32" s="99" t="s">
        <v>526</v>
      </c>
      <c r="AR32" s="90" t="s">
        <v>187</v>
      </c>
      <c r="AS32" s="90">
        <v>0</v>
      </c>
      <c r="AT32" s="90">
        <v>0</v>
      </c>
      <c r="AU32" s="90"/>
      <c r="AV32" s="90"/>
      <c r="AW32" s="90"/>
      <c r="AX32" s="90"/>
      <c r="AY32" s="90"/>
      <c r="AZ32" s="90"/>
      <c r="BA32" s="90"/>
      <c r="BB32" s="90"/>
      <c r="BC32" s="90">
        <v>1</v>
      </c>
      <c r="BD32" s="89" t="str">
        <f>REPLACE(INDEX(GroupVertices[Group],MATCH(Edges[[#This Row],[Vertex 1]],GroupVertices[Vertex],0)),1,1,"")</f>
        <v>1</v>
      </c>
      <c r="BE32" s="89" t="str">
        <f>REPLACE(INDEX(GroupVertices[Group],MATCH(Edges[[#This Row],[Vertex 2]],GroupVertices[Vertex],0)),1,1,"")</f>
        <v>3</v>
      </c>
      <c r="BF32" s="49">
        <v>0</v>
      </c>
      <c r="BG32" s="50">
        <v>0</v>
      </c>
      <c r="BH32" s="49">
        <v>0</v>
      </c>
      <c r="BI32" s="50">
        <v>0</v>
      </c>
      <c r="BJ32" s="49">
        <v>0</v>
      </c>
      <c r="BK32" s="50">
        <v>0</v>
      </c>
      <c r="BL32" s="49">
        <v>28</v>
      </c>
      <c r="BM32" s="50">
        <v>100</v>
      </c>
      <c r="BN32" s="49">
        <v>28</v>
      </c>
    </row>
    <row r="33" spans="1:66" ht="15">
      <c r="A33" s="66" t="s">
        <v>236</v>
      </c>
      <c r="B33" s="66" t="s">
        <v>299</v>
      </c>
      <c r="C33" s="67" t="s">
        <v>2108</v>
      </c>
      <c r="D33" s="68">
        <v>1</v>
      </c>
      <c r="E33" s="69" t="s">
        <v>132</v>
      </c>
      <c r="F33" s="70">
        <v>32</v>
      </c>
      <c r="G33" s="67" t="s">
        <v>51</v>
      </c>
      <c r="H33" s="71"/>
      <c r="I33" s="72"/>
      <c r="J33" s="72"/>
      <c r="K33" s="35" t="s">
        <v>65</v>
      </c>
      <c r="L33" s="79">
        <v>33</v>
      </c>
      <c r="M33" s="79"/>
      <c r="N33" s="74"/>
      <c r="O33" s="90" t="s">
        <v>306</v>
      </c>
      <c r="P33" s="93">
        <v>44483.301620370374</v>
      </c>
      <c r="Q33" s="90" t="s">
        <v>310</v>
      </c>
      <c r="R33" s="96" t="str">
        <f>HYPERLINK("https://talouskurssi.fi/")</f>
        <v>https://talouskurssi.fi/</v>
      </c>
      <c r="S33" s="90" t="s">
        <v>334</v>
      </c>
      <c r="T33" s="99" t="s">
        <v>338</v>
      </c>
      <c r="U33" s="96" t="str">
        <f>HYPERLINK("https://pbs.twimg.com/ext_tw_video_thumb/1448527896562348036/pu/img/0PqSbNMaXHvzKHCc.jpg")</f>
        <v>https://pbs.twimg.com/ext_tw_video_thumb/1448527896562348036/pu/img/0PqSbNMaXHvzKHCc.jpg</v>
      </c>
      <c r="V33" s="96" t="str">
        <f>HYPERLINK("https://pbs.twimg.com/ext_tw_video_thumb/1448527896562348036/pu/img/0PqSbNMaXHvzKHCc.jpg")</f>
        <v>https://pbs.twimg.com/ext_tw_video_thumb/1448527896562348036/pu/img/0PqSbNMaXHvzKHCc.jpg</v>
      </c>
      <c r="W33" s="93">
        <v>44483.301620370374</v>
      </c>
      <c r="X33" s="102">
        <v>44483</v>
      </c>
      <c r="Y33" s="99" t="s">
        <v>357</v>
      </c>
      <c r="Z33" s="96" t="str">
        <f>HYPERLINK("https://twitter.com/susannarosin/status/1448547705329012737")</f>
        <v>https://twitter.com/susannarosin/status/1448547705329012737</v>
      </c>
      <c r="AA33" s="90"/>
      <c r="AB33" s="90"/>
      <c r="AC33" s="99" t="s">
        <v>451</v>
      </c>
      <c r="AD33" s="90"/>
      <c r="AE33" s="90" t="b">
        <v>0</v>
      </c>
      <c r="AF33" s="90">
        <v>0</v>
      </c>
      <c r="AG33" s="99" t="s">
        <v>535</v>
      </c>
      <c r="AH33" s="90" t="b">
        <v>0</v>
      </c>
      <c r="AI33" s="90" t="s">
        <v>537</v>
      </c>
      <c r="AJ33" s="90"/>
      <c r="AK33" s="99" t="s">
        <v>535</v>
      </c>
      <c r="AL33" s="90" t="b">
        <v>0</v>
      </c>
      <c r="AM33" s="90">
        <v>52</v>
      </c>
      <c r="AN33" s="99" t="s">
        <v>526</v>
      </c>
      <c r="AO33" s="99" t="s">
        <v>543</v>
      </c>
      <c r="AP33" s="90" t="b">
        <v>0</v>
      </c>
      <c r="AQ33" s="99" t="s">
        <v>526</v>
      </c>
      <c r="AR33" s="90" t="s">
        <v>187</v>
      </c>
      <c r="AS33" s="90">
        <v>0</v>
      </c>
      <c r="AT33" s="90">
        <v>0</v>
      </c>
      <c r="AU33" s="90"/>
      <c r="AV33" s="90"/>
      <c r="AW33" s="90"/>
      <c r="AX33" s="90"/>
      <c r="AY33" s="90"/>
      <c r="AZ33" s="90"/>
      <c r="BA33" s="90"/>
      <c r="BB33" s="90"/>
      <c r="BC33" s="90">
        <v>1</v>
      </c>
      <c r="BD33" s="89" t="str">
        <f>REPLACE(INDEX(GroupVertices[Group],MATCH(Edges[[#This Row],[Vertex 1]],GroupVertices[Vertex],0)),1,1,"")</f>
        <v>1</v>
      </c>
      <c r="BE33" s="89" t="str">
        <f>REPLACE(INDEX(GroupVertices[Group],MATCH(Edges[[#This Row],[Vertex 2]],GroupVertices[Vertex],0)),1,1,"")</f>
        <v>1</v>
      </c>
      <c r="BF33" s="49"/>
      <c r="BG33" s="50"/>
      <c r="BH33" s="49"/>
      <c r="BI33" s="50"/>
      <c r="BJ33" s="49"/>
      <c r="BK33" s="50"/>
      <c r="BL33" s="49"/>
      <c r="BM33" s="50"/>
      <c r="BN33" s="49"/>
    </row>
    <row r="34" spans="1:66" ht="15">
      <c r="A34" s="66" t="s">
        <v>236</v>
      </c>
      <c r="B34" s="66" t="s">
        <v>302</v>
      </c>
      <c r="C34" s="67" t="s">
        <v>2108</v>
      </c>
      <c r="D34" s="68">
        <v>1</v>
      </c>
      <c r="E34" s="69" t="s">
        <v>132</v>
      </c>
      <c r="F34" s="70">
        <v>32</v>
      </c>
      <c r="G34" s="67" t="s">
        <v>51</v>
      </c>
      <c r="H34" s="71"/>
      <c r="I34" s="72"/>
      <c r="J34" s="72"/>
      <c r="K34" s="35" t="s">
        <v>65</v>
      </c>
      <c r="L34" s="79">
        <v>34</v>
      </c>
      <c r="M34" s="79"/>
      <c r="N34" s="74"/>
      <c r="O34" s="90" t="s">
        <v>306</v>
      </c>
      <c r="P34" s="93">
        <v>44483.301620370374</v>
      </c>
      <c r="Q34" s="90" t="s">
        <v>310</v>
      </c>
      <c r="R34" s="96" t="str">
        <f>HYPERLINK("https://talouskurssi.fi/")</f>
        <v>https://talouskurssi.fi/</v>
      </c>
      <c r="S34" s="90" t="s">
        <v>334</v>
      </c>
      <c r="T34" s="99" t="s">
        <v>338</v>
      </c>
      <c r="U34" s="96" t="str">
        <f>HYPERLINK("https://pbs.twimg.com/ext_tw_video_thumb/1448527896562348036/pu/img/0PqSbNMaXHvzKHCc.jpg")</f>
        <v>https://pbs.twimg.com/ext_tw_video_thumb/1448527896562348036/pu/img/0PqSbNMaXHvzKHCc.jpg</v>
      </c>
      <c r="V34" s="96" t="str">
        <f>HYPERLINK("https://pbs.twimg.com/ext_tw_video_thumb/1448527896562348036/pu/img/0PqSbNMaXHvzKHCc.jpg")</f>
        <v>https://pbs.twimg.com/ext_tw_video_thumb/1448527896562348036/pu/img/0PqSbNMaXHvzKHCc.jpg</v>
      </c>
      <c r="W34" s="93">
        <v>44483.301620370374</v>
      </c>
      <c r="X34" s="102">
        <v>44483</v>
      </c>
      <c r="Y34" s="99" t="s">
        <v>357</v>
      </c>
      <c r="Z34" s="96" t="str">
        <f>HYPERLINK("https://twitter.com/susannarosin/status/1448547705329012737")</f>
        <v>https://twitter.com/susannarosin/status/1448547705329012737</v>
      </c>
      <c r="AA34" s="90"/>
      <c r="AB34" s="90"/>
      <c r="AC34" s="99" t="s">
        <v>451</v>
      </c>
      <c r="AD34" s="90"/>
      <c r="AE34" s="90" t="b">
        <v>0</v>
      </c>
      <c r="AF34" s="90">
        <v>0</v>
      </c>
      <c r="AG34" s="99" t="s">
        <v>535</v>
      </c>
      <c r="AH34" s="90" t="b">
        <v>0</v>
      </c>
      <c r="AI34" s="90" t="s">
        <v>537</v>
      </c>
      <c r="AJ34" s="90"/>
      <c r="AK34" s="99" t="s">
        <v>535</v>
      </c>
      <c r="AL34" s="90" t="b">
        <v>0</v>
      </c>
      <c r="AM34" s="90">
        <v>52</v>
      </c>
      <c r="AN34" s="99" t="s">
        <v>526</v>
      </c>
      <c r="AO34" s="99" t="s">
        <v>543</v>
      </c>
      <c r="AP34" s="90" t="b">
        <v>0</v>
      </c>
      <c r="AQ34" s="99" t="s">
        <v>526</v>
      </c>
      <c r="AR34" s="90" t="s">
        <v>187</v>
      </c>
      <c r="AS34" s="90">
        <v>0</v>
      </c>
      <c r="AT34" s="90">
        <v>0</v>
      </c>
      <c r="AU34" s="90"/>
      <c r="AV34" s="90"/>
      <c r="AW34" s="90"/>
      <c r="AX34" s="90"/>
      <c r="AY34" s="90"/>
      <c r="AZ34" s="90"/>
      <c r="BA34" s="90"/>
      <c r="BB34" s="90"/>
      <c r="BC34" s="90">
        <v>1</v>
      </c>
      <c r="BD34" s="89" t="str">
        <f>REPLACE(INDEX(GroupVertices[Group],MATCH(Edges[[#This Row],[Vertex 1]],GroupVertices[Vertex],0)),1,1,"")</f>
        <v>1</v>
      </c>
      <c r="BE34" s="89" t="str">
        <f>REPLACE(INDEX(GroupVertices[Group],MATCH(Edges[[#This Row],[Vertex 2]],GroupVertices[Vertex],0)),1,1,"")</f>
        <v>1</v>
      </c>
      <c r="BF34" s="49"/>
      <c r="BG34" s="50"/>
      <c r="BH34" s="49"/>
      <c r="BI34" s="50"/>
      <c r="BJ34" s="49"/>
      <c r="BK34" s="50"/>
      <c r="BL34" s="49"/>
      <c r="BM34" s="50"/>
      <c r="BN34" s="49"/>
    </row>
    <row r="35" spans="1:66" ht="15">
      <c r="A35" s="66" t="s">
        <v>236</v>
      </c>
      <c r="B35" s="66" t="s">
        <v>293</v>
      </c>
      <c r="C35" s="67" t="s">
        <v>2108</v>
      </c>
      <c r="D35" s="68">
        <v>1</v>
      </c>
      <c r="E35" s="69" t="s">
        <v>132</v>
      </c>
      <c r="F35" s="70">
        <v>32</v>
      </c>
      <c r="G35" s="67" t="s">
        <v>51</v>
      </c>
      <c r="H35" s="71"/>
      <c r="I35" s="72"/>
      <c r="J35" s="72"/>
      <c r="K35" s="35" t="s">
        <v>65</v>
      </c>
      <c r="L35" s="79">
        <v>35</v>
      </c>
      <c r="M35" s="79"/>
      <c r="N35" s="74"/>
      <c r="O35" s="90" t="s">
        <v>305</v>
      </c>
      <c r="P35" s="93">
        <v>44483.301620370374</v>
      </c>
      <c r="Q35" s="90" t="s">
        <v>310</v>
      </c>
      <c r="R35" s="96" t="str">
        <f>HYPERLINK("https://talouskurssi.fi/")</f>
        <v>https://talouskurssi.fi/</v>
      </c>
      <c r="S35" s="90" t="s">
        <v>334</v>
      </c>
      <c r="T35" s="99" t="s">
        <v>338</v>
      </c>
      <c r="U35" s="96" t="str">
        <f>HYPERLINK("https://pbs.twimg.com/ext_tw_video_thumb/1448527896562348036/pu/img/0PqSbNMaXHvzKHCc.jpg")</f>
        <v>https://pbs.twimg.com/ext_tw_video_thumb/1448527896562348036/pu/img/0PqSbNMaXHvzKHCc.jpg</v>
      </c>
      <c r="V35" s="96" t="str">
        <f>HYPERLINK("https://pbs.twimg.com/ext_tw_video_thumb/1448527896562348036/pu/img/0PqSbNMaXHvzKHCc.jpg")</f>
        <v>https://pbs.twimg.com/ext_tw_video_thumb/1448527896562348036/pu/img/0PqSbNMaXHvzKHCc.jpg</v>
      </c>
      <c r="W35" s="93">
        <v>44483.301620370374</v>
      </c>
      <c r="X35" s="102">
        <v>44483</v>
      </c>
      <c r="Y35" s="99" t="s">
        <v>357</v>
      </c>
      <c r="Z35" s="96" t="str">
        <f>HYPERLINK("https://twitter.com/susannarosin/status/1448547705329012737")</f>
        <v>https://twitter.com/susannarosin/status/1448547705329012737</v>
      </c>
      <c r="AA35" s="90"/>
      <c r="AB35" s="90"/>
      <c r="AC35" s="99" t="s">
        <v>451</v>
      </c>
      <c r="AD35" s="90"/>
      <c r="AE35" s="90" t="b">
        <v>0</v>
      </c>
      <c r="AF35" s="90">
        <v>0</v>
      </c>
      <c r="AG35" s="99" t="s">
        <v>535</v>
      </c>
      <c r="AH35" s="90" t="b">
        <v>0</v>
      </c>
      <c r="AI35" s="90" t="s">
        <v>537</v>
      </c>
      <c r="AJ35" s="90"/>
      <c r="AK35" s="99" t="s">
        <v>535</v>
      </c>
      <c r="AL35" s="90" t="b">
        <v>0</v>
      </c>
      <c r="AM35" s="90">
        <v>52</v>
      </c>
      <c r="AN35" s="99" t="s">
        <v>526</v>
      </c>
      <c r="AO35" s="99" t="s">
        <v>543</v>
      </c>
      <c r="AP35" s="90" t="b">
        <v>0</v>
      </c>
      <c r="AQ35" s="99" t="s">
        <v>526</v>
      </c>
      <c r="AR35" s="90" t="s">
        <v>187</v>
      </c>
      <c r="AS35" s="90">
        <v>0</v>
      </c>
      <c r="AT35" s="90">
        <v>0</v>
      </c>
      <c r="AU35" s="90"/>
      <c r="AV35" s="90"/>
      <c r="AW35" s="90"/>
      <c r="AX35" s="90"/>
      <c r="AY35" s="90"/>
      <c r="AZ35" s="90"/>
      <c r="BA35" s="90"/>
      <c r="BB35" s="90"/>
      <c r="BC35" s="90">
        <v>1</v>
      </c>
      <c r="BD35" s="89" t="str">
        <f>REPLACE(INDEX(GroupVertices[Group],MATCH(Edges[[#This Row],[Vertex 1]],GroupVertices[Vertex],0)),1,1,"")</f>
        <v>1</v>
      </c>
      <c r="BE35" s="89" t="str">
        <f>REPLACE(INDEX(GroupVertices[Group],MATCH(Edges[[#This Row],[Vertex 2]],GroupVertices[Vertex],0)),1,1,"")</f>
        <v>3</v>
      </c>
      <c r="BF35" s="49">
        <v>0</v>
      </c>
      <c r="BG35" s="50">
        <v>0</v>
      </c>
      <c r="BH35" s="49">
        <v>0</v>
      </c>
      <c r="BI35" s="50">
        <v>0</v>
      </c>
      <c r="BJ35" s="49">
        <v>0</v>
      </c>
      <c r="BK35" s="50">
        <v>0</v>
      </c>
      <c r="BL35" s="49">
        <v>28</v>
      </c>
      <c r="BM35" s="50">
        <v>100</v>
      </c>
      <c r="BN35" s="49">
        <v>28</v>
      </c>
    </row>
    <row r="36" spans="1:66" ht="15">
      <c r="A36" s="66" t="s">
        <v>237</v>
      </c>
      <c r="B36" s="66" t="s">
        <v>237</v>
      </c>
      <c r="C36" s="67" t="s">
        <v>2108</v>
      </c>
      <c r="D36" s="68">
        <v>1</v>
      </c>
      <c r="E36" s="69" t="s">
        <v>132</v>
      </c>
      <c r="F36" s="70">
        <v>32</v>
      </c>
      <c r="G36" s="67" t="s">
        <v>51</v>
      </c>
      <c r="H36" s="71"/>
      <c r="I36" s="72"/>
      <c r="J36" s="72"/>
      <c r="K36" s="35" t="s">
        <v>65</v>
      </c>
      <c r="L36" s="79">
        <v>36</v>
      </c>
      <c r="M36" s="79"/>
      <c r="N36" s="74"/>
      <c r="O36" s="90" t="s">
        <v>187</v>
      </c>
      <c r="P36" s="93">
        <v>44483.317557870374</v>
      </c>
      <c r="Q36" s="90" t="s">
        <v>311</v>
      </c>
      <c r="R36" s="96" t="str">
        <f>HYPERLINK("https://twitter.com/helsinkigse/status/1448530102837514240")</f>
        <v>https://twitter.com/helsinkigse/status/1448530102837514240</v>
      </c>
      <c r="S36" s="90" t="s">
        <v>333</v>
      </c>
      <c r="T36" s="99" t="s">
        <v>338</v>
      </c>
      <c r="U36" s="90"/>
      <c r="V36" s="96" t="str">
        <f>HYPERLINK("https://pbs.twimg.com/profile_images/1229493933304156162/mMH8aNdt_normal.jpg")</f>
        <v>https://pbs.twimg.com/profile_images/1229493933304156162/mMH8aNdt_normal.jpg</v>
      </c>
      <c r="W36" s="93">
        <v>44483.317557870374</v>
      </c>
      <c r="X36" s="102">
        <v>44483</v>
      </c>
      <c r="Y36" s="99" t="s">
        <v>358</v>
      </c>
      <c r="Z36" s="96" t="str">
        <f>HYPERLINK("https://twitter.com/saarasofia/status/1448553480109666305")</f>
        <v>https://twitter.com/saarasofia/status/1448553480109666305</v>
      </c>
      <c r="AA36" s="90"/>
      <c r="AB36" s="90"/>
      <c r="AC36" s="99" t="s">
        <v>452</v>
      </c>
      <c r="AD36" s="90"/>
      <c r="AE36" s="90" t="b">
        <v>0</v>
      </c>
      <c r="AF36" s="90">
        <v>12</v>
      </c>
      <c r="AG36" s="99" t="s">
        <v>535</v>
      </c>
      <c r="AH36" s="90" t="b">
        <v>1</v>
      </c>
      <c r="AI36" s="90" t="s">
        <v>537</v>
      </c>
      <c r="AJ36" s="90"/>
      <c r="AK36" s="99" t="s">
        <v>526</v>
      </c>
      <c r="AL36" s="90" t="b">
        <v>0</v>
      </c>
      <c r="AM36" s="90">
        <v>0</v>
      </c>
      <c r="AN36" s="99" t="s">
        <v>535</v>
      </c>
      <c r="AO36" s="99" t="s">
        <v>543</v>
      </c>
      <c r="AP36" s="90" t="b">
        <v>0</v>
      </c>
      <c r="AQ36" s="99" t="s">
        <v>452</v>
      </c>
      <c r="AR36" s="90" t="s">
        <v>187</v>
      </c>
      <c r="AS36" s="90">
        <v>0</v>
      </c>
      <c r="AT36" s="90">
        <v>0</v>
      </c>
      <c r="AU36" s="90"/>
      <c r="AV36" s="90"/>
      <c r="AW36" s="90"/>
      <c r="AX36" s="90"/>
      <c r="AY36" s="90"/>
      <c r="AZ36" s="90"/>
      <c r="BA36" s="90"/>
      <c r="BB36" s="90"/>
      <c r="BC36" s="90">
        <v>1</v>
      </c>
      <c r="BD36" s="89" t="str">
        <f>REPLACE(INDEX(GroupVertices[Group],MATCH(Edges[[#This Row],[Vertex 1]],GroupVertices[Vertex],0)),1,1,"")</f>
        <v>4</v>
      </c>
      <c r="BE36" s="89" t="str">
        <f>REPLACE(INDEX(GroupVertices[Group],MATCH(Edges[[#This Row],[Vertex 2]],GroupVertices[Vertex],0)),1,1,"")</f>
        <v>4</v>
      </c>
      <c r="BF36" s="49">
        <v>0</v>
      </c>
      <c r="BG36" s="50">
        <v>0</v>
      </c>
      <c r="BH36" s="49">
        <v>0</v>
      </c>
      <c r="BI36" s="50">
        <v>0</v>
      </c>
      <c r="BJ36" s="49">
        <v>0</v>
      </c>
      <c r="BK36" s="50">
        <v>0</v>
      </c>
      <c r="BL36" s="49">
        <v>28</v>
      </c>
      <c r="BM36" s="50">
        <v>100</v>
      </c>
      <c r="BN36" s="49">
        <v>28</v>
      </c>
    </row>
    <row r="37" spans="1:66" ht="15">
      <c r="A37" s="66" t="s">
        <v>238</v>
      </c>
      <c r="B37" s="66" t="s">
        <v>299</v>
      </c>
      <c r="C37" s="67" t="s">
        <v>2108</v>
      </c>
      <c r="D37" s="68">
        <v>1</v>
      </c>
      <c r="E37" s="69" t="s">
        <v>132</v>
      </c>
      <c r="F37" s="70">
        <v>32</v>
      </c>
      <c r="G37" s="67" t="s">
        <v>51</v>
      </c>
      <c r="H37" s="71"/>
      <c r="I37" s="72"/>
      <c r="J37" s="72"/>
      <c r="K37" s="35" t="s">
        <v>65</v>
      </c>
      <c r="L37" s="79">
        <v>37</v>
      </c>
      <c r="M37" s="79"/>
      <c r="N37" s="74"/>
      <c r="O37" s="90" t="s">
        <v>307</v>
      </c>
      <c r="P37" s="93">
        <v>44483.31896990741</v>
      </c>
      <c r="Q37" s="90" t="s">
        <v>312</v>
      </c>
      <c r="R37" s="96" t="str">
        <f>HYPERLINK("https://twitter.com/HelsinkiGSE/status/1448530102837514240")</f>
        <v>https://twitter.com/HelsinkiGSE/status/1448530102837514240</v>
      </c>
      <c r="S37" s="90" t="s">
        <v>333</v>
      </c>
      <c r="T37" s="99" t="s">
        <v>338</v>
      </c>
      <c r="U37" s="90"/>
      <c r="V37" s="96" t="str">
        <f>HYPERLINK("https://pbs.twimg.com/profile_images/1390602533991817221/u_yN2qIg_normal.jpg")</f>
        <v>https://pbs.twimg.com/profile_images/1390602533991817221/u_yN2qIg_normal.jpg</v>
      </c>
      <c r="W37" s="93">
        <v>44483.31896990741</v>
      </c>
      <c r="X37" s="102">
        <v>44483</v>
      </c>
      <c r="Y37" s="99" t="s">
        <v>359</v>
      </c>
      <c r="Z37" s="96" t="str">
        <f>HYPERLINK("https://twitter.com/fatimdiarra/status/1448553992074809350")</f>
        <v>https://twitter.com/fatimdiarra/status/1448553992074809350</v>
      </c>
      <c r="AA37" s="90"/>
      <c r="AB37" s="90"/>
      <c r="AC37" s="99" t="s">
        <v>453</v>
      </c>
      <c r="AD37" s="90"/>
      <c r="AE37" s="90" t="b">
        <v>0</v>
      </c>
      <c r="AF37" s="90">
        <v>10</v>
      </c>
      <c r="AG37" s="99" t="s">
        <v>535</v>
      </c>
      <c r="AH37" s="90" t="b">
        <v>1</v>
      </c>
      <c r="AI37" s="90" t="s">
        <v>537</v>
      </c>
      <c r="AJ37" s="90"/>
      <c r="AK37" s="99" t="s">
        <v>526</v>
      </c>
      <c r="AL37" s="90" t="b">
        <v>0</v>
      </c>
      <c r="AM37" s="90">
        <v>0</v>
      </c>
      <c r="AN37" s="99" t="s">
        <v>535</v>
      </c>
      <c r="AO37" s="99" t="s">
        <v>542</v>
      </c>
      <c r="AP37" s="90" t="b">
        <v>0</v>
      </c>
      <c r="AQ37" s="99" t="s">
        <v>453</v>
      </c>
      <c r="AR37" s="90" t="s">
        <v>187</v>
      </c>
      <c r="AS37" s="90">
        <v>0</v>
      </c>
      <c r="AT37" s="90">
        <v>0</v>
      </c>
      <c r="AU37" s="90"/>
      <c r="AV37" s="90"/>
      <c r="AW37" s="90"/>
      <c r="AX37" s="90"/>
      <c r="AY37" s="90"/>
      <c r="AZ37" s="90"/>
      <c r="BA37" s="90"/>
      <c r="BB37" s="90"/>
      <c r="BC37" s="90">
        <v>1</v>
      </c>
      <c r="BD37" s="89" t="str">
        <f>REPLACE(INDEX(GroupVertices[Group],MATCH(Edges[[#This Row],[Vertex 1]],GroupVertices[Vertex],0)),1,1,"")</f>
        <v>1</v>
      </c>
      <c r="BE37" s="89" t="str">
        <f>REPLACE(INDEX(GroupVertices[Group],MATCH(Edges[[#This Row],[Vertex 2]],GroupVertices[Vertex],0)),1,1,"")</f>
        <v>1</v>
      </c>
      <c r="BF37" s="49"/>
      <c r="BG37" s="50"/>
      <c r="BH37" s="49"/>
      <c r="BI37" s="50"/>
      <c r="BJ37" s="49"/>
      <c r="BK37" s="50"/>
      <c r="BL37" s="49"/>
      <c r="BM37" s="50"/>
      <c r="BN37" s="49"/>
    </row>
    <row r="38" spans="1:66" ht="15">
      <c r="A38" s="66" t="s">
        <v>238</v>
      </c>
      <c r="B38" s="66" t="s">
        <v>302</v>
      </c>
      <c r="C38" s="67" t="s">
        <v>2108</v>
      </c>
      <c r="D38" s="68">
        <v>1</v>
      </c>
      <c r="E38" s="69" t="s">
        <v>132</v>
      </c>
      <c r="F38" s="70">
        <v>32</v>
      </c>
      <c r="G38" s="67" t="s">
        <v>51</v>
      </c>
      <c r="H38" s="71"/>
      <c r="I38" s="72"/>
      <c r="J38" s="72"/>
      <c r="K38" s="35" t="s">
        <v>65</v>
      </c>
      <c r="L38" s="79">
        <v>38</v>
      </c>
      <c r="M38" s="79"/>
      <c r="N38" s="74"/>
      <c r="O38" s="90" t="s">
        <v>307</v>
      </c>
      <c r="P38" s="93">
        <v>44483.31896990741</v>
      </c>
      <c r="Q38" s="90" t="s">
        <v>312</v>
      </c>
      <c r="R38" s="96" t="str">
        <f>HYPERLINK("https://twitter.com/HelsinkiGSE/status/1448530102837514240")</f>
        <v>https://twitter.com/HelsinkiGSE/status/1448530102837514240</v>
      </c>
      <c r="S38" s="90" t="s">
        <v>333</v>
      </c>
      <c r="T38" s="99" t="s">
        <v>338</v>
      </c>
      <c r="U38" s="90"/>
      <c r="V38" s="96" t="str">
        <f>HYPERLINK("https://pbs.twimg.com/profile_images/1390602533991817221/u_yN2qIg_normal.jpg")</f>
        <v>https://pbs.twimg.com/profile_images/1390602533991817221/u_yN2qIg_normal.jpg</v>
      </c>
      <c r="W38" s="93">
        <v>44483.31896990741</v>
      </c>
      <c r="X38" s="102">
        <v>44483</v>
      </c>
      <c r="Y38" s="99" t="s">
        <v>359</v>
      </c>
      <c r="Z38" s="96" t="str">
        <f>HYPERLINK("https://twitter.com/fatimdiarra/status/1448553992074809350")</f>
        <v>https://twitter.com/fatimdiarra/status/1448553992074809350</v>
      </c>
      <c r="AA38" s="90"/>
      <c r="AB38" s="90"/>
      <c r="AC38" s="99" t="s">
        <v>453</v>
      </c>
      <c r="AD38" s="90"/>
      <c r="AE38" s="90" t="b">
        <v>0</v>
      </c>
      <c r="AF38" s="90">
        <v>10</v>
      </c>
      <c r="AG38" s="99" t="s">
        <v>535</v>
      </c>
      <c r="AH38" s="90" t="b">
        <v>1</v>
      </c>
      <c r="AI38" s="90" t="s">
        <v>537</v>
      </c>
      <c r="AJ38" s="90"/>
      <c r="AK38" s="99" t="s">
        <v>526</v>
      </c>
      <c r="AL38" s="90" t="b">
        <v>0</v>
      </c>
      <c r="AM38" s="90">
        <v>0</v>
      </c>
      <c r="AN38" s="99" t="s">
        <v>535</v>
      </c>
      <c r="AO38" s="99" t="s">
        <v>542</v>
      </c>
      <c r="AP38" s="90" t="b">
        <v>0</v>
      </c>
      <c r="AQ38" s="99" t="s">
        <v>453</v>
      </c>
      <c r="AR38" s="90" t="s">
        <v>187</v>
      </c>
      <c r="AS38" s="90">
        <v>0</v>
      </c>
      <c r="AT38" s="90">
        <v>0</v>
      </c>
      <c r="AU38" s="90"/>
      <c r="AV38" s="90"/>
      <c r="AW38" s="90"/>
      <c r="AX38" s="90"/>
      <c r="AY38" s="90"/>
      <c r="AZ38" s="90"/>
      <c r="BA38" s="90"/>
      <c r="BB38" s="90"/>
      <c r="BC38" s="90">
        <v>1</v>
      </c>
      <c r="BD38" s="89" t="str">
        <f>REPLACE(INDEX(GroupVertices[Group],MATCH(Edges[[#This Row],[Vertex 1]],GroupVertices[Vertex],0)),1,1,"")</f>
        <v>1</v>
      </c>
      <c r="BE38" s="89" t="str">
        <f>REPLACE(INDEX(GroupVertices[Group],MATCH(Edges[[#This Row],[Vertex 2]],GroupVertices[Vertex],0)),1,1,"")</f>
        <v>1</v>
      </c>
      <c r="BF38" s="49"/>
      <c r="BG38" s="50"/>
      <c r="BH38" s="49"/>
      <c r="BI38" s="50"/>
      <c r="BJ38" s="49"/>
      <c r="BK38" s="50"/>
      <c r="BL38" s="49"/>
      <c r="BM38" s="50"/>
      <c r="BN38" s="49"/>
    </row>
    <row r="39" spans="1:66" ht="15">
      <c r="A39" s="66" t="s">
        <v>238</v>
      </c>
      <c r="B39" s="66" t="s">
        <v>293</v>
      </c>
      <c r="C39" s="67" t="s">
        <v>2108</v>
      </c>
      <c r="D39" s="68">
        <v>1</v>
      </c>
      <c r="E39" s="69" t="s">
        <v>132</v>
      </c>
      <c r="F39" s="70">
        <v>32</v>
      </c>
      <c r="G39" s="67" t="s">
        <v>51</v>
      </c>
      <c r="H39" s="71"/>
      <c r="I39" s="72"/>
      <c r="J39" s="72"/>
      <c r="K39" s="35" t="s">
        <v>65</v>
      </c>
      <c r="L39" s="79">
        <v>39</v>
      </c>
      <c r="M39" s="79"/>
      <c r="N39" s="74"/>
      <c r="O39" s="90" t="s">
        <v>307</v>
      </c>
      <c r="P39" s="93">
        <v>44483.31896990741</v>
      </c>
      <c r="Q39" s="90" t="s">
        <v>312</v>
      </c>
      <c r="R39" s="96" t="str">
        <f>HYPERLINK("https://twitter.com/HelsinkiGSE/status/1448530102837514240")</f>
        <v>https://twitter.com/HelsinkiGSE/status/1448530102837514240</v>
      </c>
      <c r="S39" s="90" t="s">
        <v>333</v>
      </c>
      <c r="T39" s="99" t="s">
        <v>338</v>
      </c>
      <c r="U39" s="90"/>
      <c r="V39" s="96" t="str">
        <f>HYPERLINK("https://pbs.twimg.com/profile_images/1390602533991817221/u_yN2qIg_normal.jpg")</f>
        <v>https://pbs.twimg.com/profile_images/1390602533991817221/u_yN2qIg_normal.jpg</v>
      </c>
      <c r="W39" s="93">
        <v>44483.31896990741</v>
      </c>
      <c r="X39" s="102">
        <v>44483</v>
      </c>
      <c r="Y39" s="99" t="s">
        <v>359</v>
      </c>
      <c r="Z39" s="96" t="str">
        <f>HYPERLINK("https://twitter.com/fatimdiarra/status/1448553992074809350")</f>
        <v>https://twitter.com/fatimdiarra/status/1448553992074809350</v>
      </c>
      <c r="AA39" s="90"/>
      <c r="AB39" s="90"/>
      <c r="AC39" s="99" t="s">
        <v>453</v>
      </c>
      <c r="AD39" s="90"/>
      <c r="AE39" s="90" t="b">
        <v>0</v>
      </c>
      <c r="AF39" s="90">
        <v>10</v>
      </c>
      <c r="AG39" s="99" t="s">
        <v>535</v>
      </c>
      <c r="AH39" s="90" t="b">
        <v>1</v>
      </c>
      <c r="AI39" s="90" t="s">
        <v>537</v>
      </c>
      <c r="AJ39" s="90"/>
      <c r="AK39" s="99" t="s">
        <v>526</v>
      </c>
      <c r="AL39" s="90" t="b">
        <v>0</v>
      </c>
      <c r="AM39" s="90">
        <v>0</v>
      </c>
      <c r="AN39" s="99" t="s">
        <v>535</v>
      </c>
      <c r="AO39" s="99" t="s">
        <v>542</v>
      </c>
      <c r="AP39" s="90" t="b">
        <v>0</v>
      </c>
      <c r="AQ39" s="99" t="s">
        <v>453</v>
      </c>
      <c r="AR39" s="90" t="s">
        <v>187</v>
      </c>
      <c r="AS39" s="90">
        <v>0</v>
      </c>
      <c r="AT39" s="90">
        <v>0</v>
      </c>
      <c r="AU39" s="90"/>
      <c r="AV39" s="90"/>
      <c r="AW39" s="90"/>
      <c r="AX39" s="90"/>
      <c r="AY39" s="90"/>
      <c r="AZ39" s="90"/>
      <c r="BA39" s="90"/>
      <c r="BB39" s="90"/>
      <c r="BC39" s="90">
        <v>1</v>
      </c>
      <c r="BD39" s="89" t="str">
        <f>REPLACE(INDEX(GroupVertices[Group],MATCH(Edges[[#This Row],[Vertex 1]],GroupVertices[Vertex],0)),1,1,"")</f>
        <v>1</v>
      </c>
      <c r="BE39" s="89" t="str">
        <f>REPLACE(INDEX(GroupVertices[Group],MATCH(Edges[[#This Row],[Vertex 2]],GroupVertices[Vertex],0)),1,1,"")</f>
        <v>3</v>
      </c>
      <c r="BF39" s="49">
        <v>0</v>
      </c>
      <c r="BG39" s="50">
        <v>0</v>
      </c>
      <c r="BH39" s="49">
        <v>0</v>
      </c>
      <c r="BI39" s="50">
        <v>0</v>
      </c>
      <c r="BJ39" s="49">
        <v>0</v>
      </c>
      <c r="BK39" s="50">
        <v>0</v>
      </c>
      <c r="BL39" s="49">
        <v>24</v>
      </c>
      <c r="BM39" s="50">
        <v>100</v>
      </c>
      <c r="BN39" s="49">
        <v>24</v>
      </c>
    </row>
    <row r="40" spans="1:66" ht="15">
      <c r="A40" s="66" t="s">
        <v>239</v>
      </c>
      <c r="B40" s="66" t="s">
        <v>299</v>
      </c>
      <c r="C40" s="67" t="s">
        <v>2108</v>
      </c>
      <c r="D40" s="68">
        <v>1</v>
      </c>
      <c r="E40" s="69" t="s">
        <v>132</v>
      </c>
      <c r="F40" s="70">
        <v>32</v>
      </c>
      <c r="G40" s="67" t="s">
        <v>51</v>
      </c>
      <c r="H40" s="71"/>
      <c r="I40" s="72"/>
      <c r="J40" s="72"/>
      <c r="K40" s="35" t="s">
        <v>65</v>
      </c>
      <c r="L40" s="79">
        <v>40</v>
      </c>
      <c r="M40" s="79"/>
      <c r="N40" s="74"/>
      <c r="O40" s="90" t="s">
        <v>306</v>
      </c>
      <c r="P40" s="93">
        <v>44483.32019675926</v>
      </c>
      <c r="Q40" s="90" t="s">
        <v>310</v>
      </c>
      <c r="R40" s="96" t="str">
        <f>HYPERLINK("https://talouskurssi.fi/")</f>
        <v>https://talouskurssi.fi/</v>
      </c>
      <c r="S40" s="90" t="s">
        <v>334</v>
      </c>
      <c r="T40" s="99" t="s">
        <v>338</v>
      </c>
      <c r="U40" s="96" t="str">
        <f>HYPERLINK("https://pbs.twimg.com/ext_tw_video_thumb/1448527896562348036/pu/img/0PqSbNMaXHvzKHCc.jpg")</f>
        <v>https://pbs.twimg.com/ext_tw_video_thumb/1448527896562348036/pu/img/0PqSbNMaXHvzKHCc.jpg</v>
      </c>
      <c r="V40" s="96" t="str">
        <f>HYPERLINK("https://pbs.twimg.com/ext_tw_video_thumb/1448527896562348036/pu/img/0PqSbNMaXHvzKHCc.jpg")</f>
        <v>https://pbs.twimg.com/ext_tw_video_thumb/1448527896562348036/pu/img/0PqSbNMaXHvzKHCc.jpg</v>
      </c>
      <c r="W40" s="93">
        <v>44483.32019675926</v>
      </c>
      <c r="X40" s="102">
        <v>44483</v>
      </c>
      <c r="Y40" s="99" t="s">
        <v>360</v>
      </c>
      <c r="Z40" s="96" t="str">
        <f>HYPERLINK("https://twitter.com/qsisto/status/1448554437304332291")</f>
        <v>https://twitter.com/qsisto/status/1448554437304332291</v>
      </c>
      <c r="AA40" s="90"/>
      <c r="AB40" s="90"/>
      <c r="AC40" s="99" t="s">
        <v>454</v>
      </c>
      <c r="AD40" s="90"/>
      <c r="AE40" s="90" t="b">
        <v>0</v>
      </c>
      <c r="AF40" s="90">
        <v>0</v>
      </c>
      <c r="AG40" s="99" t="s">
        <v>535</v>
      </c>
      <c r="AH40" s="90" t="b">
        <v>0</v>
      </c>
      <c r="AI40" s="90" t="s">
        <v>537</v>
      </c>
      <c r="AJ40" s="90"/>
      <c r="AK40" s="99" t="s">
        <v>535</v>
      </c>
      <c r="AL40" s="90" t="b">
        <v>0</v>
      </c>
      <c r="AM40" s="90">
        <v>52</v>
      </c>
      <c r="AN40" s="99" t="s">
        <v>526</v>
      </c>
      <c r="AO40" s="99" t="s">
        <v>542</v>
      </c>
      <c r="AP40" s="90" t="b">
        <v>0</v>
      </c>
      <c r="AQ40" s="99" t="s">
        <v>526</v>
      </c>
      <c r="AR40" s="90" t="s">
        <v>187</v>
      </c>
      <c r="AS40" s="90">
        <v>0</v>
      </c>
      <c r="AT40" s="90">
        <v>0</v>
      </c>
      <c r="AU40" s="90"/>
      <c r="AV40" s="90"/>
      <c r="AW40" s="90"/>
      <c r="AX40" s="90"/>
      <c r="AY40" s="90"/>
      <c r="AZ40" s="90"/>
      <c r="BA40" s="90"/>
      <c r="BB40" s="90"/>
      <c r="BC40" s="9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6" t="s">
        <v>239</v>
      </c>
      <c r="B41" s="66" t="s">
        <v>302</v>
      </c>
      <c r="C41" s="67" t="s">
        <v>2108</v>
      </c>
      <c r="D41" s="68">
        <v>1</v>
      </c>
      <c r="E41" s="69" t="s">
        <v>132</v>
      </c>
      <c r="F41" s="70">
        <v>32</v>
      </c>
      <c r="G41" s="67" t="s">
        <v>51</v>
      </c>
      <c r="H41" s="71"/>
      <c r="I41" s="72"/>
      <c r="J41" s="72"/>
      <c r="K41" s="35" t="s">
        <v>65</v>
      </c>
      <c r="L41" s="79">
        <v>41</v>
      </c>
      <c r="M41" s="79"/>
      <c r="N41" s="74"/>
      <c r="O41" s="90" t="s">
        <v>306</v>
      </c>
      <c r="P41" s="93">
        <v>44483.32019675926</v>
      </c>
      <c r="Q41" s="90" t="s">
        <v>310</v>
      </c>
      <c r="R41" s="96" t="str">
        <f>HYPERLINK("https://talouskurssi.fi/")</f>
        <v>https://talouskurssi.fi/</v>
      </c>
      <c r="S41" s="90" t="s">
        <v>334</v>
      </c>
      <c r="T41" s="99" t="s">
        <v>338</v>
      </c>
      <c r="U41" s="96" t="str">
        <f>HYPERLINK("https://pbs.twimg.com/ext_tw_video_thumb/1448527896562348036/pu/img/0PqSbNMaXHvzKHCc.jpg")</f>
        <v>https://pbs.twimg.com/ext_tw_video_thumb/1448527896562348036/pu/img/0PqSbNMaXHvzKHCc.jpg</v>
      </c>
      <c r="V41" s="96" t="str">
        <f>HYPERLINK("https://pbs.twimg.com/ext_tw_video_thumb/1448527896562348036/pu/img/0PqSbNMaXHvzKHCc.jpg")</f>
        <v>https://pbs.twimg.com/ext_tw_video_thumb/1448527896562348036/pu/img/0PqSbNMaXHvzKHCc.jpg</v>
      </c>
      <c r="W41" s="93">
        <v>44483.32019675926</v>
      </c>
      <c r="X41" s="102">
        <v>44483</v>
      </c>
      <c r="Y41" s="99" t="s">
        <v>360</v>
      </c>
      <c r="Z41" s="96" t="str">
        <f>HYPERLINK("https://twitter.com/qsisto/status/1448554437304332291")</f>
        <v>https://twitter.com/qsisto/status/1448554437304332291</v>
      </c>
      <c r="AA41" s="90"/>
      <c r="AB41" s="90"/>
      <c r="AC41" s="99" t="s">
        <v>454</v>
      </c>
      <c r="AD41" s="90"/>
      <c r="AE41" s="90" t="b">
        <v>0</v>
      </c>
      <c r="AF41" s="90">
        <v>0</v>
      </c>
      <c r="AG41" s="99" t="s">
        <v>535</v>
      </c>
      <c r="AH41" s="90" t="b">
        <v>0</v>
      </c>
      <c r="AI41" s="90" t="s">
        <v>537</v>
      </c>
      <c r="AJ41" s="90"/>
      <c r="AK41" s="99" t="s">
        <v>535</v>
      </c>
      <c r="AL41" s="90" t="b">
        <v>0</v>
      </c>
      <c r="AM41" s="90">
        <v>52</v>
      </c>
      <c r="AN41" s="99" t="s">
        <v>526</v>
      </c>
      <c r="AO41" s="99" t="s">
        <v>542</v>
      </c>
      <c r="AP41" s="90" t="b">
        <v>0</v>
      </c>
      <c r="AQ41" s="99" t="s">
        <v>526</v>
      </c>
      <c r="AR41" s="90" t="s">
        <v>187</v>
      </c>
      <c r="AS41" s="90">
        <v>0</v>
      </c>
      <c r="AT41" s="90">
        <v>0</v>
      </c>
      <c r="AU41" s="90"/>
      <c r="AV41" s="90"/>
      <c r="AW41" s="90"/>
      <c r="AX41" s="90"/>
      <c r="AY41" s="90"/>
      <c r="AZ41" s="90"/>
      <c r="BA41" s="90"/>
      <c r="BB41" s="90"/>
      <c r="BC41" s="90">
        <v>1</v>
      </c>
      <c r="BD41" s="89" t="str">
        <f>REPLACE(INDEX(GroupVertices[Group],MATCH(Edges[[#This Row],[Vertex 1]],GroupVertices[Vertex],0)),1,1,"")</f>
        <v>1</v>
      </c>
      <c r="BE41" s="89" t="str">
        <f>REPLACE(INDEX(GroupVertices[Group],MATCH(Edges[[#This Row],[Vertex 2]],GroupVertices[Vertex],0)),1,1,"")</f>
        <v>1</v>
      </c>
      <c r="BF41" s="49"/>
      <c r="BG41" s="50"/>
      <c r="BH41" s="49"/>
      <c r="BI41" s="50"/>
      <c r="BJ41" s="49"/>
      <c r="BK41" s="50"/>
      <c r="BL41" s="49"/>
      <c r="BM41" s="50"/>
      <c r="BN41" s="49"/>
    </row>
    <row r="42" spans="1:66" ht="15">
      <c r="A42" s="66" t="s">
        <v>239</v>
      </c>
      <c r="B42" s="66" t="s">
        <v>293</v>
      </c>
      <c r="C42" s="67" t="s">
        <v>2108</v>
      </c>
      <c r="D42" s="68">
        <v>1</v>
      </c>
      <c r="E42" s="69" t="s">
        <v>132</v>
      </c>
      <c r="F42" s="70">
        <v>32</v>
      </c>
      <c r="G42" s="67" t="s">
        <v>51</v>
      </c>
      <c r="H42" s="71"/>
      <c r="I42" s="72"/>
      <c r="J42" s="72"/>
      <c r="K42" s="35" t="s">
        <v>65</v>
      </c>
      <c r="L42" s="79">
        <v>42</v>
      </c>
      <c r="M42" s="79"/>
      <c r="N42" s="74"/>
      <c r="O42" s="90" t="s">
        <v>305</v>
      </c>
      <c r="P42" s="93">
        <v>44483.32019675926</v>
      </c>
      <c r="Q42" s="90" t="s">
        <v>310</v>
      </c>
      <c r="R42" s="96" t="str">
        <f>HYPERLINK("https://talouskurssi.fi/")</f>
        <v>https://talouskurssi.fi/</v>
      </c>
      <c r="S42" s="90" t="s">
        <v>334</v>
      </c>
      <c r="T42" s="99" t="s">
        <v>338</v>
      </c>
      <c r="U42" s="96" t="str">
        <f>HYPERLINK("https://pbs.twimg.com/ext_tw_video_thumb/1448527896562348036/pu/img/0PqSbNMaXHvzKHCc.jpg")</f>
        <v>https://pbs.twimg.com/ext_tw_video_thumb/1448527896562348036/pu/img/0PqSbNMaXHvzKHCc.jpg</v>
      </c>
      <c r="V42" s="96" t="str">
        <f>HYPERLINK("https://pbs.twimg.com/ext_tw_video_thumb/1448527896562348036/pu/img/0PqSbNMaXHvzKHCc.jpg")</f>
        <v>https://pbs.twimg.com/ext_tw_video_thumb/1448527896562348036/pu/img/0PqSbNMaXHvzKHCc.jpg</v>
      </c>
      <c r="W42" s="93">
        <v>44483.32019675926</v>
      </c>
      <c r="X42" s="102">
        <v>44483</v>
      </c>
      <c r="Y42" s="99" t="s">
        <v>360</v>
      </c>
      <c r="Z42" s="96" t="str">
        <f>HYPERLINK("https://twitter.com/qsisto/status/1448554437304332291")</f>
        <v>https://twitter.com/qsisto/status/1448554437304332291</v>
      </c>
      <c r="AA42" s="90"/>
      <c r="AB42" s="90"/>
      <c r="AC42" s="99" t="s">
        <v>454</v>
      </c>
      <c r="AD42" s="90"/>
      <c r="AE42" s="90" t="b">
        <v>0</v>
      </c>
      <c r="AF42" s="90">
        <v>0</v>
      </c>
      <c r="AG42" s="99" t="s">
        <v>535</v>
      </c>
      <c r="AH42" s="90" t="b">
        <v>0</v>
      </c>
      <c r="AI42" s="90" t="s">
        <v>537</v>
      </c>
      <c r="AJ42" s="90"/>
      <c r="AK42" s="99" t="s">
        <v>535</v>
      </c>
      <c r="AL42" s="90" t="b">
        <v>0</v>
      </c>
      <c r="AM42" s="90">
        <v>52</v>
      </c>
      <c r="AN42" s="99" t="s">
        <v>526</v>
      </c>
      <c r="AO42" s="99" t="s">
        <v>542</v>
      </c>
      <c r="AP42" s="90" t="b">
        <v>0</v>
      </c>
      <c r="AQ42" s="99" t="s">
        <v>526</v>
      </c>
      <c r="AR42" s="90" t="s">
        <v>187</v>
      </c>
      <c r="AS42" s="90">
        <v>0</v>
      </c>
      <c r="AT42" s="90">
        <v>0</v>
      </c>
      <c r="AU42" s="90"/>
      <c r="AV42" s="90"/>
      <c r="AW42" s="90"/>
      <c r="AX42" s="90"/>
      <c r="AY42" s="90"/>
      <c r="AZ42" s="90"/>
      <c r="BA42" s="90"/>
      <c r="BB42" s="90"/>
      <c r="BC42" s="90">
        <v>1</v>
      </c>
      <c r="BD42" s="89" t="str">
        <f>REPLACE(INDEX(GroupVertices[Group],MATCH(Edges[[#This Row],[Vertex 1]],GroupVertices[Vertex],0)),1,1,"")</f>
        <v>1</v>
      </c>
      <c r="BE42" s="89"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6" t="s">
        <v>240</v>
      </c>
      <c r="B43" s="66" t="s">
        <v>299</v>
      </c>
      <c r="C43" s="67" t="s">
        <v>2108</v>
      </c>
      <c r="D43" s="68">
        <v>1</v>
      </c>
      <c r="E43" s="69" t="s">
        <v>132</v>
      </c>
      <c r="F43" s="70">
        <v>32</v>
      </c>
      <c r="G43" s="67" t="s">
        <v>51</v>
      </c>
      <c r="H43" s="71"/>
      <c r="I43" s="72"/>
      <c r="J43" s="72"/>
      <c r="K43" s="35" t="s">
        <v>65</v>
      </c>
      <c r="L43" s="79">
        <v>43</v>
      </c>
      <c r="M43" s="79"/>
      <c r="N43" s="74"/>
      <c r="O43" s="90" t="s">
        <v>306</v>
      </c>
      <c r="P43" s="93">
        <v>44483.32910879629</v>
      </c>
      <c r="Q43" s="90" t="s">
        <v>310</v>
      </c>
      <c r="R43" s="96" t="str">
        <f>HYPERLINK("https://talouskurssi.fi/")</f>
        <v>https://talouskurssi.fi/</v>
      </c>
      <c r="S43" s="90" t="s">
        <v>334</v>
      </c>
      <c r="T43" s="99" t="s">
        <v>338</v>
      </c>
      <c r="U43" s="96" t="str">
        <f>HYPERLINK("https://pbs.twimg.com/ext_tw_video_thumb/1448527896562348036/pu/img/0PqSbNMaXHvzKHCc.jpg")</f>
        <v>https://pbs.twimg.com/ext_tw_video_thumb/1448527896562348036/pu/img/0PqSbNMaXHvzKHCc.jpg</v>
      </c>
      <c r="V43" s="96" t="str">
        <f>HYPERLINK("https://pbs.twimg.com/ext_tw_video_thumb/1448527896562348036/pu/img/0PqSbNMaXHvzKHCc.jpg")</f>
        <v>https://pbs.twimg.com/ext_tw_video_thumb/1448527896562348036/pu/img/0PqSbNMaXHvzKHCc.jpg</v>
      </c>
      <c r="W43" s="93">
        <v>44483.32910879629</v>
      </c>
      <c r="X43" s="102">
        <v>44483</v>
      </c>
      <c r="Y43" s="99" t="s">
        <v>361</v>
      </c>
      <c r="Z43" s="96" t="str">
        <f>HYPERLINK("https://twitter.com/artahy/status/1448557667321094146")</f>
        <v>https://twitter.com/artahy/status/1448557667321094146</v>
      </c>
      <c r="AA43" s="90"/>
      <c r="AB43" s="90"/>
      <c r="AC43" s="99" t="s">
        <v>455</v>
      </c>
      <c r="AD43" s="90"/>
      <c r="AE43" s="90" t="b">
        <v>0</v>
      </c>
      <c r="AF43" s="90">
        <v>0</v>
      </c>
      <c r="AG43" s="99" t="s">
        <v>535</v>
      </c>
      <c r="AH43" s="90" t="b">
        <v>0</v>
      </c>
      <c r="AI43" s="90" t="s">
        <v>537</v>
      </c>
      <c r="AJ43" s="90"/>
      <c r="AK43" s="99" t="s">
        <v>535</v>
      </c>
      <c r="AL43" s="90" t="b">
        <v>0</v>
      </c>
      <c r="AM43" s="90">
        <v>52</v>
      </c>
      <c r="AN43" s="99" t="s">
        <v>526</v>
      </c>
      <c r="AO43" s="99" t="s">
        <v>545</v>
      </c>
      <c r="AP43" s="90" t="b">
        <v>0</v>
      </c>
      <c r="AQ43" s="99" t="s">
        <v>526</v>
      </c>
      <c r="AR43" s="90" t="s">
        <v>187</v>
      </c>
      <c r="AS43" s="90">
        <v>0</v>
      </c>
      <c r="AT43" s="90">
        <v>0</v>
      </c>
      <c r="AU43" s="90"/>
      <c r="AV43" s="90"/>
      <c r="AW43" s="90"/>
      <c r="AX43" s="90"/>
      <c r="AY43" s="90"/>
      <c r="AZ43" s="90"/>
      <c r="BA43" s="90"/>
      <c r="BB43" s="90"/>
      <c r="BC43" s="90">
        <v>1</v>
      </c>
      <c r="BD43" s="89" t="str">
        <f>REPLACE(INDEX(GroupVertices[Group],MATCH(Edges[[#This Row],[Vertex 1]],GroupVertices[Vertex],0)),1,1,"")</f>
        <v>1</v>
      </c>
      <c r="BE43" s="89" t="str">
        <f>REPLACE(INDEX(GroupVertices[Group],MATCH(Edges[[#This Row],[Vertex 2]],GroupVertices[Vertex],0)),1,1,"")</f>
        <v>1</v>
      </c>
      <c r="BF43" s="49"/>
      <c r="BG43" s="50"/>
      <c r="BH43" s="49"/>
      <c r="BI43" s="50"/>
      <c r="BJ43" s="49"/>
      <c r="BK43" s="50"/>
      <c r="BL43" s="49"/>
      <c r="BM43" s="50"/>
      <c r="BN43" s="49"/>
    </row>
    <row r="44" spans="1:66" ht="15">
      <c r="A44" s="66" t="s">
        <v>240</v>
      </c>
      <c r="B44" s="66" t="s">
        <v>302</v>
      </c>
      <c r="C44" s="67" t="s">
        <v>2108</v>
      </c>
      <c r="D44" s="68">
        <v>1</v>
      </c>
      <c r="E44" s="69" t="s">
        <v>132</v>
      </c>
      <c r="F44" s="70">
        <v>32</v>
      </c>
      <c r="G44" s="67" t="s">
        <v>51</v>
      </c>
      <c r="H44" s="71"/>
      <c r="I44" s="72"/>
      <c r="J44" s="72"/>
      <c r="K44" s="35" t="s">
        <v>65</v>
      </c>
      <c r="L44" s="79">
        <v>44</v>
      </c>
      <c r="M44" s="79"/>
      <c r="N44" s="74"/>
      <c r="O44" s="90" t="s">
        <v>306</v>
      </c>
      <c r="P44" s="93">
        <v>44483.32910879629</v>
      </c>
      <c r="Q44" s="90" t="s">
        <v>310</v>
      </c>
      <c r="R44" s="96" t="str">
        <f>HYPERLINK("https://talouskurssi.fi/")</f>
        <v>https://talouskurssi.fi/</v>
      </c>
      <c r="S44" s="90" t="s">
        <v>334</v>
      </c>
      <c r="T44" s="99" t="s">
        <v>338</v>
      </c>
      <c r="U44" s="96" t="str">
        <f>HYPERLINK("https://pbs.twimg.com/ext_tw_video_thumb/1448527896562348036/pu/img/0PqSbNMaXHvzKHCc.jpg")</f>
        <v>https://pbs.twimg.com/ext_tw_video_thumb/1448527896562348036/pu/img/0PqSbNMaXHvzKHCc.jpg</v>
      </c>
      <c r="V44" s="96" t="str">
        <f>HYPERLINK("https://pbs.twimg.com/ext_tw_video_thumb/1448527896562348036/pu/img/0PqSbNMaXHvzKHCc.jpg")</f>
        <v>https://pbs.twimg.com/ext_tw_video_thumb/1448527896562348036/pu/img/0PqSbNMaXHvzKHCc.jpg</v>
      </c>
      <c r="W44" s="93">
        <v>44483.32910879629</v>
      </c>
      <c r="X44" s="102">
        <v>44483</v>
      </c>
      <c r="Y44" s="99" t="s">
        <v>361</v>
      </c>
      <c r="Z44" s="96" t="str">
        <f>HYPERLINK("https://twitter.com/artahy/status/1448557667321094146")</f>
        <v>https://twitter.com/artahy/status/1448557667321094146</v>
      </c>
      <c r="AA44" s="90"/>
      <c r="AB44" s="90"/>
      <c r="AC44" s="99" t="s">
        <v>455</v>
      </c>
      <c r="AD44" s="90"/>
      <c r="AE44" s="90" t="b">
        <v>0</v>
      </c>
      <c r="AF44" s="90">
        <v>0</v>
      </c>
      <c r="AG44" s="99" t="s">
        <v>535</v>
      </c>
      <c r="AH44" s="90" t="b">
        <v>0</v>
      </c>
      <c r="AI44" s="90" t="s">
        <v>537</v>
      </c>
      <c r="AJ44" s="90"/>
      <c r="AK44" s="99" t="s">
        <v>535</v>
      </c>
      <c r="AL44" s="90" t="b">
        <v>0</v>
      </c>
      <c r="AM44" s="90">
        <v>52</v>
      </c>
      <c r="AN44" s="99" t="s">
        <v>526</v>
      </c>
      <c r="AO44" s="99" t="s">
        <v>545</v>
      </c>
      <c r="AP44" s="90" t="b">
        <v>0</v>
      </c>
      <c r="AQ44" s="99" t="s">
        <v>526</v>
      </c>
      <c r="AR44" s="90" t="s">
        <v>187</v>
      </c>
      <c r="AS44" s="90">
        <v>0</v>
      </c>
      <c r="AT44" s="90">
        <v>0</v>
      </c>
      <c r="AU44" s="90"/>
      <c r="AV44" s="90"/>
      <c r="AW44" s="90"/>
      <c r="AX44" s="90"/>
      <c r="AY44" s="90"/>
      <c r="AZ44" s="90"/>
      <c r="BA44" s="90"/>
      <c r="BB44" s="90"/>
      <c r="BC44" s="90">
        <v>1</v>
      </c>
      <c r="BD44" s="89" t="str">
        <f>REPLACE(INDEX(GroupVertices[Group],MATCH(Edges[[#This Row],[Vertex 1]],GroupVertices[Vertex],0)),1,1,"")</f>
        <v>1</v>
      </c>
      <c r="BE44" s="89" t="str">
        <f>REPLACE(INDEX(GroupVertices[Group],MATCH(Edges[[#This Row],[Vertex 2]],GroupVertices[Vertex],0)),1,1,"")</f>
        <v>1</v>
      </c>
      <c r="BF44" s="49"/>
      <c r="BG44" s="50"/>
      <c r="BH44" s="49"/>
      <c r="BI44" s="50"/>
      <c r="BJ44" s="49"/>
      <c r="BK44" s="50"/>
      <c r="BL44" s="49"/>
      <c r="BM44" s="50"/>
      <c r="BN44" s="49"/>
    </row>
    <row r="45" spans="1:66" ht="15">
      <c r="A45" s="66" t="s">
        <v>240</v>
      </c>
      <c r="B45" s="66" t="s">
        <v>293</v>
      </c>
      <c r="C45" s="67" t="s">
        <v>2108</v>
      </c>
      <c r="D45" s="68">
        <v>1</v>
      </c>
      <c r="E45" s="69" t="s">
        <v>132</v>
      </c>
      <c r="F45" s="70">
        <v>32</v>
      </c>
      <c r="G45" s="67" t="s">
        <v>51</v>
      </c>
      <c r="H45" s="71"/>
      <c r="I45" s="72"/>
      <c r="J45" s="72"/>
      <c r="K45" s="35" t="s">
        <v>65</v>
      </c>
      <c r="L45" s="79">
        <v>45</v>
      </c>
      <c r="M45" s="79"/>
      <c r="N45" s="74"/>
      <c r="O45" s="90" t="s">
        <v>305</v>
      </c>
      <c r="P45" s="93">
        <v>44483.32910879629</v>
      </c>
      <c r="Q45" s="90" t="s">
        <v>310</v>
      </c>
      <c r="R45" s="96" t="str">
        <f>HYPERLINK("https://talouskurssi.fi/")</f>
        <v>https://talouskurssi.fi/</v>
      </c>
      <c r="S45" s="90" t="s">
        <v>334</v>
      </c>
      <c r="T45" s="99" t="s">
        <v>338</v>
      </c>
      <c r="U45" s="96" t="str">
        <f>HYPERLINK("https://pbs.twimg.com/ext_tw_video_thumb/1448527896562348036/pu/img/0PqSbNMaXHvzKHCc.jpg")</f>
        <v>https://pbs.twimg.com/ext_tw_video_thumb/1448527896562348036/pu/img/0PqSbNMaXHvzKHCc.jpg</v>
      </c>
      <c r="V45" s="96" t="str">
        <f>HYPERLINK("https://pbs.twimg.com/ext_tw_video_thumb/1448527896562348036/pu/img/0PqSbNMaXHvzKHCc.jpg")</f>
        <v>https://pbs.twimg.com/ext_tw_video_thumb/1448527896562348036/pu/img/0PqSbNMaXHvzKHCc.jpg</v>
      </c>
      <c r="W45" s="93">
        <v>44483.32910879629</v>
      </c>
      <c r="X45" s="102">
        <v>44483</v>
      </c>
      <c r="Y45" s="99" t="s">
        <v>361</v>
      </c>
      <c r="Z45" s="96" t="str">
        <f>HYPERLINK("https://twitter.com/artahy/status/1448557667321094146")</f>
        <v>https://twitter.com/artahy/status/1448557667321094146</v>
      </c>
      <c r="AA45" s="90"/>
      <c r="AB45" s="90"/>
      <c r="AC45" s="99" t="s">
        <v>455</v>
      </c>
      <c r="AD45" s="90"/>
      <c r="AE45" s="90" t="b">
        <v>0</v>
      </c>
      <c r="AF45" s="90">
        <v>0</v>
      </c>
      <c r="AG45" s="99" t="s">
        <v>535</v>
      </c>
      <c r="AH45" s="90" t="b">
        <v>0</v>
      </c>
      <c r="AI45" s="90" t="s">
        <v>537</v>
      </c>
      <c r="AJ45" s="90"/>
      <c r="AK45" s="99" t="s">
        <v>535</v>
      </c>
      <c r="AL45" s="90" t="b">
        <v>0</v>
      </c>
      <c r="AM45" s="90">
        <v>52</v>
      </c>
      <c r="AN45" s="99" t="s">
        <v>526</v>
      </c>
      <c r="AO45" s="99" t="s">
        <v>545</v>
      </c>
      <c r="AP45" s="90" t="b">
        <v>0</v>
      </c>
      <c r="AQ45" s="99" t="s">
        <v>526</v>
      </c>
      <c r="AR45" s="90" t="s">
        <v>187</v>
      </c>
      <c r="AS45" s="90">
        <v>0</v>
      </c>
      <c r="AT45" s="90">
        <v>0</v>
      </c>
      <c r="AU45" s="90"/>
      <c r="AV45" s="90"/>
      <c r="AW45" s="90"/>
      <c r="AX45" s="90"/>
      <c r="AY45" s="90"/>
      <c r="AZ45" s="90"/>
      <c r="BA45" s="90"/>
      <c r="BB45" s="90"/>
      <c r="BC45" s="90">
        <v>1</v>
      </c>
      <c r="BD45" s="89" t="str">
        <f>REPLACE(INDEX(GroupVertices[Group],MATCH(Edges[[#This Row],[Vertex 1]],GroupVertices[Vertex],0)),1,1,"")</f>
        <v>1</v>
      </c>
      <c r="BE45" s="89" t="str">
        <f>REPLACE(INDEX(GroupVertices[Group],MATCH(Edges[[#This Row],[Vertex 2]],GroupVertices[Vertex],0)),1,1,"")</f>
        <v>3</v>
      </c>
      <c r="BF45" s="49">
        <v>0</v>
      </c>
      <c r="BG45" s="50">
        <v>0</v>
      </c>
      <c r="BH45" s="49">
        <v>0</v>
      </c>
      <c r="BI45" s="50">
        <v>0</v>
      </c>
      <c r="BJ45" s="49">
        <v>0</v>
      </c>
      <c r="BK45" s="50">
        <v>0</v>
      </c>
      <c r="BL45" s="49">
        <v>28</v>
      </c>
      <c r="BM45" s="50">
        <v>100</v>
      </c>
      <c r="BN45" s="49">
        <v>28</v>
      </c>
    </row>
    <row r="46" spans="1:66" ht="15">
      <c r="A46" s="66" t="s">
        <v>241</v>
      </c>
      <c r="B46" s="66" t="s">
        <v>299</v>
      </c>
      <c r="C46" s="67" t="s">
        <v>2108</v>
      </c>
      <c r="D46" s="68">
        <v>1</v>
      </c>
      <c r="E46" s="69" t="s">
        <v>132</v>
      </c>
      <c r="F46" s="70">
        <v>32</v>
      </c>
      <c r="G46" s="67" t="s">
        <v>51</v>
      </c>
      <c r="H46" s="71"/>
      <c r="I46" s="72"/>
      <c r="J46" s="72"/>
      <c r="K46" s="35" t="s">
        <v>65</v>
      </c>
      <c r="L46" s="79">
        <v>46</v>
      </c>
      <c r="M46" s="79"/>
      <c r="N46" s="74"/>
      <c r="O46" s="90" t="s">
        <v>306</v>
      </c>
      <c r="P46" s="93">
        <v>44483.32980324074</v>
      </c>
      <c r="Q46" s="90" t="s">
        <v>310</v>
      </c>
      <c r="R46" s="96" t="str">
        <f>HYPERLINK("https://talouskurssi.fi/")</f>
        <v>https://talouskurssi.fi/</v>
      </c>
      <c r="S46" s="90" t="s">
        <v>334</v>
      </c>
      <c r="T46" s="99" t="s">
        <v>338</v>
      </c>
      <c r="U46" s="96" t="str">
        <f>HYPERLINK("https://pbs.twimg.com/ext_tw_video_thumb/1448527896562348036/pu/img/0PqSbNMaXHvzKHCc.jpg")</f>
        <v>https://pbs.twimg.com/ext_tw_video_thumb/1448527896562348036/pu/img/0PqSbNMaXHvzKHCc.jpg</v>
      </c>
      <c r="V46" s="96" t="str">
        <f>HYPERLINK("https://pbs.twimg.com/ext_tw_video_thumb/1448527896562348036/pu/img/0PqSbNMaXHvzKHCc.jpg")</f>
        <v>https://pbs.twimg.com/ext_tw_video_thumb/1448527896562348036/pu/img/0PqSbNMaXHvzKHCc.jpg</v>
      </c>
      <c r="W46" s="93">
        <v>44483.32980324074</v>
      </c>
      <c r="X46" s="102">
        <v>44483</v>
      </c>
      <c r="Y46" s="99" t="s">
        <v>362</v>
      </c>
      <c r="Z46" s="96" t="str">
        <f>HYPERLINK("https://twitter.com/tty_taloustiede/status/1448557917502910465")</f>
        <v>https://twitter.com/tty_taloustiede/status/1448557917502910465</v>
      </c>
      <c r="AA46" s="90"/>
      <c r="AB46" s="90"/>
      <c r="AC46" s="99" t="s">
        <v>456</v>
      </c>
      <c r="AD46" s="90"/>
      <c r="AE46" s="90" t="b">
        <v>0</v>
      </c>
      <c r="AF46" s="90">
        <v>0</v>
      </c>
      <c r="AG46" s="99" t="s">
        <v>535</v>
      </c>
      <c r="AH46" s="90" t="b">
        <v>0</v>
      </c>
      <c r="AI46" s="90" t="s">
        <v>537</v>
      </c>
      <c r="AJ46" s="90"/>
      <c r="AK46" s="99" t="s">
        <v>535</v>
      </c>
      <c r="AL46" s="90" t="b">
        <v>0</v>
      </c>
      <c r="AM46" s="90">
        <v>52</v>
      </c>
      <c r="AN46" s="99" t="s">
        <v>526</v>
      </c>
      <c r="AO46" s="99" t="s">
        <v>545</v>
      </c>
      <c r="AP46" s="90" t="b">
        <v>0</v>
      </c>
      <c r="AQ46" s="99" t="s">
        <v>526</v>
      </c>
      <c r="AR46" s="90" t="s">
        <v>187</v>
      </c>
      <c r="AS46" s="90">
        <v>0</v>
      </c>
      <c r="AT46" s="90">
        <v>0</v>
      </c>
      <c r="AU46" s="90"/>
      <c r="AV46" s="90"/>
      <c r="AW46" s="90"/>
      <c r="AX46" s="90"/>
      <c r="AY46" s="90"/>
      <c r="AZ46" s="90"/>
      <c r="BA46" s="90"/>
      <c r="BB46" s="90"/>
      <c r="BC46" s="90">
        <v>1</v>
      </c>
      <c r="BD46" s="89" t="str">
        <f>REPLACE(INDEX(GroupVertices[Group],MATCH(Edges[[#This Row],[Vertex 1]],GroupVertices[Vertex],0)),1,1,"")</f>
        <v>1</v>
      </c>
      <c r="BE46" s="89" t="str">
        <f>REPLACE(INDEX(GroupVertices[Group],MATCH(Edges[[#This Row],[Vertex 2]],GroupVertices[Vertex],0)),1,1,"")</f>
        <v>1</v>
      </c>
      <c r="BF46" s="49"/>
      <c r="BG46" s="50"/>
      <c r="BH46" s="49"/>
      <c r="BI46" s="50"/>
      <c r="BJ46" s="49"/>
      <c r="BK46" s="50"/>
      <c r="BL46" s="49"/>
      <c r="BM46" s="50"/>
      <c r="BN46" s="49"/>
    </row>
    <row r="47" spans="1:66" ht="15">
      <c r="A47" s="66" t="s">
        <v>241</v>
      </c>
      <c r="B47" s="66" t="s">
        <v>302</v>
      </c>
      <c r="C47" s="67" t="s">
        <v>2108</v>
      </c>
      <c r="D47" s="68">
        <v>1</v>
      </c>
      <c r="E47" s="69" t="s">
        <v>132</v>
      </c>
      <c r="F47" s="70">
        <v>32</v>
      </c>
      <c r="G47" s="67" t="s">
        <v>51</v>
      </c>
      <c r="H47" s="71"/>
      <c r="I47" s="72"/>
      <c r="J47" s="72"/>
      <c r="K47" s="35" t="s">
        <v>65</v>
      </c>
      <c r="L47" s="79">
        <v>47</v>
      </c>
      <c r="M47" s="79"/>
      <c r="N47" s="74"/>
      <c r="O47" s="90" t="s">
        <v>306</v>
      </c>
      <c r="P47" s="93">
        <v>44483.32980324074</v>
      </c>
      <c r="Q47" s="90" t="s">
        <v>310</v>
      </c>
      <c r="R47" s="96" t="str">
        <f>HYPERLINK("https://talouskurssi.fi/")</f>
        <v>https://talouskurssi.fi/</v>
      </c>
      <c r="S47" s="90" t="s">
        <v>334</v>
      </c>
      <c r="T47" s="99" t="s">
        <v>338</v>
      </c>
      <c r="U47" s="96" t="str">
        <f>HYPERLINK("https://pbs.twimg.com/ext_tw_video_thumb/1448527896562348036/pu/img/0PqSbNMaXHvzKHCc.jpg")</f>
        <v>https://pbs.twimg.com/ext_tw_video_thumb/1448527896562348036/pu/img/0PqSbNMaXHvzKHCc.jpg</v>
      </c>
      <c r="V47" s="96" t="str">
        <f>HYPERLINK("https://pbs.twimg.com/ext_tw_video_thumb/1448527896562348036/pu/img/0PqSbNMaXHvzKHCc.jpg")</f>
        <v>https://pbs.twimg.com/ext_tw_video_thumb/1448527896562348036/pu/img/0PqSbNMaXHvzKHCc.jpg</v>
      </c>
      <c r="W47" s="93">
        <v>44483.32980324074</v>
      </c>
      <c r="X47" s="102">
        <v>44483</v>
      </c>
      <c r="Y47" s="99" t="s">
        <v>362</v>
      </c>
      <c r="Z47" s="96" t="str">
        <f>HYPERLINK("https://twitter.com/tty_taloustiede/status/1448557917502910465")</f>
        <v>https://twitter.com/tty_taloustiede/status/1448557917502910465</v>
      </c>
      <c r="AA47" s="90"/>
      <c r="AB47" s="90"/>
      <c r="AC47" s="99" t="s">
        <v>456</v>
      </c>
      <c r="AD47" s="90"/>
      <c r="AE47" s="90" t="b">
        <v>0</v>
      </c>
      <c r="AF47" s="90">
        <v>0</v>
      </c>
      <c r="AG47" s="99" t="s">
        <v>535</v>
      </c>
      <c r="AH47" s="90" t="b">
        <v>0</v>
      </c>
      <c r="AI47" s="90" t="s">
        <v>537</v>
      </c>
      <c r="AJ47" s="90"/>
      <c r="AK47" s="99" t="s">
        <v>535</v>
      </c>
      <c r="AL47" s="90" t="b">
        <v>0</v>
      </c>
      <c r="AM47" s="90">
        <v>52</v>
      </c>
      <c r="AN47" s="99" t="s">
        <v>526</v>
      </c>
      <c r="AO47" s="99" t="s">
        <v>545</v>
      </c>
      <c r="AP47" s="90" t="b">
        <v>0</v>
      </c>
      <c r="AQ47" s="99" t="s">
        <v>526</v>
      </c>
      <c r="AR47" s="90" t="s">
        <v>187</v>
      </c>
      <c r="AS47" s="90">
        <v>0</v>
      </c>
      <c r="AT47" s="90">
        <v>0</v>
      </c>
      <c r="AU47" s="90"/>
      <c r="AV47" s="90"/>
      <c r="AW47" s="90"/>
      <c r="AX47" s="90"/>
      <c r="AY47" s="90"/>
      <c r="AZ47" s="90"/>
      <c r="BA47" s="90"/>
      <c r="BB47" s="90"/>
      <c r="BC47" s="90">
        <v>1</v>
      </c>
      <c r="BD47" s="89" t="str">
        <f>REPLACE(INDEX(GroupVertices[Group],MATCH(Edges[[#This Row],[Vertex 1]],GroupVertices[Vertex],0)),1,1,"")</f>
        <v>1</v>
      </c>
      <c r="BE47" s="89" t="str">
        <f>REPLACE(INDEX(GroupVertices[Group],MATCH(Edges[[#This Row],[Vertex 2]],GroupVertices[Vertex],0)),1,1,"")</f>
        <v>1</v>
      </c>
      <c r="BF47" s="49"/>
      <c r="BG47" s="50"/>
      <c r="BH47" s="49"/>
      <c r="BI47" s="50"/>
      <c r="BJ47" s="49"/>
      <c r="BK47" s="50"/>
      <c r="BL47" s="49"/>
      <c r="BM47" s="50"/>
      <c r="BN47" s="49"/>
    </row>
    <row r="48" spans="1:66" ht="15">
      <c r="A48" s="66" t="s">
        <v>241</v>
      </c>
      <c r="B48" s="66" t="s">
        <v>293</v>
      </c>
      <c r="C48" s="67" t="s">
        <v>2108</v>
      </c>
      <c r="D48" s="68">
        <v>1</v>
      </c>
      <c r="E48" s="69" t="s">
        <v>132</v>
      </c>
      <c r="F48" s="70">
        <v>32</v>
      </c>
      <c r="G48" s="67" t="s">
        <v>51</v>
      </c>
      <c r="H48" s="71"/>
      <c r="I48" s="72"/>
      <c r="J48" s="72"/>
      <c r="K48" s="35" t="s">
        <v>65</v>
      </c>
      <c r="L48" s="79">
        <v>48</v>
      </c>
      <c r="M48" s="79"/>
      <c r="N48" s="74"/>
      <c r="O48" s="90" t="s">
        <v>305</v>
      </c>
      <c r="P48" s="93">
        <v>44483.32980324074</v>
      </c>
      <c r="Q48" s="90" t="s">
        <v>310</v>
      </c>
      <c r="R48" s="96" t="str">
        <f>HYPERLINK("https://talouskurssi.fi/")</f>
        <v>https://talouskurssi.fi/</v>
      </c>
      <c r="S48" s="90" t="s">
        <v>334</v>
      </c>
      <c r="T48" s="99" t="s">
        <v>338</v>
      </c>
      <c r="U48" s="96" t="str">
        <f>HYPERLINK("https://pbs.twimg.com/ext_tw_video_thumb/1448527896562348036/pu/img/0PqSbNMaXHvzKHCc.jpg")</f>
        <v>https://pbs.twimg.com/ext_tw_video_thumb/1448527896562348036/pu/img/0PqSbNMaXHvzKHCc.jpg</v>
      </c>
      <c r="V48" s="96" t="str">
        <f>HYPERLINK("https://pbs.twimg.com/ext_tw_video_thumb/1448527896562348036/pu/img/0PqSbNMaXHvzKHCc.jpg")</f>
        <v>https://pbs.twimg.com/ext_tw_video_thumb/1448527896562348036/pu/img/0PqSbNMaXHvzKHCc.jpg</v>
      </c>
      <c r="W48" s="93">
        <v>44483.32980324074</v>
      </c>
      <c r="X48" s="102">
        <v>44483</v>
      </c>
      <c r="Y48" s="99" t="s">
        <v>362</v>
      </c>
      <c r="Z48" s="96" t="str">
        <f>HYPERLINK("https://twitter.com/tty_taloustiede/status/1448557917502910465")</f>
        <v>https://twitter.com/tty_taloustiede/status/1448557917502910465</v>
      </c>
      <c r="AA48" s="90"/>
      <c r="AB48" s="90"/>
      <c r="AC48" s="99" t="s">
        <v>456</v>
      </c>
      <c r="AD48" s="90"/>
      <c r="AE48" s="90" t="b">
        <v>0</v>
      </c>
      <c r="AF48" s="90">
        <v>0</v>
      </c>
      <c r="AG48" s="99" t="s">
        <v>535</v>
      </c>
      <c r="AH48" s="90" t="b">
        <v>0</v>
      </c>
      <c r="AI48" s="90" t="s">
        <v>537</v>
      </c>
      <c r="AJ48" s="90"/>
      <c r="AK48" s="99" t="s">
        <v>535</v>
      </c>
      <c r="AL48" s="90" t="b">
        <v>0</v>
      </c>
      <c r="AM48" s="90">
        <v>52</v>
      </c>
      <c r="AN48" s="99" t="s">
        <v>526</v>
      </c>
      <c r="AO48" s="99" t="s">
        <v>545</v>
      </c>
      <c r="AP48" s="90" t="b">
        <v>0</v>
      </c>
      <c r="AQ48" s="99" t="s">
        <v>526</v>
      </c>
      <c r="AR48" s="90" t="s">
        <v>187</v>
      </c>
      <c r="AS48" s="90">
        <v>0</v>
      </c>
      <c r="AT48" s="90">
        <v>0</v>
      </c>
      <c r="AU48" s="90"/>
      <c r="AV48" s="90"/>
      <c r="AW48" s="90"/>
      <c r="AX48" s="90"/>
      <c r="AY48" s="90"/>
      <c r="AZ48" s="90"/>
      <c r="BA48" s="90"/>
      <c r="BB48" s="90"/>
      <c r="BC48" s="90">
        <v>1</v>
      </c>
      <c r="BD48" s="89" t="str">
        <f>REPLACE(INDEX(GroupVertices[Group],MATCH(Edges[[#This Row],[Vertex 1]],GroupVertices[Vertex],0)),1,1,"")</f>
        <v>1</v>
      </c>
      <c r="BE48" s="89" t="str">
        <f>REPLACE(INDEX(GroupVertices[Group],MATCH(Edges[[#This Row],[Vertex 2]],GroupVertices[Vertex],0)),1,1,"")</f>
        <v>3</v>
      </c>
      <c r="BF48" s="49">
        <v>0</v>
      </c>
      <c r="BG48" s="50">
        <v>0</v>
      </c>
      <c r="BH48" s="49">
        <v>0</v>
      </c>
      <c r="BI48" s="50">
        <v>0</v>
      </c>
      <c r="BJ48" s="49">
        <v>0</v>
      </c>
      <c r="BK48" s="50">
        <v>0</v>
      </c>
      <c r="BL48" s="49">
        <v>28</v>
      </c>
      <c r="BM48" s="50">
        <v>100</v>
      </c>
      <c r="BN48" s="49">
        <v>28</v>
      </c>
    </row>
    <row r="49" spans="1:66" ht="15">
      <c r="A49" s="66" t="s">
        <v>242</v>
      </c>
      <c r="B49" s="66" t="s">
        <v>299</v>
      </c>
      <c r="C49" s="67" t="s">
        <v>2108</v>
      </c>
      <c r="D49" s="68">
        <v>1</v>
      </c>
      <c r="E49" s="69" t="s">
        <v>132</v>
      </c>
      <c r="F49" s="70">
        <v>32</v>
      </c>
      <c r="G49" s="67" t="s">
        <v>51</v>
      </c>
      <c r="H49" s="71"/>
      <c r="I49" s="72"/>
      <c r="J49" s="72"/>
      <c r="K49" s="35" t="s">
        <v>65</v>
      </c>
      <c r="L49" s="79">
        <v>49</v>
      </c>
      <c r="M49" s="79"/>
      <c r="N49" s="74"/>
      <c r="O49" s="90" t="s">
        <v>306</v>
      </c>
      <c r="P49" s="93">
        <v>44483.33887731482</v>
      </c>
      <c r="Q49" s="90" t="s">
        <v>310</v>
      </c>
      <c r="R49" s="96" t="str">
        <f>HYPERLINK("https://talouskurssi.fi/")</f>
        <v>https://talouskurssi.fi/</v>
      </c>
      <c r="S49" s="90" t="s">
        <v>334</v>
      </c>
      <c r="T49" s="99" t="s">
        <v>338</v>
      </c>
      <c r="U49" s="96" t="str">
        <f>HYPERLINK("https://pbs.twimg.com/ext_tw_video_thumb/1448527896562348036/pu/img/0PqSbNMaXHvzKHCc.jpg")</f>
        <v>https://pbs.twimg.com/ext_tw_video_thumb/1448527896562348036/pu/img/0PqSbNMaXHvzKHCc.jpg</v>
      </c>
      <c r="V49" s="96" t="str">
        <f>HYPERLINK("https://pbs.twimg.com/ext_tw_video_thumb/1448527896562348036/pu/img/0PqSbNMaXHvzKHCc.jpg")</f>
        <v>https://pbs.twimg.com/ext_tw_video_thumb/1448527896562348036/pu/img/0PqSbNMaXHvzKHCc.jpg</v>
      </c>
      <c r="W49" s="93">
        <v>44483.33887731482</v>
      </c>
      <c r="X49" s="102">
        <v>44483</v>
      </c>
      <c r="Y49" s="99" t="s">
        <v>363</v>
      </c>
      <c r="Z49" s="96" t="str">
        <f>HYPERLINK("https://twitter.com/anttiripatti/status/1448561208341245953")</f>
        <v>https://twitter.com/anttiripatti/status/1448561208341245953</v>
      </c>
      <c r="AA49" s="90"/>
      <c r="AB49" s="90"/>
      <c r="AC49" s="99" t="s">
        <v>457</v>
      </c>
      <c r="AD49" s="90"/>
      <c r="AE49" s="90" t="b">
        <v>0</v>
      </c>
      <c r="AF49" s="90">
        <v>0</v>
      </c>
      <c r="AG49" s="99" t="s">
        <v>535</v>
      </c>
      <c r="AH49" s="90" t="b">
        <v>0</v>
      </c>
      <c r="AI49" s="90" t="s">
        <v>537</v>
      </c>
      <c r="AJ49" s="90"/>
      <c r="AK49" s="99" t="s">
        <v>535</v>
      </c>
      <c r="AL49" s="90" t="b">
        <v>0</v>
      </c>
      <c r="AM49" s="90">
        <v>52</v>
      </c>
      <c r="AN49" s="99" t="s">
        <v>526</v>
      </c>
      <c r="AO49" s="99" t="s">
        <v>544</v>
      </c>
      <c r="AP49" s="90" t="b">
        <v>0</v>
      </c>
      <c r="AQ49" s="99" t="s">
        <v>526</v>
      </c>
      <c r="AR49" s="90" t="s">
        <v>187</v>
      </c>
      <c r="AS49" s="90">
        <v>0</v>
      </c>
      <c r="AT49" s="90">
        <v>0</v>
      </c>
      <c r="AU49" s="90"/>
      <c r="AV49" s="90"/>
      <c r="AW49" s="90"/>
      <c r="AX49" s="90"/>
      <c r="AY49" s="90"/>
      <c r="AZ49" s="90"/>
      <c r="BA49" s="90"/>
      <c r="BB49" s="90"/>
      <c r="BC49" s="90">
        <v>1</v>
      </c>
      <c r="BD49" s="89" t="str">
        <f>REPLACE(INDEX(GroupVertices[Group],MATCH(Edges[[#This Row],[Vertex 1]],GroupVertices[Vertex],0)),1,1,"")</f>
        <v>1</v>
      </c>
      <c r="BE49" s="89" t="str">
        <f>REPLACE(INDEX(GroupVertices[Group],MATCH(Edges[[#This Row],[Vertex 2]],GroupVertices[Vertex],0)),1,1,"")</f>
        <v>1</v>
      </c>
      <c r="BF49" s="49"/>
      <c r="BG49" s="50"/>
      <c r="BH49" s="49"/>
      <c r="BI49" s="50"/>
      <c r="BJ49" s="49"/>
      <c r="BK49" s="50"/>
      <c r="BL49" s="49"/>
      <c r="BM49" s="50"/>
      <c r="BN49" s="49"/>
    </row>
    <row r="50" spans="1:66" ht="15">
      <c r="A50" s="66" t="s">
        <v>242</v>
      </c>
      <c r="B50" s="66" t="s">
        <v>302</v>
      </c>
      <c r="C50" s="67" t="s">
        <v>2108</v>
      </c>
      <c r="D50" s="68">
        <v>1</v>
      </c>
      <c r="E50" s="69" t="s">
        <v>132</v>
      </c>
      <c r="F50" s="70">
        <v>32</v>
      </c>
      <c r="G50" s="67" t="s">
        <v>51</v>
      </c>
      <c r="H50" s="71"/>
      <c r="I50" s="72"/>
      <c r="J50" s="72"/>
      <c r="K50" s="35" t="s">
        <v>65</v>
      </c>
      <c r="L50" s="79">
        <v>50</v>
      </c>
      <c r="M50" s="79"/>
      <c r="N50" s="74"/>
      <c r="O50" s="90" t="s">
        <v>306</v>
      </c>
      <c r="P50" s="93">
        <v>44483.33887731482</v>
      </c>
      <c r="Q50" s="90" t="s">
        <v>310</v>
      </c>
      <c r="R50" s="96" t="str">
        <f>HYPERLINK("https://talouskurssi.fi/")</f>
        <v>https://talouskurssi.fi/</v>
      </c>
      <c r="S50" s="90" t="s">
        <v>334</v>
      </c>
      <c r="T50" s="99" t="s">
        <v>338</v>
      </c>
      <c r="U50" s="96" t="str">
        <f>HYPERLINK("https://pbs.twimg.com/ext_tw_video_thumb/1448527896562348036/pu/img/0PqSbNMaXHvzKHCc.jpg")</f>
        <v>https://pbs.twimg.com/ext_tw_video_thumb/1448527896562348036/pu/img/0PqSbNMaXHvzKHCc.jpg</v>
      </c>
      <c r="V50" s="96" t="str">
        <f>HYPERLINK("https://pbs.twimg.com/ext_tw_video_thumb/1448527896562348036/pu/img/0PqSbNMaXHvzKHCc.jpg")</f>
        <v>https://pbs.twimg.com/ext_tw_video_thumb/1448527896562348036/pu/img/0PqSbNMaXHvzKHCc.jpg</v>
      </c>
      <c r="W50" s="93">
        <v>44483.33887731482</v>
      </c>
      <c r="X50" s="102">
        <v>44483</v>
      </c>
      <c r="Y50" s="99" t="s">
        <v>363</v>
      </c>
      <c r="Z50" s="96" t="str">
        <f>HYPERLINK("https://twitter.com/anttiripatti/status/1448561208341245953")</f>
        <v>https://twitter.com/anttiripatti/status/1448561208341245953</v>
      </c>
      <c r="AA50" s="90"/>
      <c r="AB50" s="90"/>
      <c r="AC50" s="99" t="s">
        <v>457</v>
      </c>
      <c r="AD50" s="90"/>
      <c r="AE50" s="90" t="b">
        <v>0</v>
      </c>
      <c r="AF50" s="90">
        <v>0</v>
      </c>
      <c r="AG50" s="99" t="s">
        <v>535</v>
      </c>
      <c r="AH50" s="90" t="b">
        <v>0</v>
      </c>
      <c r="AI50" s="90" t="s">
        <v>537</v>
      </c>
      <c r="AJ50" s="90"/>
      <c r="AK50" s="99" t="s">
        <v>535</v>
      </c>
      <c r="AL50" s="90" t="b">
        <v>0</v>
      </c>
      <c r="AM50" s="90">
        <v>52</v>
      </c>
      <c r="AN50" s="99" t="s">
        <v>526</v>
      </c>
      <c r="AO50" s="99" t="s">
        <v>544</v>
      </c>
      <c r="AP50" s="90" t="b">
        <v>0</v>
      </c>
      <c r="AQ50" s="99" t="s">
        <v>526</v>
      </c>
      <c r="AR50" s="90" t="s">
        <v>187</v>
      </c>
      <c r="AS50" s="90">
        <v>0</v>
      </c>
      <c r="AT50" s="90">
        <v>0</v>
      </c>
      <c r="AU50" s="90"/>
      <c r="AV50" s="90"/>
      <c r="AW50" s="90"/>
      <c r="AX50" s="90"/>
      <c r="AY50" s="90"/>
      <c r="AZ50" s="90"/>
      <c r="BA50" s="90"/>
      <c r="BB50" s="90"/>
      <c r="BC50" s="90">
        <v>1</v>
      </c>
      <c r="BD50" s="89" t="str">
        <f>REPLACE(INDEX(GroupVertices[Group],MATCH(Edges[[#This Row],[Vertex 1]],GroupVertices[Vertex],0)),1,1,"")</f>
        <v>1</v>
      </c>
      <c r="BE50" s="89" t="str">
        <f>REPLACE(INDEX(GroupVertices[Group],MATCH(Edges[[#This Row],[Vertex 2]],GroupVertices[Vertex],0)),1,1,"")</f>
        <v>1</v>
      </c>
      <c r="BF50" s="49"/>
      <c r="BG50" s="50"/>
      <c r="BH50" s="49"/>
      <c r="BI50" s="50"/>
      <c r="BJ50" s="49"/>
      <c r="BK50" s="50"/>
      <c r="BL50" s="49"/>
      <c r="BM50" s="50"/>
      <c r="BN50" s="49"/>
    </row>
    <row r="51" spans="1:66" ht="15">
      <c r="A51" s="66" t="s">
        <v>242</v>
      </c>
      <c r="B51" s="66" t="s">
        <v>293</v>
      </c>
      <c r="C51" s="67" t="s">
        <v>2108</v>
      </c>
      <c r="D51" s="68">
        <v>1</v>
      </c>
      <c r="E51" s="69" t="s">
        <v>132</v>
      </c>
      <c r="F51" s="70">
        <v>32</v>
      </c>
      <c r="G51" s="67" t="s">
        <v>51</v>
      </c>
      <c r="H51" s="71"/>
      <c r="I51" s="72"/>
      <c r="J51" s="72"/>
      <c r="K51" s="35" t="s">
        <v>65</v>
      </c>
      <c r="L51" s="79">
        <v>51</v>
      </c>
      <c r="M51" s="79"/>
      <c r="N51" s="74"/>
      <c r="O51" s="90" t="s">
        <v>305</v>
      </c>
      <c r="P51" s="93">
        <v>44483.33887731482</v>
      </c>
      <c r="Q51" s="90" t="s">
        <v>310</v>
      </c>
      <c r="R51" s="96" t="str">
        <f>HYPERLINK("https://talouskurssi.fi/")</f>
        <v>https://talouskurssi.fi/</v>
      </c>
      <c r="S51" s="90" t="s">
        <v>334</v>
      </c>
      <c r="T51" s="99" t="s">
        <v>338</v>
      </c>
      <c r="U51" s="96" t="str">
        <f>HYPERLINK("https://pbs.twimg.com/ext_tw_video_thumb/1448527896562348036/pu/img/0PqSbNMaXHvzKHCc.jpg")</f>
        <v>https://pbs.twimg.com/ext_tw_video_thumb/1448527896562348036/pu/img/0PqSbNMaXHvzKHCc.jpg</v>
      </c>
      <c r="V51" s="96" t="str">
        <f>HYPERLINK("https://pbs.twimg.com/ext_tw_video_thumb/1448527896562348036/pu/img/0PqSbNMaXHvzKHCc.jpg")</f>
        <v>https://pbs.twimg.com/ext_tw_video_thumb/1448527896562348036/pu/img/0PqSbNMaXHvzKHCc.jpg</v>
      </c>
      <c r="W51" s="93">
        <v>44483.33887731482</v>
      </c>
      <c r="X51" s="102">
        <v>44483</v>
      </c>
      <c r="Y51" s="99" t="s">
        <v>363</v>
      </c>
      <c r="Z51" s="96" t="str">
        <f>HYPERLINK("https://twitter.com/anttiripatti/status/1448561208341245953")</f>
        <v>https://twitter.com/anttiripatti/status/1448561208341245953</v>
      </c>
      <c r="AA51" s="90"/>
      <c r="AB51" s="90"/>
      <c r="AC51" s="99" t="s">
        <v>457</v>
      </c>
      <c r="AD51" s="90"/>
      <c r="AE51" s="90" t="b">
        <v>0</v>
      </c>
      <c r="AF51" s="90">
        <v>0</v>
      </c>
      <c r="AG51" s="99" t="s">
        <v>535</v>
      </c>
      <c r="AH51" s="90" t="b">
        <v>0</v>
      </c>
      <c r="AI51" s="90" t="s">
        <v>537</v>
      </c>
      <c r="AJ51" s="90"/>
      <c r="AK51" s="99" t="s">
        <v>535</v>
      </c>
      <c r="AL51" s="90" t="b">
        <v>0</v>
      </c>
      <c r="AM51" s="90">
        <v>52</v>
      </c>
      <c r="AN51" s="99" t="s">
        <v>526</v>
      </c>
      <c r="AO51" s="99" t="s">
        <v>544</v>
      </c>
      <c r="AP51" s="90" t="b">
        <v>0</v>
      </c>
      <c r="AQ51" s="99" t="s">
        <v>526</v>
      </c>
      <c r="AR51" s="90" t="s">
        <v>187</v>
      </c>
      <c r="AS51" s="90">
        <v>0</v>
      </c>
      <c r="AT51" s="90">
        <v>0</v>
      </c>
      <c r="AU51" s="90"/>
      <c r="AV51" s="90"/>
      <c r="AW51" s="90"/>
      <c r="AX51" s="90"/>
      <c r="AY51" s="90"/>
      <c r="AZ51" s="90"/>
      <c r="BA51" s="90"/>
      <c r="BB51" s="90"/>
      <c r="BC51" s="90">
        <v>1</v>
      </c>
      <c r="BD51" s="89" t="str">
        <f>REPLACE(INDEX(GroupVertices[Group],MATCH(Edges[[#This Row],[Vertex 1]],GroupVertices[Vertex],0)),1,1,"")</f>
        <v>1</v>
      </c>
      <c r="BE51" s="89" t="str">
        <f>REPLACE(INDEX(GroupVertices[Group],MATCH(Edges[[#This Row],[Vertex 2]],GroupVertices[Vertex],0)),1,1,"")</f>
        <v>3</v>
      </c>
      <c r="BF51" s="49">
        <v>0</v>
      </c>
      <c r="BG51" s="50">
        <v>0</v>
      </c>
      <c r="BH51" s="49">
        <v>0</v>
      </c>
      <c r="BI51" s="50">
        <v>0</v>
      </c>
      <c r="BJ51" s="49">
        <v>0</v>
      </c>
      <c r="BK51" s="50">
        <v>0</v>
      </c>
      <c r="BL51" s="49">
        <v>28</v>
      </c>
      <c r="BM51" s="50">
        <v>100</v>
      </c>
      <c r="BN51" s="49">
        <v>28</v>
      </c>
    </row>
    <row r="52" spans="1:66" ht="15">
      <c r="A52" s="66" t="s">
        <v>243</v>
      </c>
      <c r="B52" s="66" t="s">
        <v>299</v>
      </c>
      <c r="C52" s="67" t="s">
        <v>2108</v>
      </c>
      <c r="D52" s="68">
        <v>1</v>
      </c>
      <c r="E52" s="69" t="s">
        <v>132</v>
      </c>
      <c r="F52" s="70">
        <v>32</v>
      </c>
      <c r="G52" s="67" t="s">
        <v>51</v>
      </c>
      <c r="H52" s="71"/>
      <c r="I52" s="72"/>
      <c r="J52" s="72"/>
      <c r="K52" s="35" t="s">
        <v>65</v>
      </c>
      <c r="L52" s="79">
        <v>52</v>
      </c>
      <c r="M52" s="79"/>
      <c r="N52" s="74"/>
      <c r="O52" s="90" t="s">
        <v>306</v>
      </c>
      <c r="P52" s="93">
        <v>44483.342256944445</v>
      </c>
      <c r="Q52" s="90" t="s">
        <v>310</v>
      </c>
      <c r="R52" s="96" t="str">
        <f>HYPERLINK("https://talouskurssi.fi/")</f>
        <v>https://talouskurssi.fi/</v>
      </c>
      <c r="S52" s="90" t="s">
        <v>334</v>
      </c>
      <c r="T52" s="99" t="s">
        <v>338</v>
      </c>
      <c r="U52" s="96" t="str">
        <f>HYPERLINK("https://pbs.twimg.com/ext_tw_video_thumb/1448527896562348036/pu/img/0PqSbNMaXHvzKHCc.jpg")</f>
        <v>https://pbs.twimg.com/ext_tw_video_thumb/1448527896562348036/pu/img/0PqSbNMaXHvzKHCc.jpg</v>
      </c>
      <c r="V52" s="96" t="str">
        <f>HYPERLINK("https://pbs.twimg.com/ext_tw_video_thumb/1448527896562348036/pu/img/0PqSbNMaXHvzKHCc.jpg")</f>
        <v>https://pbs.twimg.com/ext_tw_video_thumb/1448527896562348036/pu/img/0PqSbNMaXHvzKHCc.jpg</v>
      </c>
      <c r="W52" s="93">
        <v>44483.342256944445</v>
      </c>
      <c r="X52" s="102">
        <v>44483</v>
      </c>
      <c r="Y52" s="99" t="s">
        <v>364</v>
      </c>
      <c r="Z52" s="96" t="str">
        <f>HYPERLINK("https://twitter.com/aapostenhammar/status/1448562433639993350")</f>
        <v>https://twitter.com/aapostenhammar/status/1448562433639993350</v>
      </c>
      <c r="AA52" s="90"/>
      <c r="AB52" s="90"/>
      <c r="AC52" s="99" t="s">
        <v>458</v>
      </c>
      <c r="AD52" s="90"/>
      <c r="AE52" s="90" t="b">
        <v>0</v>
      </c>
      <c r="AF52" s="90">
        <v>0</v>
      </c>
      <c r="AG52" s="99" t="s">
        <v>535</v>
      </c>
      <c r="AH52" s="90" t="b">
        <v>0</v>
      </c>
      <c r="AI52" s="90" t="s">
        <v>537</v>
      </c>
      <c r="AJ52" s="90"/>
      <c r="AK52" s="99" t="s">
        <v>535</v>
      </c>
      <c r="AL52" s="90" t="b">
        <v>0</v>
      </c>
      <c r="AM52" s="90">
        <v>52</v>
      </c>
      <c r="AN52" s="99" t="s">
        <v>526</v>
      </c>
      <c r="AO52" s="99" t="s">
        <v>542</v>
      </c>
      <c r="AP52" s="90" t="b">
        <v>0</v>
      </c>
      <c r="AQ52" s="99" t="s">
        <v>526</v>
      </c>
      <c r="AR52" s="90" t="s">
        <v>187</v>
      </c>
      <c r="AS52" s="90">
        <v>0</v>
      </c>
      <c r="AT52" s="90">
        <v>0</v>
      </c>
      <c r="AU52" s="90"/>
      <c r="AV52" s="90"/>
      <c r="AW52" s="90"/>
      <c r="AX52" s="90"/>
      <c r="AY52" s="90"/>
      <c r="AZ52" s="90"/>
      <c r="BA52" s="90"/>
      <c r="BB52" s="90"/>
      <c r="BC52" s="90">
        <v>1</v>
      </c>
      <c r="BD52" s="89" t="str">
        <f>REPLACE(INDEX(GroupVertices[Group],MATCH(Edges[[#This Row],[Vertex 1]],GroupVertices[Vertex],0)),1,1,"")</f>
        <v>1</v>
      </c>
      <c r="BE52" s="89" t="str">
        <f>REPLACE(INDEX(GroupVertices[Group],MATCH(Edges[[#This Row],[Vertex 2]],GroupVertices[Vertex],0)),1,1,"")</f>
        <v>1</v>
      </c>
      <c r="BF52" s="49"/>
      <c r="BG52" s="50"/>
      <c r="BH52" s="49"/>
      <c r="BI52" s="50"/>
      <c r="BJ52" s="49"/>
      <c r="BK52" s="50"/>
      <c r="BL52" s="49"/>
      <c r="BM52" s="50"/>
      <c r="BN52" s="49"/>
    </row>
    <row r="53" spans="1:66" ht="15">
      <c r="A53" s="66" t="s">
        <v>243</v>
      </c>
      <c r="B53" s="66" t="s">
        <v>302</v>
      </c>
      <c r="C53" s="67" t="s">
        <v>2108</v>
      </c>
      <c r="D53" s="68">
        <v>1</v>
      </c>
      <c r="E53" s="69" t="s">
        <v>132</v>
      </c>
      <c r="F53" s="70">
        <v>32</v>
      </c>
      <c r="G53" s="67" t="s">
        <v>51</v>
      </c>
      <c r="H53" s="71"/>
      <c r="I53" s="72"/>
      <c r="J53" s="72"/>
      <c r="K53" s="35" t="s">
        <v>65</v>
      </c>
      <c r="L53" s="79">
        <v>53</v>
      </c>
      <c r="M53" s="79"/>
      <c r="N53" s="74"/>
      <c r="O53" s="90" t="s">
        <v>306</v>
      </c>
      <c r="P53" s="93">
        <v>44483.342256944445</v>
      </c>
      <c r="Q53" s="90" t="s">
        <v>310</v>
      </c>
      <c r="R53" s="96" t="str">
        <f>HYPERLINK("https://talouskurssi.fi/")</f>
        <v>https://talouskurssi.fi/</v>
      </c>
      <c r="S53" s="90" t="s">
        <v>334</v>
      </c>
      <c r="T53" s="99" t="s">
        <v>338</v>
      </c>
      <c r="U53" s="96" t="str">
        <f>HYPERLINK("https://pbs.twimg.com/ext_tw_video_thumb/1448527896562348036/pu/img/0PqSbNMaXHvzKHCc.jpg")</f>
        <v>https://pbs.twimg.com/ext_tw_video_thumb/1448527896562348036/pu/img/0PqSbNMaXHvzKHCc.jpg</v>
      </c>
      <c r="V53" s="96" t="str">
        <f>HYPERLINK("https://pbs.twimg.com/ext_tw_video_thumb/1448527896562348036/pu/img/0PqSbNMaXHvzKHCc.jpg")</f>
        <v>https://pbs.twimg.com/ext_tw_video_thumb/1448527896562348036/pu/img/0PqSbNMaXHvzKHCc.jpg</v>
      </c>
      <c r="W53" s="93">
        <v>44483.342256944445</v>
      </c>
      <c r="X53" s="102">
        <v>44483</v>
      </c>
      <c r="Y53" s="99" t="s">
        <v>364</v>
      </c>
      <c r="Z53" s="96" t="str">
        <f>HYPERLINK("https://twitter.com/aapostenhammar/status/1448562433639993350")</f>
        <v>https://twitter.com/aapostenhammar/status/1448562433639993350</v>
      </c>
      <c r="AA53" s="90"/>
      <c r="AB53" s="90"/>
      <c r="AC53" s="99" t="s">
        <v>458</v>
      </c>
      <c r="AD53" s="90"/>
      <c r="AE53" s="90" t="b">
        <v>0</v>
      </c>
      <c r="AF53" s="90">
        <v>0</v>
      </c>
      <c r="AG53" s="99" t="s">
        <v>535</v>
      </c>
      <c r="AH53" s="90" t="b">
        <v>0</v>
      </c>
      <c r="AI53" s="90" t="s">
        <v>537</v>
      </c>
      <c r="AJ53" s="90"/>
      <c r="AK53" s="99" t="s">
        <v>535</v>
      </c>
      <c r="AL53" s="90" t="b">
        <v>0</v>
      </c>
      <c r="AM53" s="90">
        <v>52</v>
      </c>
      <c r="AN53" s="99" t="s">
        <v>526</v>
      </c>
      <c r="AO53" s="99" t="s">
        <v>542</v>
      </c>
      <c r="AP53" s="90" t="b">
        <v>0</v>
      </c>
      <c r="AQ53" s="99" t="s">
        <v>526</v>
      </c>
      <c r="AR53" s="90" t="s">
        <v>187</v>
      </c>
      <c r="AS53" s="90">
        <v>0</v>
      </c>
      <c r="AT53" s="90">
        <v>0</v>
      </c>
      <c r="AU53" s="90"/>
      <c r="AV53" s="90"/>
      <c r="AW53" s="90"/>
      <c r="AX53" s="90"/>
      <c r="AY53" s="90"/>
      <c r="AZ53" s="90"/>
      <c r="BA53" s="90"/>
      <c r="BB53" s="90"/>
      <c r="BC53" s="90">
        <v>1</v>
      </c>
      <c r="BD53" s="89" t="str">
        <f>REPLACE(INDEX(GroupVertices[Group],MATCH(Edges[[#This Row],[Vertex 1]],GroupVertices[Vertex],0)),1,1,"")</f>
        <v>1</v>
      </c>
      <c r="BE53" s="89" t="str">
        <f>REPLACE(INDEX(GroupVertices[Group],MATCH(Edges[[#This Row],[Vertex 2]],GroupVertices[Vertex],0)),1,1,"")</f>
        <v>1</v>
      </c>
      <c r="BF53" s="49"/>
      <c r="BG53" s="50"/>
      <c r="BH53" s="49"/>
      <c r="BI53" s="50"/>
      <c r="BJ53" s="49"/>
      <c r="BK53" s="50"/>
      <c r="BL53" s="49"/>
      <c r="BM53" s="50"/>
      <c r="BN53" s="49"/>
    </row>
    <row r="54" spans="1:66" ht="15">
      <c r="A54" s="66" t="s">
        <v>243</v>
      </c>
      <c r="B54" s="66" t="s">
        <v>293</v>
      </c>
      <c r="C54" s="67" t="s">
        <v>2108</v>
      </c>
      <c r="D54" s="68">
        <v>1</v>
      </c>
      <c r="E54" s="69" t="s">
        <v>132</v>
      </c>
      <c r="F54" s="70">
        <v>32</v>
      </c>
      <c r="G54" s="67" t="s">
        <v>51</v>
      </c>
      <c r="H54" s="71"/>
      <c r="I54" s="72"/>
      <c r="J54" s="72"/>
      <c r="K54" s="35" t="s">
        <v>65</v>
      </c>
      <c r="L54" s="79">
        <v>54</v>
      </c>
      <c r="M54" s="79"/>
      <c r="N54" s="74"/>
      <c r="O54" s="90" t="s">
        <v>305</v>
      </c>
      <c r="P54" s="93">
        <v>44483.342256944445</v>
      </c>
      <c r="Q54" s="90" t="s">
        <v>310</v>
      </c>
      <c r="R54" s="96" t="str">
        <f>HYPERLINK("https://talouskurssi.fi/")</f>
        <v>https://talouskurssi.fi/</v>
      </c>
      <c r="S54" s="90" t="s">
        <v>334</v>
      </c>
      <c r="T54" s="99" t="s">
        <v>338</v>
      </c>
      <c r="U54" s="96" t="str">
        <f>HYPERLINK("https://pbs.twimg.com/ext_tw_video_thumb/1448527896562348036/pu/img/0PqSbNMaXHvzKHCc.jpg")</f>
        <v>https://pbs.twimg.com/ext_tw_video_thumb/1448527896562348036/pu/img/0PqSbNMaXHvzKHCc.jpg</v>
      </c>
      <c r="V54" s="96" t="str">
        <f>HYPERLINK("https://pbs.twimg.com/ext_tw_video_thumb/1448527896562348036/pu/img/0PqSbNMaXHvzKHCc.jpg")</f>
        <v>https://pbs.twimg.com/ext_tw_video_thumb/1448527896562348036/pu/img/0PqSbNMaXHvzKHCc.jpg</v>
      </c>
      <c r="W54" s="93">
        <v>44483.342256944445</v>
      </c>
      <c r="X54" s="102">
        <v>44483</v>
      </c>
      <c r="Y54" s="99" t="s">
        <v>364</v>
      </c>
      <c r="Z54" s="96" t="str">
        <f>HYPERLINK("https://twitter.com/aapostenhammar/status/1448562433639993350")</f>
        <v>https://twitter.com/aapostenhammar/status/1448562433639993350</v>
      </c>
      <c r="AA54" s="90"/>
      <c r="AB54" s="90"/>
      <c r="AC54" s="99" t="s">
        <v>458</v>
      </c>
      <c r="AD54" s="90"/>
      <c r="AE54" s="90" t="b">
        <v>0</v>
      </c>
      <c r="AF54" s="90">
        <v>0</v>
      </c>
      <c r="AG54" s="99" t="s">
        <v>535</v>
      </c>
      <c r="AH54" s="90" t="b">
        <v>0</v>
      </c>
      <c r="AI54" s="90" t="s">
        <v>537</v>
      </c>
      <c r="AJ54" s="90"/>
      <c r="AK54" s="99" t="s">
        <v>535</v>
      </c>
      <c r="AL54" s="90" t="b">
        <v>0</v>
      </c>
      <c r="AM54" s="90">
        <v>52</v>
      </c>
      <c r="AN54" s="99" t="s">
        <v>526</v>
      </c>
      <c r="AO54" s="99" t="s">
        <v>542</v>
      </c>
      <c r="AP54" s="90" t="b">
        <v>0</v>
      </c>
      <c r="AQ54" s="99" t="s">
        <v>526</v>
      </c>
      <c r="AR54" s="90" t="s">
        <v>187</v>
      </c>
      <c r="AS54" s="90">
        <v>0</v>
      </c>
      <c r="AT54" s="90">
        <v>0</v>
      </c>
      <c r="AU54" s="90"/>
      <c r="AV54" s="90"/>
      <c r="AW54" s="90"/>
      <c r="AX54" s="90"/>
      <c r="AY54" s="90"/>
      <c r="AZ54" s="90"/>
      <c r="BA54" s="90"/>
      <c r="BB54" s="90"/>
      <c r="BC54" s="90">
        <v>1</v>
      </c>
      <c r="BD54" s="89" t="str">
        <f>REPLACE(INDEX(GroupVertices[Group],MATCH(Edges[[#This Row],[Vertex 1]],GroupVertices[Vertex],0)),1,1,"")</f>
        <v>1</v>
      </c>
      <c r="BE54" s="89" t="str">
        <f>REPLACE(INDEX(GroupVertices[Group],MATCH(Edges[[#This Row],[Vertex 2]],GroupVertices[Vertex],0)),1,1,"")</f>
        <v>3</v>
      </c>
      <c r="BF54" s="49">
        <v>0</v>
      </c>
      <c r="BG54" s="50">
        <v>0</v>
      </c>
      <c r="BH54" s="49">
        <v>0</v>
      </c>
      <c r="BI54" s="50">
        <v>0</v>
      </c>
      <c r="BJ54" s="49">
        <v>0</v>
      </c>
      <c r="BK54" s="50">
        <v>0</v>
      </c>
      <c r="BL54" s="49">
        <v>28</v>
      </c>
      <c r="BM54" s="50">
        <v>100</v>
      </c>
      <c r="BN54" s="49">
        <v>28</v>
      </c>
    </row>
    <row r="55" spans="1:66" ht="15">
      <c r="A55" s="66" t="s">
        <v>244</v>
      </c>
      <c r="B55" s="66" t="s">
        <v>299</v>
      </c>
      <c r="C55" s="67" t="s">
        <v>2108</v>
      </c>
      <c r="D55" s="68">
        <v>1</v>
      </c>
      <c r="E55" s="69" t="s">
        <v>132</v>
      </c>
      <c r="F55" s="70">
        <v>32</v>
      </c>
      <c r="G55" s="67" t="s">
        <v>51</v>
      </c>
      <c r="H55" s="71"/>
      <c r="I55" s="72"/>
      <c r="J55" s="72"/>
      <c r="K55" s="35" t="s">
        <v>65</v>
      </c>
      <c r="L55" s="79">
        <v>55</v>
      </c>
      <c r="M55" s="79"/>
      <c r="N55" s="74"/>
      <c r="O55" s="90" t="s">
        <v>307</v>
      </c>
      <c r="P55" s="93">
        <v>44483.34384259259</v>
      </c>
      <c r="Q55" s="90" t="s">
        <v>313</v>
      </c>
      <c r="R55" s="96" t="str">
        <f>HYPERLINK("https://twitter.com/HelsinkiGSE/status/1448530102837514240")</f>
        <v>https://twitter.com/HelsinkiGSE/status/1448530102837514240</v>
      </c>
      <c r="S55" s="90" t="s">
        <v>333</v>
      </c>
      <c r="T55" s="99" t="s">
        <v>339</v>
      </c>
      <c r="U55" s="90"/>
      <c r="V55" s="96" t="str">
        <f>HYPERLINK("https://pbs.twimg.com/profile_images/1304696854899298305/WqLa6MKD_normal.jpg")</f>
        <v>https://pbs.twimg.com/profile_images/1304696854899298305/WqLa6MKD_normal.jpg</v>
      </c>
      <c r="W55" s="93">
        <v>44483.34384259259</v>
      </c>
      <c r="X55" s="102">
        <v>44483</v>
      </c>
      <c r="Y55" s="99" t="s">
        <v>365</v>
      </c>
      <c r="Z55" s="96" t="str">
        <f>HYPERLINK("https://twitter.com/tainakyllonen/status/1448563008083484672")</f>
        <v>https://twitter.com/tainakyllonen/status/1448563008083484672</v>
      </c>
      <c r="AA55" s="90"/>
      <c r="AB55" s="90"/>
      <c r="AC55" s="99" t="s">
        <v>459</v>
      </c>
      <c r="AD55" s="90"/>
      <c r="AE55" s="90" t="b">
        <v>0</v>
      </c>
      <c r="AF55" s="90">
        <v>18</v>
      </c>
      <c r="AG55" s="99" t="s">
        <v>535</v>
      </c>
      <c r="AH55" s="90" t="b">
        <v>1</v>
      </c>
      <c r="AI55" s="90" t="s">
        <v>537</v>
      </c>
      <c r="AJ55" s="90"/>
      <c r="AK55" s="99" t="s">
        <v>526</v>
      </c>
      <c r="AL55" s="90" t="b">
        <v>0</v>
      </c>
      <c r="AM55" s="90">
        <v>0</v>
      </c>
      <c r="AN55" s="99" t="s">
        <v>535</v>
      </c>
      <c r="AO55" s="99" t="s">
        <v>543</v>
      </c>
      <c r="AP55" s="90" t="b">
        <v>0</v>
      </c>
      <c r="AQ55" s="99" t="s">
        <v>459</v>
      </c>
      <c r="AR55" s="90" t="s">
        <v>187</v>
      </c>
      <c r="AS55" s="90">
        <v>0</v>
      </c>
      <c r="AT55" s="90">
        <v>0</v>
      </c>
      <c r="AU55" s="90"/>
      <c r="AV55" s="90"/>
      <c r="AW55" s="90"/>
      <c r="AX55" s="90"/>
      <c r="AY55" s="90"/>
      <c r="AZ55" s="90"/>
      <c r="BA55" s="90"/>
      <c r="BB55" s="90"/>
      <c r="BC55" s="90">
        <v>1</v>
      </c>
      <c r="BD55" s="89" t="str">
        <f>REPLACE(INDEX(GroupVertices[Group],MATCH(Edges[[#This Row],[Vertex 1]],GroupVertices[Vertex],0)),1,1,"")</f>
        <v>1</v>
      </c>
      <c r="BE55" s="89" t="str">
        <f>REPLACE(INDEX(GroupVertices[Group],MATCH(Edges[[#This Row],[Vertex 2]],GroupVertices[Vertex],0)),1,1,"")</f>
        <v>1</v>
      </c>
      <c r="BF55" s="49">
        <v>1</v>
      </c>
      <c r="BG55" s="50">
        <v>5.2631578947368425</v>
      </c>
      <c r="BH55" s="49">
        <v>0</v>
      </c>
      <c r="BI55" s="50">
        <v>0</v>
      </c>
      <c r="BJ55" s="49">
        <v>0</v>
      </c>
      <c r="BK55" s="50">
        <v>0</v>
      </c>
      <c r="BL55" s="49">
        <v>18</v>
      </c>
      <c r="BM55" s="50">
        <v>94.73684210526316</v>
      </c>
      <c r="BN55" s="49">
        <v>19</v>
      </c>
    </row>
    <row r="56" spans="1:66" ht="15">
      <c r="A56" s="66" t="s">
        <v>245</v>
      </c>
      <c r="B56" s="66" t="s">
        <v>299</v>
      </c>
      <c r="C56" s="67" t="s">
        <v>2108</v>
      </c>
      <c r="D56" s="68">
        <v>1</v>
      </c>
      <c r="E56" s="69" t="s">
        <v>132</v>
      </c>
      <c r="F56" s="70">
        <v>32</v>
      </c>
      <c r="G56" s="67" t="s">
        <v>51</v>
      </c>
      <c r="H56" s="71"/>
      <c r="I56" s="72"/>
      <c r="J56" s="72"/>
      <c r="K56" s="35" t="s">
        <v>65</v>
      </c>
      <c r="L56" s="79">
        <v>56</v>
      </c>
      <c r="M56" s="79"/>
      <c r="N56" s="74"/>
      <c r="O56" s="90" t="s">
        <v>306</v>
      </c>
      <c r="P56" s="93">
        <v>44483.344363425924</v>
      </c>
      <c r="Q56" s="90" t="s">
        <v>310</v>
      </c>
      <c r="R56" s="96" t="str">
        <f>HYPERLINK("https://talouskurssi.fi/")</f>
        <v>https://talouskurssi.fi/</v>
      </c>
      <c r="S56" s="90" t="s">
        <v>334</v>
      </c>
      <c r="T56" s="99" t="s">
        <v>338</v>
      </c>
      <c r="U56" s="96" t="str">
        <f>HYPERLINK("https://pbs.twimg.com/ext_tw_video_thumb/1448527896562348036/pu/img/0PqSbNMaXHvzKHCc.jpg")</f>
        <v>https://pbs.twimg.com/ext_tw_video_thumb/1448527896562348036/pu/img/0PqSbNMaXHvzKHCc.jpg</v>
      </c>
      <c r="V56" s="96" t="str">
        <f>HYPERLINK("https://pbs.twimg.com/ext_tw_video_thumb/1448527896562348036/pu/img/0PqSbNMaXHvzKHCc.jpg")</f>
        <v>https://pbs.twimg.com/ext_tw_video_thumb/1448527896562348036/pu/img/0PqSbNMaXHvzKHCc.jpg</v>
      </c>
      <c r="W56" s="93">
        <v>44483.344363425924</v>
      </c>
      <c r="X56" s="102">
        <v>44483</v>
      </c>
      <c r="Y56" s="99" t="s">
        <v>366</v>
      </c>
      <c r="Z56" s="96" t="str">
        <f>HYPERLINK("https://twitter.com/kaisaahonen/status/1448563196328128515")</f>
        <v>https://twitter.com/kaisaahonen/status/1448563196328128515</v>
      </c>
      <c r="AA56" s="90"/>
      <c r="AB56" s="90"/>
      <c r="AC56" s="99" t="s">
        <v>460</v>
      </c>
      <c r="AD56" s="90"/>
      <c r="AE56" s="90" t="b">
        <v>0</v>
      </c>
      <c r="AF56" s="90">
        <v>0</v>
      </c>
      <c r="AG56" s="99" t="s">
        <v>535</v>
      </c>
      <c r="AH56" s="90" t="b">
        <v>0</v>
      </c>
      <c r="AI56" s="90" t="s">
        <v>537</v>
      </c>
      <c r="AJ56" s="90"/>
      <c r="AK56" s="99" t="s">
        <v>535</v>
      </c>
      <c r="AL56" s="90" t="b">
        <v>0</v>
      </c>
      <c r="AM56" s="90">
        <v>52</v>
      </c>
      <c r="AN56" s="99" t="s">
        <v>526</v>
      </c>
      <c r="AO56" s="99" t="s">
        <v>545</v>
      </c>
      <c r="AP56" s="90" t="b">
        <v>0</v>
      </c>
      <c r="AQ56" s="99" t="s">
        <v>526</v>
      </c>
      <c r="AR56" s="90" t="s">
        <v>187</v>
      </c>
      <c r="AS56" s="90">
        <v>0</v>
      </c>
      <c r="AT56" s="90">
        <v>0</v>
      </c>
      <c r="AU56" s="90"/>
      <c r="AV56" s="90"/>
      <c r="AW56" s="90"/>
      <c r="AX56" s="90"/>
      <c r="AY56" s="90"/>
      <c r="AZ56" s="90"/>
      <c r="BA56" s="90"/>
      <c r="BB56" s="90"/>
      <c r="BC56" s="90">
        <v>1</v>
      </c>
      <c r="BD56" s="89" t="str">
        <f>REPLACE(INDEX(GroupVertices[Group],MATCH(Edges[[#This Row],[Vertex 1]],GroupVertices[Vertex],0)),1,1,"")</f>
        <v>1</v>
      </c>
      <c r="BE56" s="89" t="str">
        <f>REPLACE(INDEX(GroupVertices[Group],MATCH(Edges[[#This Row],[Vertex 2]],GroupVertices[Vertex],0)),1,1,"")</f>
        <v>1</v>
      </c>
      <c r="BF56" s="49"/>
      <c r="BG56" s="50"/>
      <c r="BH56" s="49"/>
      <c r="BI56" s="50"/>
      <c r="BJ56" s="49"/>
      <c r="BK56" s="50"/>
      <c r="BL56" s="49"/>
      <c r="BM56" s="50"/>
      <c r="BN56" s="49"/>
    </row>
    <row r="57" spans="1:66" ht="15">
      <c r="A57" s="66" t="s">
        <v>245</v>
      </c>
      <c r="B57" s="66" t="s">
        <v>302</v>
      </c>
      <c r="C57" s="67" t="s">
        <v>2108</v>
      </c>
      <c r="D57" s="68">
        <v>1</v>
      </c>
      <c r="E57" s="69" t="s">
        <v>132</v>
      </c>
      <c r="F57" s="70">
        <v>32</v>
      </c>
      <c r="G57" s="67" t="s">
        <v>51</v>
      </c>
      <c r="H57" s="71"/>
      <c r="I57" s="72"/>
      <c r="J57" s="72"/>
      <c r="K57" s="35" t="s">
        <v>65</v>
      </c>
      <c r="L57" s="79">
        <v>57</v>
      </c>
      <c r="M57" s="79"/>
      <c r="N57" s="74"/>
      <c r="O57" s="90" t="s">
        <v>306</v>
      </c>
      <c r="P57" s="93">
        <v>44483.344363425924</v>
      </c>
      <c r="Q57" s="90" t="s">
        <v>310</v>
      </c>
      <c r="R57" s="96" t="str">
        <f>HYPERLINK("https://talouskurssi.fi/")</f>
        <v>https://talouskurssi.fi/</v>
      </c>
      <c r="S57" s="90" t="s">
        <v>334</v>
      </c>
      <c r="T57" s="99" t="s">
        <v>338</v>
      </c>
      <c r="U57" s="96" t="str">
        <f>HYPERLINK("https://pbs.twimg.com/ext_tw_video_thumb/1448527896562348036/pu/img/0PqSbNMaXHvzKHCc.jpg")</f>
        <v>https://pbs.twimg.com/ext_tw_video_thumb/1448527896562348036/pu/img/0PqSbNMaXHvzKHCc.jpg</v>
      </c>
      <c r="V57" s="96" t="str">
        <f>HYPERLINK("https://pbs.twimg.com/ext_tw_video_thumb/1448527896562348036/pu/img/0PqSbNMaXHvzKHCc.jpg")</f>
        <v>https://pbs.twimg.com/ext_tw_video_thumb/1448527896562348036/pu/img/0PqSbNMaXHvzKHCc.jpg</v>
      </c>
      <c r="W57" s="93">
        <v>44483.344363425924</v>
      </c>
      <c r="X57" s="102">
        <v>44483</v>
      </c>
      <c r="Y57" s="99" t="s">
        <v>366</v>
      </c>
      <c r="Z57" s="96" t="str">
        <f>HYPERLINK("https://twitter.com/kaisaahonen/status/1448563196328128515")</f>
        <v>https://twitter.com/kaisaahonen/status/1448563196328128515</v>
      </c>
      <c r="AA57" s="90"/>
      <c r="AB57" s="90"/>
      <c r="AC57" s="99" t="s">
        <v>460</v>
      </c>
      <c r="AD57" s="90"/>
      <c r="AE57" s="90" t="b">
        <v>0</v>
      </c>
      <c r="AF57" s="90">
        <v>0</v>
      </c>
      <c r="AG57" s="99" t="s">
        <v>535</v>
      </c>
      <c r="AH57" s="90" t="b">
        <v>0</v>
      </c>
      <c r="AI57" s="90" t="s">
        <v>537</v>
      </c>
      <c r="AJ57" s="90"/>
      <c r="AK57" s="99" t="s">
        <v>535</v>
      </c>
      <c r="AL57" s="90" t="b">
        <v>0</v>
      </c>
      <c r="AM57" s="90">
        <v>52</v>
      </c>
      <c r="AN57" s="99" t="s">
        <v>526</v>
      </c>
      <c r="AO57" s="99" t="s">
        <v>545</v>
      </c>
      <c r="AP57" s="90" t="b">
        <v>0</v>
      </c>
      <c r="AQ57" s="99" t="s">
        <v>526</v>
      </c>
      <c r="AR57" s="90" t="s">
        <v>187</v>
      </c>
      <c r="AS57" s="90">
        <v>0</v>
      </c>
      <c r="AT57" s="90">
        <v>0</v>
      </c>
      <c r="AU57" s="90"/>
      <c r="AV57" s="90"/>
      <c r="AW57" s="90"/>
      <c r="AX57" s="90"/>
      <c r="AY57" s="90"/>
      <c r="AZ57" s="90"/>
      <c r="BA57" s="90"/>
      <c r="BB57" s="90"/>
      <c r="BC57" s="90">
        <v>1</v>
      </c>
      <c r="BD57" s="89" t="str">
        <f>REPLACE(INDEX(GroupVertices[Group],MATCH(Edges[[#This Row],[Vertex 1]],GroupVertices[Vertex],0)),1,1,"")</f>
        <v>1</v>
      </c>
      <c r="BE57" s="89" t="str">
        <f>REPLACE(INDEX(GroupVertices[Group],MATCH(Edges[[#This Row],[Vertex 2]],GroupVertices[Vertex],0)),1,1,"")</f>
        <v>1</v>
      </c>
      <c r="BF57" s="49"/>
      <c r="BG57" s="50"/>
      <c r="BH57" s="49"/>
      <c r="BI57" s="50"/>
      <c r="BJ57" s="49"/>
      <c r="BK57" s="50"/>
      <c r="BL57" s="49"/>
      <c r="BM57" s="50"/>
      <c r="BN57" s="49"/>
    </row>
    <row r="58" spans="1:66" ht="15">
      <c r="A58" s="66" t="s">
        <v>245</v>
      </c>
      <c r="B58" s="66" t="s">
        <v>293</v>
      </c>
      <c r="C58" s="67" t="s">
        <v>2108</v>
      </c>
      <c r="D58" s="68">
        <v>1</v>
      </c>
      <c r="E58" s="69" t="s">
        <v>132</v>
      </c>
      <c r="F58" s="70">
        <v>32</v>
      </c>
      <c r="G58" s="67" t="s">
        <v>51</v>
      </c>
      <c r="H58" s="71"/>
      <c r="I58" s="72"/>
      <c r="J58" s="72"/>
      <c r="K58" s="35" t="s">
        <v>65</v>
      </c>
      <c r="L58" s="79">
        <v>58</v>
      </c>
      <c r="M58" s="79"/>
      <c r="N58" s="74"/>
      <c r="O58" s="90" t="s">
        <v>305</v>
      </c>
      <c r="P58" s="93">
        <v>44483.344363425924</v>
      </c>
      <c r="Q58" s="90" t="s">
        <v>310</v>
      </c>
      <c r="R58" s="96" t="str">
        <f>HYPERLINK("https://talouskurssi.fi/")</f>
        <v>https://talouskurssi.fi/</v>
      </c>
      <c r="S58" s="90" t="s">
        <v>334</v>
      </c>
      <c r="T58" s="99" t="s">
        <v>338</v>
      </c>
      <c r="U58" s="96" t="str">
        <f>HYPERLINK("https://pbs.twimg.com/ext_tw_video_thumb/1448527896562348036/pu/img/0PqSbNMaXHvzKHCc.jpg")</f>
        <v>https://pbs.twimg.com/ext_tw_video_thumb/1448527896562348036/pu/img/0PqSbNMaXHvzKHCc.jpg</v>
      </c>
      <c r="V58" s="96" t="str">
        <f>HYPERLINK("https://pbs.twimg.com/ext_tw_video_thumb/1448527896562348036/pu/img/0PqSbNMaXHvzKHCc.jpg")</f>
        <v>https://pbs.twimg.com/ext_tw_video_thumb/1448527896562348036/pu/img/0PqSbNMaXHvzKHCc.jpg</v>
      </c>
      <c r="W58" s="93">
        <v>44483.344363425924</v>
      </c>
      <c r="X58" s="102">
        <v>44483</v>
      </c>
      <c r="Y58" s="99" t="s">
        <v>366</v>
      </c>
      <c r="Z58" s="96" t="str">
        <f>HYPERLINK("https://twitter.com/kaisaahonen/status/1448563196328128515")</f>
        <v>https://twitter.com/kaisaahonen/status/1448563196328128515</v>
      </c>
      <c r="AA58" s="90"/>
      <c r="AB58" s="90"/>
      <c r="AC58" s="99" t="s">
        <v>460</v>
      </c>
      <c r="AD58" s="90"/>
      <c r="AE58" s="90" t="b">
        <v>0</v>
      </c>
      <c r="AF58" s="90">
        <v>0</v>
      </c>
      <c r="AG58" s="99" t="s">
        <v>535</v>
      </c>
      <c r="AH58" s="90" t="b">
        <v>0</v>
      </c>
      <c r="AI58" s="90" t="s">
        <v>537</v>
      </c>
      <c r="AJ58" s="90"/>
      <c r="AK58" s="99" t="s">
        <v>535</v>
      </c>
      <c r="AL58" s="90" t="b">
        <v>0</v>
      </c>
      <c r="AM58" s="90">
        <v>52</v>
      </c>
      <c r="AN58" s="99" t="s">
        <v>526</v>
      </c>
      <c r="AO58" s="99" t="s">
        <v>545</v>
      </c>
      <c r="AP58" s="90" t="b">
        <v>0</v>
      </c>
      <c r="AQ58" s="99" t="s">
        <v>526</v>
      </c>
      <c r="AR58" s="90" t="s">
        <v>187</v>
      </c>
      <c r="AS58" s="90">
        <v>0</v>
      </c>
      <c r="AT58" s="90">
        <v>0</v>
      </c>
      <c r="AU58" s="90"/>
      <c r="AV58" s="90"/>
      <c r="AW58" s="90"/>
      <c r="AX58" s="90"/>
      <c r="AY58" s="90"/>
      <c r="AZ58" s="90"/>
      <c r="BA58" s="90"/>
      <c r="BB58" s="90"/>
      <c r="BC58" s="90">
        <v>1</v>
      </c>
      <c r="BD58" s="89" t="str">
        <f>REPLACE(INDEX(GroupVertices[Group],MATCH(Edges[[#This Row],[Vertex 1]],GroupVertices[Vertex],0)),1,1,"")</f>
        <v>1</v>
      </c>
      <c r="BE58" s="89" t="str">
        <f>REPLACE(INDEX(GroupVertices[Group],MATCH(Edges[[#This Row],[Vertex 2]],GroupVertices[Vertex],0)),1,1,"")</f>
        <v>3</v>
      </c>
      <c r="BF58" s="49">
        <v>0</v>
      </c>
      <c r="BG58" s="50">
        <v>0</v>
      </c>
      <c r="BH58" s="49">
        <v>0</v>
      </c>
      <c r="BI58" s="50">
        <v>0</v>
      </c>
      <c r="BJ58" s="49">
        <v>0</v>
      </c>
      <c r="BK58" s="50">
        <v>0</v>
      </c>
      <c r="BL58" s="49">
        <v>28</v>
      </c>
      <c r="BM58" s="50">
        <v>100</v>
      </c>
      <c r="BN58" s="49">
        <v>28</v>
      </c>
    </row>
    <row r="59" spans="1:66" ht="15">
      <c r="A59" s="66" t="s">
        <v>246</v>
      </c>
      <c r="B59" s="66" t="s">
        <v>303</v>
      </c>
      <c r="C59" s="67" t="s">
        <v>2108</v>
      </c>
      <c r="D59" s="68">
        <v>1</v>
      </c>
      <c r="E59" s="69" t="s">
        <v>132</v>
      </c>
      <c r="F59" s="70">
        <v>32</v>
      </c>
      <c r="G59" s="67" t="s">
        <v>51</v>
      </c>
      <c r="H59" s="71"/>
      <c r="I59" s="72"/>
      <c r="J59" s="72"/>
      <c r="K59" s="35" t="s">
        <v>65</v>
      </c>
      <c r="L59" s="79">
        <v>59</v>
      </c>
      <c r="M59" s="79"/>
      <c r="N59" s="74"/>
      <c r="O59" s="90" t="s">
        <v>306</v>
      </c>
      <c r="P59" s="93">
        <v>44483.34869212963</v>
      </c>
      <c r="Q59" s="90" t="s">
        <v>314</v>
      </c>
      <c r="R59" s="90"/>
      <c r="S59" s="90"/>
      <c r="T59" s="99" t="s">
        <v>338</v>
      </c>
      <c r="U59" s="96" t="str">
        <f>HYPERLINK("https://pbs.twimg.com/media/FBpVUeuWUAAiBrw.jpg")</f>
        <v>https://pbs.twimg.com/media/FBpVUeuWUAAiBrw.jpg</v>
      </c>
      <c r="V59" s="96" t="str">
        <f>HYPERLINK("https://pbs.twimg.com/media/FBpVUeuWUAAiBrw.jpg")</f>
        <v>https://pbs.twimg.com/media/FBpVUeuWUAAiBrw.jpg</v>
      </c>
      <c r="W59" s="93">
        <v>44483.34869212963</v>
      </c>
      <c r="X59" s="102">
        <v>44483</v>
      </c>
      <c r="Y59" s="99" t="s">
        <v>367</v>
      </c>
      <c r="Z59" s="96" t="str">
        <f>HYPERLINK("https://twitter.com/nikumaattanen/status/1448564762288271361")</f>
        <v>https://twitter.com/nikumaattanen/status/1448564762288271361</v>
      </c>
      <c r="AA59" s="90"/>
      <c r="AB59" s="90"/>
      <c r="AC59" s="99" t="s">
        <v>461</v>
      </c>
      <c r="AD59" s="90"/>
      <c r="AE59" s="90" t="b">
        <v>0</v>
      </c>
      <c r="AF59" s="90">
        <v>0</v>
      </c>
      <c r="AG59" s="99" t="s">
        <v>535</v>
      </c>
      <c r="AH59" s="90" t="b">
        <v>0</v>
      </c>
      <c r="AI59" s="90" t="s">
        <v>537</v>
      </c>
      <c r="AJ59" s="90"/>
      <c r="AK59" s="99" t="s">
        <v>535</v>
      </c>
      <c r="AL59" s="90" t="b">
        <v>0</v>
      </c>
      <c r="AM59" s="90">
        <v>5</v>
      </c>
      <c r="AN59" s="99" t="s">
        <v>517</v>
      </c>
      <c r="AO59" s="99" t="s">
        <v>545</v>
      </c>
      <c r="AP59" s="90" t="b">
        <v>0</v>
      </c>
      <c r="AQ59" s="99" t="s">
        <v>517</v>
      </c>
      <c r="AR59" s="90" t="s">
        <v>187</v>
      </c>
      <c r="AS59" s="90">
        <v>0</v>
      </c>
      <c r="AT59" s="90">
        <v>0</v>
      </c>
      <c r="AU59" s="90"/>
      <c r="AV59" s="90"/>
      <c r="AW59" s="90"/>
      <c r="AX59" s="90"/>
      <c r="AY59" s="90"/>
      <c r="AZ59" s="90"/>
      <c r="BA59" s="90"/>
      <c r="BB59" s="90"/>
      <c r="BC59" s="90">
        <v>1</v>
      </c>
      <c r="BD59" s="89" t="str">
        <f>REPLACE(INDEX(GroupVertices[Group],MATCH(Edges[[#This Row],[Vertex 1]],GroupVertices[Vertex],0)),1,1,"")</f>
        <v>3</v>
      </c>
      <c r="BE59" s="89" t="str">
        <f>REPLACE(INDEX(GroupVertices[Group],MATCH(Edges[[#This Row],[Vertex 2]],GroupVertices[Vertex],0)),1,1,"")</f>
        <v>3</v>
      </c>
      <c r="BF59" s="49">
        <v>0</v>
      </c>
      <c r="BG59" s="50">
        <v>0</v>
      </c>
      <c r="BH59" s="49">
        <v>0</v>
      </c>
      <c r="BI59" s="50">
        <v>0</v>
      </c>
      <c r="BJ59" s="49">
        <v>0</v>
      </c>
      <c r="BK59" s="50">
        <v>0</v>
      </c>
      <c r="BL59" s="49">
        <v>17</v>
      </c>
      <c r="BM59" s="50">
        <v>100</v>
      </c>
      <c r="BN59" s="49">
        <v>17</v>
      </c>
    </row>
    <row r="60" spans="1:66" ht="15">
      <c r="A60" s="66" t="s">
        <v>246</v>
      </c>
      <c r="B60" s="66" t="s">
        <v>293</v>
      </c>
      <c r="C60" s="67" t="s">
        <v>2108</v>
      </c>
      <c r="D60" s="68">
        <v>1</v>
      </c>
      <c r="E60" s="69" t="s">
        <v>132</v>
      </c>
      <c r="F60" s="70">
        <v>32</v>
      </c>
      <c r="G60" s="67" t="s">
        <v>51</v>
      </c>
      <c r="H60" s="71"/>
      <c r="I60" s="72"/>
      <c r="J60" s="72"/>
      <c r="K60" s="35" t="s">
        <v>65</v>
      </c>
      <c r="L60" s="79">
        <v>60</v>
      </c>
      <c r="M60" s="79"/>
      <c r="N60" s="74"/>
      <c r="O60" s="90" t="s">
        <v>305</v>
      </c>
      <c r="P60" s="93">
        <v>44483.34869212963</v>
      </c>
      <c r="Q60" s="90" t="s">
        <v>314</v>
      </c>
      <c r="R60" s="90"/>
      <c r="S60" s="90"/>
      <c r="T60" s="99" t="s">
        <v>338</v>
      </c>
      <c r="U60" s="96" t="str">
        <f>HYPERLINK("https://pbs.twimg.com/media/FBpVUeuWUAAiBrw.jpg")</f>
        <v>https://pbs.twimg.com/media/FBpVUeuWUAAiBrw.jpg</v>
      </c>
      <c r="V60" s="96" t="str">
        <f>HYPERLINK("https://pbs.twimg.com/media/FBpVUeuWUAAiBrw.jpg")</f>
        <v>https://pbs.twimg.com/media/FBpVUeuWUAAiBrw.jpg</v>
      </c>
      <c r="W60" s="93">
        <v>44483.34869212963</v>
      </c>
      <c r="X60" s="102">
        <v>44483</v>
      </c>
      <c r="Y60" s="99" t="s">
        <v>367</v>
      </c>
      <c r="Z60" s="96" t="str">
        <f>HYPERLINK("https://twitter.com/nikumaattanen/status/1448564762288271361")</f>
        <v>https://twitter.com/nikumaattanen/status/1448564762288271361</v>
      </c>
      <c r="AA60" s="90"/>
      <c r="AB60" s="90"/>
      <c r="AC60" s="99" t="s">
        <v>461</v>
      </c>
      <c r="AD60" s="90"/>
      <c r="AE60" s="90" t="b">
        <v>0</v>
      </c>
      <c r="AF60" s="90">
        <v>0</v>
      </c>
      <c r="AG60" s="99" t="s">
        <v>535</v>
      </c>
      <c r="AH60" s="90" t="b">
        <v>0</v>
      </c>
      <c r="AI60" s="90" t="s">
        <v>537</v>
      </c>
      <c r="AJ60" s="90"/>
      <c r="AK60" s="99" t="s">
        <v>535</v>
      </c>
      <c r="AL60" s="90" t="b">
        <v>0</v>
      </c>
      <c r="AM60" s="90">
        <v>5</v>
      </c>
      <c r="AN60" s="99" t="s">
        <v>517</v>
      </c>
      <c r="AO60" s="99" t="s">
        <v>545</v>
      </c>
      <c r="AP60" s="90" t="b">
        <v>0</v>
      </c>
      <c r="AQ60" s="99" t="s">
        <v>517</v>
      </c>
      <c r="AR60" s="90" t="s">
        <v>187</v>
      </c>
      <c r="AS60" s="90">
        <v>0</v>
      </c>
      <c r="AT60" s="90">
        <v>0</v>
      </c>
      <c r="AU60" s="90"/>
      <c r="AV60" s="90"/>
      <c r="AW60" s="90"/>
      <c r="AX60" s="90"/>
      <c r="AY60" s="90"/>
      <c r="AZ60" s="90"/>
      <c r="BA60" s="90"/>
      <c r="BB60" s="90"/>
      <c r="BC60" s="90">
        <v>1</v>
      </c>
      <c r="BD60" s="89" t="str">
        <f>REPLACE(INDEX(GroupVertices[Group],MATCH(Edges[[#This Row],[Vertex 1]],GroupVertices[Vertex],0)),1,1,"")</f>
        <v>3</v>
      </c>
      <c r="BE60" s="89" t="str">
        <f>REPLACE(INDEX(GroupVertices[Group],MATCH(Edges[[#This Row],[Vertex 2]],GroupVertices[Vertex],0)),1,1,"")</f>
        <v>3</v>
      </c>
      <c r="BF60" s="49"/>
      <c r="BG60" s="50"/>
      <c r="BH60" s="49"/>
      <c r="BI60" s="50"/>
      <c r="BJ60" s="49"/>
      <c r="BK60" s="50"/>
      <c r="BL60" s="49"/>
      <c r="BM60" s="50"/>
      <c r="BN60" s="49"/>
    </row>
    <row r="61" spans="1:66" ht="15">
      <c r="A61" s="66" t="s">
        <v>247</v>
      </c>
      <c r="B61" s="66" t="s">
        <v>299</v>
      </c>
      <c r="C61" s="67" t="s">
        <v>2108</v>
      </c>
      <c r="D61" s="68">
        <v>1</v>
      </c>
      <c r="E61" s="69" t="s">
        <v>132</v>
      </c>
      <c r="F61" s="70">
        <v>32</v>
      </c>
      <c r="G61" s="67" t="s">
        <v>51</v>
      </c>
      <c r="H61" s="71"/>
      <c r="I61" s="72"/>
      <c r="J61" s="72"/>
      <c r="K61" s="35" t="s">
        <v>65</v>
      </c>
      <c r="L61" s="79">
        <v>61</v>
      </c>
      <c r="M61" s="79"/>
      <c r="N61" s="74"/>
      <c r="O61" s="90" t="s">
        <v>306</v>
      </c>
      <c r="P61" s="93">
        <v>44483.3521875</v>
      </c>
      <c r="Q61" s="90" t="s">
        <v>310</v>
      </c>
      <c r="R61" s="96" t="str">
        <f>HYPERLINK("https://talouskurssi.fi/")</f>
        <v>https://talouskurssi.fi/</v>
      </c>
      <c r="S61" s="90" t="s">
        <v>334</v>
      </c>
      <c r="T61" s="99" t="s">
        <v>338</v>
      </c>
      <c r="U61" s="96" t="str">
        <f>HYPERLINK("https://pbs.twimg.com/ext_tw_video_thumb/1448527896562348036/pu/img/0PqSbNMaXHvzKHCc.jpg")</f>
        <v>https://pbs.twimg.com/ext_tw_video_thumb/1448527896562348036/pu/img/0PqSbNMaXHvzKHCc.jpg</v>
      </c>
      <c r="V61" s="96" t="str">
        <f>HYPERLINK("https://pbs.twimg.com/ext_tw_video_thumb/1448527896562348036/pu/img/0PqSbNMaXHvzKHCc.jpg")</f>
        <v>https://pbs.twimg.com/ext_tw_video_thumb/1448527896562348036/pu/img/0PqSbNMaXHvzKHCc.jpg</v>
      </c>
      <c r="W61" s="93">
        <v>44483.3521875</v>
      </c>
      <c r="X61" s="102">
        <v>44483</v>
      </c>
      <c r="Y61" s="99" t="s">
        <v>368</v>
      </c>
      <c r="Z61" s="96" t="str">
        <f>HYPERLINK("https://twitter.com/avaattanen/status/1448566032696807427")</f>
        <v>https://twitter.com/avaattanen/status/1448566032696807427</v>
      </c>
      <c r="AA61" s="90"/>
      <c r="AB61" s="90"/>
      <c r="AC61" s="99" t="s">
        <v>462</v>
      </c>
      <c r="AD61" s="90"/>
      <c r="AE61" s="90" t="b">
        <v>0</v>
      </c>
      <c r="AF61" s="90">
        <v>0</v>
      </c>
      <c r="AG61" s="99" t="s">
        <v>535</v>
      </c>
      <c r="AH61" s="90" t="b">
        <v>0</v>
      </c>
      <c r="AI61" s="90" t="s">
        <v>537</v>
      </c>
      <c r="AJ61" s="90"/>
      <c r="AK61" s="99" t="s">
        <v>535</v>
      </c>
      <c r="AL61" s="90" t="b">
        <v>0</v>
      </c>
      <c r="AM61" s="90">
        <v>52</v>
      </c>
      <c r="AN61" s="99" t="s">
        <v>526</v>
      </c>
      <c r="AO61" s="99" t="s">
        <v>543</v>
      </c>
      <c r="AP61" s="90" t="b">
        <v>0</v>
      </c>
      <c r="AQ61" s="99" t="s">
        <v>526</v>
      </c>
      <c r="AR61" s="90" t="s">
        <v>187</v>
      </c>
      <c r="AS61" s="90">
        <v>0</v>
      </c>
      <c r="AT61" s="90">
        <v>0</v>
      </c>
      <c r="AU61" s="90"/>
      <c r="AV61" s="90"/>
      <c r="AW61" s="90"/>
      <c r="AX61" s="90"/>
      <c r="AY61" s="90"/>
      <c r="AZ61" s="90"/>
      <c r="BA61" s="90"/>
      <c r="BB61" s="90"/>
      <c r="BC61" s="90">
        <v>1</v>
      </c>
      <c r="BD61" s="89" t="str">
        <f>REPLACE(INDEX(GroupVertices[Group],MATCH(Edges[[#This Row],[Vertex 1]],GroupVertices[Vertex],0)),1,1,"")</f>
        <v>1</v>
      </c>
      <c r="BE61" s="89" t="str">
        <f>REPLACE(INDEX(GroupVertices[Group],MATCH(Edges[[#This Row],[Vertex 2]],GroupVertices[Vertex],0)),1,1,"")</f>
        <v>1</v>
      </c>
      <c r="BF61" s="49"/>
      <c r="BG61" s="50"/>
      <c r="BH61" s="49"/>
      <c r="BI61" s="50"/>
      <c r="BJ61" s="49"/>
      <c r="BK61" s="50"/>
      <c r="BL61" s="49"/>
      <c r="BM61" s="50"/>
      <c r="BN61" s="49"/>
    </row>
    <row r="62" spans="1:66" ht="15">
      <c r="A62" s="66" t="s">
        <v>247</v>
      </c>
      <c r="B62" s="66" t="s">
        <v>302</v>
      </c>
      <c r="C62" s="67" t="s">
        <v>2108</v>
      </c>
      <c r="D62" s="68">
        <v>1</v>
      </c>
      <c r="E62" s="69" t="s">
        <v>132</v>
      </c>
      <c r="F62" s="70">
        <v>32</v>
      </c>
      <c r="G62" s="67" t="s">
        <v>51</v>
      </c>
      <c r="H62" s="71"/>
      <c r="I62" s="72"/>
      <c r="J62" s="72"/>
      <c r="K62" s="35" t="s">
        <v>65</v>
      </c>
      <c r="L62" s="79">
        <v>62</v>
      </c>
      <c r="M62" s="79"/>
      <c r="N62" s="74"/>
      <c r="O62" s="90" t="s">
        <v>306</v>
      </c>
      <c r="P62" s="93">
        <v>44483.3521875</v>
      </c>
      <c r="Q62" s="90" t="s">
        <v>310</v>
      </c>
      <c r="R62" s="96" t="str">
        <f>HYPERLINK("https://talouskurssi.fi/")</f>
        <v>https://talouskurssi.fi/</v>
      </c>
      <c r="S62" s="90" t="s">
        <v>334</v>
      </c>
      <c r="T62" s="99" t="s">
        <v>338</v>
      </c>
      <c r="U62" s="96" t="str">
        <f>HYPERLINK("https://pbs.twimg.com/ext_tw_video_thumb/1448527896562348036/pu/img/0PqSbNMaXHvzKHCc.jpg")</f>
        <v>https://pbs.twimg.com/ext_tw_video_thumb/1448527896562348036/pu/img/0PqSbNMaXHvzKHCc.jpg</v>
      </c>
      <c r="V62" s="96" t="str">
        <f>HYPERLINK("https://pbs.twimg.com/ext_tw_video_thumb/1448527896562348036/pu/img/0PqSbNMaXHvzKHCc.jpg")</f>
        <v>https://pbs.twimg.com/ext_tw_video_thumb/1448527896562348036/pu/img/0PqSbNMaXHvzKHCc.jpg</v>
      </c>
      <c r="W62" s="93">
        <v>44483.3521875</v>
      </c>
      <c r="X62" s="102">
        <v>44483</v>
      </c>
      <c r="Y62" s="99" t="s">
        <v>368</v>
      </c>
      <c r="Z62" s="96" t="str">
        <f>HYPERLINK("https://twitter.com/avaattanen/status/1448566032696807427")</f>
        <v>https://twitter.com/avaattanen/status/1448566032696807427</v>
      </c>
      <c r="AA62" s="90"/>
      <c r="AB62" s="90"/>
      <c r="AC62" s="99" t="s">
        <v>462</v>
      </c>
      <c r="AD62" s="90"/>
      <c r="AE62" s="90" t="b">
        <v>0</v>
      </c>
      <c r="AF62" s="90">
        <v>0</v>
      </c>
      <c r="AG62" s="99" t="s">
        <v>535</v>
      </c>
      <c r="AH62" s="90" t="b">
        <v>0</v>
      </c>
      <c r="AI62" s="90" t="s">
        <v>537</v>
      </c>
      <c r="AJ62" s="90"/>
      <c r="AK62" s="99" t="s">
        <v>535</v>
      </c>
      <c r="AL62" s="90" t="b">
        <v>0</v>
      </c>
      <c r="AM62" s="90">
        <v>52</v>
      </c>
      <c r="AN62" s="99" t="s">
        <v>526</v>
      </c>
      <c r="AO62" s="99" t="s">
        <v>543</v>
      </c>
      <c r="AP62" s="90" t="b">
        <v>0</v>
      </c>
      <c r="AQ62" s="99" t="s">
        <v>526</v>
      </c>
      <c r="AR62" s="90" t="s">
        <v>187</v>
      </c>
      <c r="AS62" s="90">
        <v>0</v>
      </c>
      <c r="AT62" s="90">
        <v>0</v>
      </c>
      <c r="AU62" s="90"/>
      <c r="AV62" s="90"/>
      <c r="AW62" s="90"/>
      <c r="AX62" s="90"/>
      <c r="AY62" s="90"/>
      <c r="AZ62" s="90"/>
      <c r="BA62" s="90"/>
      <c r="BB62" s="90"/>
      <c r="BC62" s="90">
        <v>1</v>
      </c>
      <c r="BD62" s="89" t="str">
        <f>REPLACE(INDEX(GroupVertices[Group],MATCH(Edges[[#This Row],[Vertex 1]],GroupVertices[Vertex],0)),1,1,"")</f>
        <v>1</v>
      </c>
      <c r="BE62" s="89" t="str">
        <f>REPLACE(INDEX(GroupVertices[Group],MATCH(Edges[[#This Row],[Vertex 2]],GroupVertices[Vertex],0)),1,1,"")</f>
        <v>1</v>
      </c>
      <c r="BF62" s="49"/>
      <c r="BG62" s="50"/>
      <c r="BH62" s="49"/>
      <c r="BI62" s="50"/>
      <c r="BJ62" s="49"/>
      <c r="BK62" s="50"/>
      <c r="BL62" s="49"/>
      <c r="BM62" s="50"/>
      <c r="BN62" s="49"/>
    </row>
    <row r="63" spans="1:66" ht="15">
      <c r="A63" s="66" t="s">
        <v>247</v>
      </c>
      <c r="B63" s="66" t="s">
        <v>293</v>
      </c>
      <c r="C63" s="67" t="s">
        <v>2108</v>
      </c>
      <c r="D63" s="68">
        <v>1</v>
      </c>
      <c r="E63" s="69" t="s">
        <v>132</v>
      </c>
      <c r="F63" s="70">
        <v>32</v>
      </c>
      <c r="G63" s="67" t="s">
        <v>51</v>
      </c>
      <c r="H63" s="71"/>
      <c r="I63" s="72"/>
      <c r="J63" s="72"/>
      <c r="K63" s="35" t="s">
        <v>65</v>
      </c>
      <c r="L63" s="79">
        <v>63</v>
      </c>
      <c r="M63" s="79"/>
      <c r="N63" s="74"/>
      <c r="O63" s="90" t="s">
        <v>305</v>
      </c>
      <c r="P63" s="93">
        <v>44483.3521875</v>
      </c>
      <c r="Q63" s="90" t="s">
        <v>310</v>
      </c>
      <c r="R63" s="96" t="str">
        <f>HYPERLINK("https://talouskurssi.fi/")</f>
        <v>https://talouskurssi.fi/</v>
      </c>
      <c r="S63" s="90" t="s">
        <v>334</v>
      </c>
      <c r="T63" s="99" t="s">
        <v>338</v>
      </c>
      <c r="U63" s="96" t="str">
        <f>HYPERLINK("https://pbs.twimg.com/ext_tw_video_thumb/1448527896562348036/pu/img/0PqSbNMaXHvzKHCc.jpg")</f>
        <v>https://pbs.twimg.com/ext_tw_video_thumb/1448527896562348036/pu/img/0PqSbNMaXHvzKHCc.jpg</v>
      </c>
      <c r="V63" s="96" t="str">
        <f>HYPERLINK("https://pbs.twimg.com/ext_tw_video_thumb/1448527896562348036/pu/img/0PqSbNMaXHvzKHCc.jpg")</f>
        <v>https://pbs.twimg.com/ext_tw_video_thumb/1448527896562348036/pu/img/0PqSbNMaXHvzKHCc.jpg</v>
      </c>
      <c r="W63" s="93">
        <v>44483.3521875</v>
      </c>
      <c r="X63" s="102">
        <v>44483</v>
      </c>
      <c r="Y63" s="99" t="s">
        <v>368</v>
      </c>
      <c r="Z63" s="96" t="str">
        <f>HYPERLINK("https://twitter.com/avaattanen/status/1448566032696807427")</f>
        <v>https://twitter.com/avaattanen/status/1448566032696807427</v>
      </c>
      <c r="AA63" s="90"/>
      <c r="AB63" s="90"/>
      <c r="AC63" s="99" t="s">
        <v>462</v>
      </c>
      <c r="AD63" s="90"/>
      <c r="AE63" s="90" t="b">
        <v>0</v>
      </c>
      <c r="AF63" s="90">
        <v>0</v>
      </c>
      <c r="AG63" s="99" t="s">
        <v>535</v>
      </c>
      <c r="AH63" s="90" t="b">
        <v>0</v>
      </c>
      <c r="AI63" s="90" t="s">
        <v>537</v>
      </c>
      <c r="AJ63" s="90"/>
      <c r="AK63" s="99" t="s">
        <v>535</v>
      </c>
      <c r="AL63" s="90" t="b">
        <v>0</v>
      </c>
      <c r="AM63" s="90">
        <v>52</v>
      </c>
      <c r="AN63" s="99" t="s">
        <v>526</v>
      </c>
      <c r="AO63" s="99" t="s">
        <v>543</v>
      </c>
      <c r="AP63" s="90" t="b">
        <v>0</v>
      </c>
      <c r="AQ63" s="99" t="s">
        <v>526</v>
      </c>
      <c r="AR63" s="90" t="s">
        <v>187</v>
      </c>
      <c r="AS63" s="90">
        <v>0</v>
      </c>
      <c r="AT63" s="90">
        <v>0</v>
      </c>
      <c r="AU63" s="90"/>
      <c r="AV63" s="90"/>
      <c r="AW63" s="90"/>
      <c r="AX63" s="90"/>
      <c r="AY63" s="90"/>
      <c r="AZ63" s="90"/>
      <c r="BA63" s="90"/>
      <c r="BB63" s="90"/>
      <c r="BC63" s="90">
        <v>1</v>
      </c>
      <c r="BD63" s="89" t="str">
        <f>REPLACE(INDEX(GroupVertices[Group],MATCH(Edges[[#This Row],[Vertex 1]],GroupVertices[Vertex],0)),1,1,"")</f>
        <v>1</v>
      </c>
      <c r="BE63" s="89" t="str">
        <f>REPLACE(INDEX(GroupVertices[Group],MATCH(Edges[[#This Row],[Vertex 2]],GroupVertices[Vertex],0)),1,1,"")</f>
        <v>3</v>
      </c>
      <c r="BF63" s="49">
        <v>0</v>
      </c>
      <c r="BG63" s="50">
        <v>0</v>
      </c>
      <c r="BH63" s="49">
        <v>0</v>
      </c>
      <c r="BI63" s="50">
        <v>0</v>
      </c>
      <c r="BJ63" s="49">
        <v>0</v>
      </c>
      <c r="BK63" s="50">
        <v>0</v>
      </c>
      <c r="BL63" s="49">
        <v>28</v>
      </c>
      <c r="BM63" s="50">
        <v>100</v>
      </c>
      <c r="BN63" s="49">
        <v>28</v>
      </c>
    </row>
    <row r="64" spans="1:66" ht="15">
      <c r="A64" s="66" t="s">
        <v>248</v>
      </c>
      <c r="B64" s="66" t="s">
        <v>299</v>
      </c>
      <c r="C64" s="67" t="s">
        <v>2109</v>
      </c>
      <c r="D64" s="68">
        <v>10</v>
      </c>
      <c r="E64" s="69" t="s">
        <v>132</v>
      </c>
      <c r="F64" s="70">
        <v>10</v>
      </c>
      <c r="G64" s="67" t="s">
        <v>51</v>
      </c>
      <c r="H64" s="71"/>
      <c r="I64" s="72"/>
      <c r="J64" s="72"/>
      <c r="K64" s="35" t="s">
        <v>65</v>
      </c>
      <c r="L64" s="79">
        <v>64</v>
      </c>
      <c r="M64" s="79"/>
      <c r="N64" s="74"/>
      <c r="O64" s="90" t="s">
        <v>306</v>
      </c>
      <c r="P64" s="93">
        <v>44483.353217592594</v>
      </c>
      <c r="Q64" s="90" t="s">
        <v>310</v>
      </c>
      <c r="R64" s="96" t="str">
        <f>HYPERLINK("https://talouskurssi.fi/")</f>
        <v>https://talouskurssi.fi/</v>
      </c>
      <c r="S64" s="90" t="s">
        <v>334</v>
      </c>
      <c r="T64" s="99" t="s">
        <v>338</v>
      </c>
      <c r="U64" s="96" t="str">
        <f>HYPERLINK("https://pbs.twimg.com/ext_tw_video_thumb/1448527896562348036/pu/img/0PqSbNMaXHvzKHCc.jpg")</f>
        <v>https://pbs.twimg.com/ext_tw_video_thumb/1448527896562348036/pu/img/0PqSbNMaXHvzKHCc.jpg</v>
      </c>
      <c r="V64" s="96" t="str">
        <f>HYPERLINK("https://pbs.twimg.com/ext_tw_video_thumb/1448527896562348036/pu/img/0PqSbNMaXHvzKHCc.jpg")</f>
        <v>https://pbs.twimg.com/ext_tw_video_thumb/1448527896562348036/pu/img/0PqSbNMaXHvzKHCc.jpg</v>
      </c>
      <c r="W64" s="93">
        <v>44483.353217592594</v>
      </c>
      <c r="X64" s="102">
        <v>44483</v>
      </c>
      <c r="Y64" s="99" t="s">
        <v>369</v>
      </c>
      <c r="Z64" s="96" t="str">
        <f>HYPERLINK("https://twitter.com/matiasmakynen/status/1448566403532042244")</f>
        <v>https://twitter.com/matiasmakynen/status/1448566403532042244</v>
      </c>
      <c r="AA64" s="90"/>
      <c r="AB64" s="90"/>
      <c r="AC64" s="99" t="s">
        <v>463</v>
      </c>
      <c r="AD64" s="90"/>
      <c r="AE64" s="90" t="b">
        <v>0</v>
      </c>
      <c r="AF64" s="90">
        <v>0</v>
      </c>
      <c r="AG64" s="99" t="s">
        <v>535</v>
      </c>
      <c r="AH64" s="90" t="b">
        <v>0</v>
      </c>
      <c r="AI64" s="90" t="s">
        <v>537</v>
      </c>
      <c r="AJ64" s="90"/>
      <c r="AK64" s="99" t="s">
        <v>535</v>
      </c>
      <c r="AL64" s="90" t="b">
        <v>0</v>
      </c>
      <c r="AM64" s="90">
        <v>52</v>
      </c>
      <c r="AN64" s="99" t="s">
        <v>526</v>
      </c>
      <c r="AO64" s="99" t="s">
        <v>543</v>
      </c>
      <c r="AP64" s="90" t="b">
        <v>0</v>
      </c>
      <c r="AQ64" s="99" t="s">
        <v>526</v>
      </c>
      <c r="AR64" s="90" t="s">
        <v>187</v>
      </c>
      <c r="AS64" s="90">
        <v>0</v>
      </c>
      <c r="AT64" s="90">
        <v>0</v>
      </c>
      <c r="AU64" s="90"/>
      <c r="AV64" s="90"/>
      <c r="AW64" s="90"/>
      <c r="AX64" s="90"/>
      <c r="AY64" s="90"/>
      <c r="AZ64" s="90"/>
      <c r="BA64" s="90"/>
      <c r="BB64" s="90"/>
      <c r="BC64" s="90">
        <v>2</v>
      </c>
      <c r="BD64" s="89" t="str">
        <f>REPLACE(INDEX(GroupVertices[Group],MATCH(Edges[[#This Row],[Vertex 1]],GroupVertices[Vertex],0)),1,1,"")</f>
        <v>2</v>
      </c>
      <c r="BE64" s="89" t="str">
        <f>REPLACE(INDEX(GroupVertices[Group],MATCH(Edges[[#This Row],[Vertex 2]],GroupVertices[Vertex],0)),1,1,"")</f>
        <v>1</v>
      </c>
      <c r="BF64" s="49"/>
      <c r="BG64" s="50"/>
      <c r="BH64" s="49"/>
      <c r="BI64" s="50"/>
      <c r="BJ64" s="49"/>
      <c r="BK64" s="50"/>
      <c r="BL64" s="49"/>
      <c r="BM64" s="50"/>
      <c r="BN64" s="49"/>
    </row>
    <row r="65" spans="1:66" ht="15">
      <c r="A65" s="66" t="s">
        <v>248</v>
      </c>
      <c r="B65" s="66" t="s">
        <v>302</v>
      </c>
      <c r="C65" s="67" t="s">
        <v>2108</v>
      </c>
      <c r="D65" s="68">
        <v>1</v>
      </c>
      <c r="E65" s="69" t="s">
        <v>132</v>
      </c>
      <c r="F65" s="70">
        <v>32</v>
      </c>
      <c r="G65" s="67" t="s">
        <v>51</v>
      </c>
      <c r="H65" s="71"/>
      <c r="I65" s="72"/>
      <c r="J65" s="72"/>
      <c r="K65" s="35" t="s">
        <v>65</v>
      </c>
      <c r="L65" s="79">
        <v>65</v>
      </c>
      <c r="M65" s="79"/>
      <c r="N65" s="74"/>
      <c r="O65" s="90" t="s">
        <v>306</v>
      </c>
      <c r="P65" s="93">
        <v>44483.353217592594</v>
      </c>
      <c r="Q65" s="90" t="s">
        <v>310</v>
      </c>
      <c r="R65" s="96" t="str">
        <f>HYPERLINK("https://talouskurssi.fi/")</f>
        <v>https://talouskurssi.fi/</v>
      </c>
      <c r="S65" s="90" t="s">
        <v>334</v>
      </c>
      <c r="T65" s="99" t="s">
        <v>338</v>
      </c>
      <c r="U65" s="96" t="str">
        <f>HYPERLINK("https://pbs.twimg.com/ext_tw_video_thumb/1448527896562348036/pu/img/0PqSbNMaXHvzKHCc.jpg")</f>
        <v>https://pbs.twimg.com/ext_tw_video_thumb/1448527896562348036/pu/img/0PqSbNMaXHvzKHCc.jpg</v>
      </c>
      <c r="V65" s="96" t="str">
        <f>HYPERLINK("https://pbs.twimg.com/ext_tw_video_thumb/1448527896562348036/pu/img/0PqSbNMaXHvzKHCc.jpg")</f>
        <v>https://pbs.twimg.com/ext_tw_video_thumb/1448527896562348036/pu/img/0PqSbNMaXHvzKHCc.jpg</v>
      </c>
      <c r="W65" s="93">
        <v>44483.353217592594</v>
      </c>
      <c r="X65" s="102">
        <v>44483</v>
      </c>
      <c r="Y65" s="99" t="s">
        <v>369</v>
      </c>
      <c r="Z65" s="96" t="str">
        <f>HYPERLINK("https://twitter.com/matiasmakynen/status/1448566403532042244")</f>
        <v>https://twitter.com/matiasmakynen/status/1448566403532042244</v>
      </c>
      <c r="AA65" s="90"/>
      <c r="AB65" s="90"/>
      <c r="AC65" s="99" t="s">
        <v>463</v>
      </c>
      <c r="AD65" s="90"/>
      <c r="AE65" s="90" t="b">
        <v>0</v>
      </c>
      <c r="AF65" s="90">
        <v>0</v>
      </c>
      <c r="AG65" s="99" t="s">
        <v>535</v>
      </c>
      <c r="AH65" s="90" t="b">
        <v>0</v>
      </c>
      <c r="AI65" s="90" t="s">
        <v>537</v>
      </c>
      <c r="AJ65" s="90"/>
      <c r="AK65" s="99" t="s">
        <v>535</v>
      </c>
      <c r="AL65" s="90" t="b">
        <v>0</v>
      </c>
      <c r="AM65" s="90">
        <v>52</v>
      </c>
      <c r="AN65" s="99" t="s">
        <v>526</v>
      </c>
      <c r="AO65" s="99" t="s">
        <v>543</v>
      </c>
      <c r="AP65" s="90" t="b">
        <v>0</v>
      </c>
      <c r="AQ65" s="99" t="s">
        <v>526</v>
      </c>
      <c r="AR65" s="90" t="s">
        <v>187</v>
      </c>
      <c r="AS65" s="90">
        <v>0</v>
      </c>
      <c r="AT65" s="90">
        <v>0</v>
      </c>
      <c r="AU65" s="90"/>
      <c r="AV65" s="90"/>
      <c r="AW65" s="90"/>
      <c r="AX65" s="90"/>
      <c r="AY65" s="90"/>
      <c r="AZ65" s="90"/>
      <c r="BA65" s="90"/>
      <c r="BB65" s="90"/>
      <c r="BC65" s="90">
        <v>1</v>
      </c>
      <c r="BD65" s="89" t="str">
        <f>REPLACE(INDEX(GroupVertices[Group],MATCH(Edges[[#This Row],[Vertex 1]],GroupVertices[Vertex],0)),1,1,"")</f>
        <v>2</v>
      </c>
      <c r="BE65" s="89" t="str">
        <f>REPLACE(INDEX(GroupVertices[Group],MATCH(Edges[[#This Row],[Vertex 2]],GroupVertices[Vertex],0)),1,1,"")</f>
        <v>1</v>
      </c>
      <c r="BF65" s="49"/>
      <c r="BG65" s="50"/>
      <c r="BH65" s="49"/>
      <c r="BI65" s="50"/>
      <c r="BJ65" s="49"/>
      <c r="BK65" s="50"/>
      <c r="BL65" s="49"/>
      <c r="BM65" s="50"/>
      <c r="BN65" s="49"/>
    </row>
    <row r="66" spans="1:66" ht="15">
      <c r="A66" s="66" t="s">
        <v>248</v>
      </c>
      <c r="B66" s="66" t="s">
        <v>293</v>
      </c>
      <c r="C66" s="67" t="s">
        <v>2108</v>
      </c>
      <c r="D66" s="68">
        <v>1</v>
      </c>
      <c r="E66" s="69" t="s">
        <v>132</v>
      </c>
      <c r="F66" s="70">
        <v>32</v>
      </c>
      <c r="G66" s="67" t="s">
        <v>51</v>
      </c>
      <c r="H66" s="71"/>
      <c r="I66" s="72"/>
      <c r="J66" s="72"/>
      <c r="K66" s="35" t="s">
        <v>65</v>
      </c>
      <c r="L66" s="79">
        <v>66</v>
      </c>
      <c r="M66" s="79"/>
      <c r="N66" s="74"/>
      <c r="O66" s="90" t="s">
        <v>305</v>
      </c>
      <c r="P66" s="93">
        <v>44483.353217592594</v>
      </c>
      <c r="Q66" s="90" t="s">
        <v>310</v>
      </c>
      <c r="R66" s="96" t="str">
        <f>HYPERLINK("https://talouskurssi.fi/")</f>
        <v>https://talouskurssi.fi/</v>
      </c>
      <c r="S66" s="90" t="s">
        <v>334</v>
      </c>
      <c r="T66" s="99" t="s">
        <v>338</v>
      </c>
      <c r="U66" s="96" t="str">
        <f>HYPERLINK("https://pbs.twimg.com/ext_tw_video_thumb/1448527896562348036/pu/img/0PqSbNMaXHvzKHCc.jpg")</f>
        <v>https://pbs.twimg.com/ext_tw_video_thumb/1448527896562348036/pu/img/0PqSbNMaXHvzKHCc.jpg</v>
      </c>
      <c r="V66" s="96" t="str">
        <f>HYPERLINK("https://pbs.twimg.com/ext_tw_video_thumb/1448527896562348036/pu/img/0PqSbNMaXHvzKHCc.jpg")</f>
        <v>https://pbs.twimg.com/ext_tw_video_thumb/1448527896562348036/pu/img/0PqSbNMaXHvzKHCc.jpg</v>
      </c>
      <c r="W66" s="93">
        <v>44483.353217592594</v>
      </c>
      <c r="X66" s="102">
        <v>44483</v>
      </c>
      <c r="Y66" s="99" t="s">
        <v>369</v>
      </c>
      <c r="Z66" s="96" t="str">
        <f>HYPERLINK("https://twitter.com/matiasmakynen/status/1448566403532042244")</f>
        <v>https://twitter.com/matiasmakynen/status/1448566403532042244</v>
      </c>
      <c r="AA66" s="90"/>
      <c r="AB66" s="90"/>
      <c r="AC66" s="99" t="s">
        <v>463</v>
      </c>
      <c r="AD66" s="90"/>
      <c r="AE66" s="90" t="b">
        <v>0</v>
      </c>
      <c r="AF66" s="90">
        <v>0</v>
      </c>
      <c r="AG66" s="99" t="s">
        <v>535</v>
      </c>
      <c r="AH66" s="90" t="b">
        <v>0</v>
      </c>
      <c r="AI66" s="90" t="s">
        <v>537</v>
      </c>
      <c r="AJ66" s="90"/>
      <c r="AK66" s="99" t="s">
        <v>535</v>
      </c>
      <c r="AL66" s="90" t="b">
        <v>0</v>
      </c>
      <c r="AM66" s="90">
        <v>52</v>
      </c>
      <c r="AN66" s="99" t="s">
        <v>526</v>
      </c>
      <c r="AO66" s="99" t="s">
        <v>543</v>
      </c>
      <c r="AP66" s="90" t="b">
        <v>0</v>
      </c>
      <c r="AQ66" s="99" t="s">
        <v>526</v>
      </c>
      <c r="AR66" s="90" t="s">
        <v>187</v>
      </c>
      <c r="AS66" s="90">
        <v>0</v>
      </c>
      <c r="AT66" s="90">
        <v>0</v>
      </c>
      <c r="AU66" s="90"/>
      <c r="AV66" s="90"/>
      <c r="AW66" s="90"/>
      <c r="AX66" s="90"/>
      <c r="AY66" s="90"/>
      <c r="AZ66" s="90"/>
      <c r="BA66" s="90"/>
      <c r="BB66" s="90"/>
      <c r="BC66" s="90">
        <v>1</v>
      </c>
      <c r="BD66" s="89" t="str">
        <f>REPLACE(INDEX(GroupVertices[Group],MATCH(Edges[[#This Row],[Vertex 1]],GroupVertices[Vertex],0)),1,1,"")</f>
        <v>2</v>
      </c>
      <c r="BE66" s="89" t="str">
        <f>REPLACE(INDEX(GroupVertices[Group],MATCH(Edges[[#This Row],[Vertex 2]],GroupVertices[Vertex],0)),1,1,"")</f>
        <v>3</v>
      </c>
      <c r="BF66" s="49">
        <v>0</v>
      </c>
      <c r="BG66" s="50">
        <v>0</v>
      </c>
      <c r="BH66" s="49">
        <v>0</v>
      </c>
      <c r="BI66" s="50">
        <v>0</v>
      </c>
      <c r="BJ66" s="49">
        <v>0</v>
      </c>
      <c r="BK66" s="50">
        <v>0</v>
      </c>
      <c r="BL66" s="49">
        <v>28</v>
      </c>
      <c r="BM66" s="50">
        <v>100</v>
      </c>
      <c r="BN66" s="49">
        <v>28</v>
      </c>
    </row>
    <row r="67" spans="1:66" ht="15">
      <c r="A67" s="66" t="s">
        <v>248</v>
      </c>
      <c r="B67" s="66" t="s">
        <v>295</v>
      </c>
      <c r="C67" s="67" t="s">
        <v>2108</v>
      </c>
      <c r="D67" s="68">
        <v>1</v>
      </c>
      <c r="E67" s="69" t="s">
        <v>132</v>
      </c>
      <c r="F67" s="70">
        <v>32</v>
      </c>
      <c r="G67" s="67" t="s">
        <v>51</v>
      </c>
      <c r="H67" s="71"/>
      <c r="I67" s="72"/>
      <c r="J67" s="72"/>
      <c r="K67" s="35" t="s">
        <v>65</v>
      </c>
      <c r="L67" s="79">
        <v>67</v>
      </c>
      <c r="M67" s="79"/>
      <c r="N67" s="74"/>
      <c r="O67" s="90" t="s">
        <v>306</v>
      </c>
      <c r="P67" s="93">
        <v>44483.35423611111</v>
      </c>
      <c r="Q67" s="90" t="s">
        <v>2139</v>
      </c>
      <c r="R67" s="96" t="str">
        <f>HYPERLINK("https://talouskurssi.fi/?fbclid=IwAR3lQxACK6cI50BBFObd0zCsOMC4Cq1tFNNNCY5sktWLRNSCs13ALYuQ2cg")</f>
        <v>https://talouskurssi.fi/?fbclid=IwAR3lQxACK6cI50BBFObd0zCsOMC4Cq1tFNNNCY5sktWLRNSCs13ALYuQ2cg</v>
      </c>
      <c r="S67" s="90" t="s">
        <v>334</v>
      </c>
      <c r="T67" s="90"/>
      <c r="U67" s="90"/>
      <c r="V67" s="96" t="str">
        <f>HYPERLINK("https://pbs.twimg.com/profile_images/962059567176695810/ebudye9q_normal.jpg")</f>
        <v>https://pbs.twimg.com/profile_images/962059567176695810/ebudye9q_normal.jpg</v>
      </c>
      <c r="W67" s="93">
        <v>44483.35423611111</v>
      </c>
      <c r="X67" s="102">
        <v>44483</v>
      </c>
      <c r="Y67" s="99" t="s">
        <v>2155</v>
      </c>
      <c r="Z67" s="96" t="str">
        <f>HYPERLINK("https://twitter.com/matiasmakynen/status/1448566774245507079")</f>
        <v>https://twitter.com/matiasmakynen/status/1448566774245507079</v>
      </c>
      <c r="AA67" s="90"/>
      <c r="AB67" s="90"/>
      <c r="AC67" s="99" t="s">
        <v>2201</v>
      </c>
      <c r="AD67" s="90"/>
      <c r="AE67" s="90" t="b">
        <v>0</v>
      </c>
      <c r="AF67" s="90">
        <v>0</v>
      </c>
      <c r="AG67" s="99" t="s">
        <v>535</v>
      </c>
      <c r="AH67" s="90" t="b">
        <v>0</v>
      </c>
      <c r="AI67" s="90" t="s">
        <v>537</v>
      </c>
      <c r="AJ67" s="90"/>
      <c r="AK67" s="99" t="s">
        <v>535</v>
      </c>
      <c r="AL67" s="90" t="b">
        <v>0</v>
      </c>
      <c r="AM67" s="90">
        <v>7</v>
      </c>
      <c r="AN67" s="99" t="s">
        <v>2239</v>
      </c>
      <c r="AO67" s="99" t="s">
        <v>543</v>
      </c>
      <c r="AP67" s="90" t="b">
        <v>0</v>
      </c>
      <c r="AQ67" s="99" t="s">
        <v>2239</v>
      </c>
      <c r="AR67" s="90" t="s">
        <v>187</v>
      </c>
      <c r="AS67" s="90">
        <v>0</v>
      </c>
      <c r="AT67" s="90">
        <v>0</v>
      </c>
      <c r="AU67" s="90"/>
      <c r="AV67" s="90"/>
      <c r="AW67" s="90"/>
      <c r="AX67" s="90"/>
      <c r="AY67" s="90"/>
      <c r="AZ67" s="90"/>
      <c r="BA67" s="90"/>
      <c r="BB67" s="90"/>
      <c r="BC67" s="90">
        <v>1</v>
      </c>
      <c r="BD67" s="89" t="str">
        <f>REPLACE(INDEX(GroupVertices[Group],MATCH(Edges[[#This Row],[Vertex 1]],GroupVertices[Vertex],0)),1,1,"")</f>
        <v>2</v>
      </c>
      <c r="BE67" s="89" t="str">
        <f>REPLACE(INDEX(GroupVertices[Group],MATCH(Edges[[#This Row],[Vertex 2]],GroupVertices[Vertex],0)),1,1,"")</f>
        <v>2</v>
      </c>
      <c r="BF67" s="49"/>
      <c r="BG67" s="50"/>
      <c r="BH67" s="49"/>
      <c r="BI67" s="50"/>
      <c r="BJ67" s="49"/>
      <c r="BK67" s="50"/>
      <c r="BL67" s="49"/>
      <c r="BM67" s="50"/>
      <c r="BN67" s="49"/>
    </row>
    <row r="68" spans="1:66" ht="15">
      <c r="A68" s="66" t="s">
        <v>248</v>
      </c>
      <c r="B68" s="66" t="s">
        <v>260</v>
      </c>
      <c r="C68" s="67" t="s">
        <v>2108</v>
      </c>
      <c r="D68" s="68">
        <v>1</v>
      </c>
      <c r="E68" s="69" t="s">
        <v>132</v>
      </c>
      <c r="F68" s="70">
        <v>32</v>
      </c>
      <c r="G68" s="67" t="s">
        <v>51</v>
      </c>
      <c r="H68" s="71"/>
      <c r="I68" s="72"/>
      <c r="J68" s="72"/>
      <c r="K68" s="35" t="s">
        <v>65</v>
      </c>
      <c r="L68" s="79">
        <v>68</v>
      </c>
      <c r="M68" s="79"/>
      <c r="N68" s="74"/>
      <c r="O68" s="90" t="s">
        <v>306</v>
      </c>
      <c r="P68" s="93">
        <v>44483.35423611111</v>
      </c>
      <c r="Q68" s="90" t="s">
        <v>2139</v>
      </c>
      <c r="R68" s="96" t="str">
        <f>HYPERLINK("https://talouskurssi.fi/?fbclid=IwAR3lQxACK6cI50BBFObd0zCsOMC4Cq1tFNNNCY5sktWLRNSCs13ALYuQ2cg")</f>
        <v>https://talouskurssi.fi/?fbclid=IwAR3lQxACK6cI50BBFObd0zCsOMC4Cq1tFNNNCY5sktWLRNSCs13ALYuQ2cg</v>
      </c>
      <c r="S68" s="90" t="s">
        <v>334</v>
      </c>
      <c r="T68" s="90"/>
      <c r="U68" s="90"/>
      <c r="V68" s="96" t="str">
        <f>HYPERLINK("https://pbs.twimg.com/profile_images/962059567176695810/ebudye9q_normal.jpg")</f>
        <v>https://pbs.twimg.com/profile_images/962059567176695810/ebudye9q_normal.jpg</v>
      </c>
      <c r="W68" s="93">
        <v>44483.35423611111</v>
      </c>
      <c r="X68" s="102">
        <v>44483</v>
      </c>
      <c r="Y68" s="99" t="s">
        <v>2155</v>
      </c>
      <c r="Z68" s="96" t="str">
        <f>HYPERLINK("https://twitter.com/matiasmakynen/status/1448566774245507079")</f>
        <v>https://twitter.com/matiasmakynen/status/1448566774245507079</v>
      </c>
      <c r="AA68" s="90"/>
      <c r="AB68" s="90"/>
      <c r="AC68" s="99" t="s">
        <v>2201</v>
      </c>
      <c r="AD68" s="90"/>
      <c r="AE68" s="90" t="b">
        <v>0</v>
      </c>
      <c r="AF68" s="90">
        <v>0</v>
      </c>
      <c r="AG68" s="99" t="s">
        <v>535</v>
      </c>
      <c r="AH68" s="90" t="b">
        <v>0</v>
      </c>
      <c r="AI68" s="90" t="s">
        <v>537</v>
      </c>
      <c r="AJ68" s="90"/>
      <c r="AK68" s="99" t="s">
        <v>535</v>
      </c>
      <c r="AL68" s="90" t="b">
        <v>0</v>
      </c>
      <c r="AM68" s="90">
        <v>7</v>
      </c>
      <c r="AN68" s="99" t="s">
        <v>2239</v>
      </c>
      <c r="AO68" s="99" t="s">
        <v>543</v>
      </c>
      <c r="AP68" s="90" t="b">
        <v>0</v>
      </c>
      <c r="AQ68" s="99" t="s">
        <v>2239</v>
      </c>
      <c r="AR68" s="90" t="s">
        <v>187</v>
      </c>
      <c r="AS68" s="90">
        <v>0</v>
      </c>
      <c r="AT68" s="90">
        <v>0</v>
      </c>
      <c r="AU68" s="90"/>
      <c r="AV68" s="90"/>
      <c r="AW68" s="90"/>
      <c r="AX68" s="90"/>
      <c r="AY68" s="90"/>
      <c r="AZ68" s="90"/>
      <c r="BA68" s="90"/>
      <c r="BB68" s="90"/>
      <c r="BC68" s="90">
        <v>1</v>
      </c>
      <c r="BD68" s="89" t="str">
        <f>REPLACE(INDEX(GroupVertices[Group],MATCH(Edges[[#This Row],[Vertex 1]],GroupVertices[Vertex],0)),1,1,"")</f>
        <v>2</v>
      </c>
      <c r="BE68" s="89" t="str">
        <f>REPLACE(INDEX(GroupVertices[Group],MATCH(Edges[[#This Row],[Vertex 2]],GroupVertices[Vertex],0)),1,1,"")</f>
        <v>2</v>
      </c>
      <c r="BF68" s="49"/>
      <c r="BG68" s="50"/>
      <c r="BH68" s="49"/>
      <c r="BI68" s="50"/>
      <c r="BJ68" s="49"/>
      <c r="BK68" s="50"/>
      <c r="BL68" s="49"/>
      <c r="BM68" s="50"/>
      <c r="BN68" s="49"/>
    </row>
    <row r="69" spans="1:66" ht="15">
      <c r="A69" s="66" t="s">
        <v>248</v>
      </c>
      <c r="B69" s="66" t="s">
        <v>299</v>
      </c>
      <c r="C69" s="67" t="s">
        <v>2109</v>
      </c>
      <c r="D69" s="68">
        <v>10</v>
      </c>
      <c r="E69" s="69" t="s">
        <v>132</v>
      </c>
      <c r="F69" s="70">
        <v>10</v>
      </c>
      <c r="G69" s="67" t="s">
        <v>51</v>
      </c>
      <c r="H69" s="71"/>
      <c r="I69" s="72"/>
      <c r="J69" s="72"/>
      <c r="K69" s="35" t="s">
        <v>65</v>
      </c>
      <c r="L69" s="79">
        <v>69</v>
      </c>
      <c r="M69" s="79"/>
      <c r="N69" s="74"/>
      <c r="O69" s="90" t="s">
        <v>306</v>
      </c>
      <c r="P69" s="93">
        <v>44483.35423611111</v>
      </c>
      <c r="Q69" s="90" t="s">
        <v>2139</v>
      </c>
      <c r="R69" s="96" t="str">
        <f>HYPERLINK("https://talouskurssi.fi/?fbclid=IwAR3lQxACK6cI50BBFObd0zCsOMC4Cq1tFNNNCY5sktWLRNSCs13ALYuQ2cg")</f>
        <v>https://talouskurssi.fi/?fbclid=IwAR3lQxACK6cI50BBFObd0zCsOMC4Cq1tFNNNCY5sktWLRNSCs13ALYuQ2cg</v>
      </c>
      <c r="S69" s="90" t="s">
        <v>334</v>
      </c>
      <c r="T69" s="90"/>
      <c r="U69" s="90"/>
      <c r="V69" s="96" t="str">
        <f>HYPERLINK("https://pbs.twimg.com/profile_images/962059567176695810/ebudye9q_normal.jpg")</f>
        <v>https://pbs.twimg.com/profile_images/962059567176695810/ebudye9q_normal.jpg</v>
      </c>
      <c r="W69" s="93">
        <v>44483.35423611111</v>
      </c>
      <c r="X69" s="102">
        <v>44483</v>
      </c>
      <c r="Y69" s="99" t="s">
        <v>2155</v>
      </c>
      <c r="Z69" s="96" t="str">
        <f>HYPERLINK("https://twitter.com/matiasmakynen/status/1448566774245507079")</f>
        <v>https://twitter.com/matiasmakynen/status/1448566774245507079</v>
      </c>
      <c r="AA69" s="90"/>
      <c r="AB69" s="90"/>
      <c r="AC69" s="99" t="s">
        <v>2201</v>
      </c>
      <c r="AD69" s="90"/>
      <c r="AE69" s="90" t="b">
        <v>0</v>
      </c>
      <c r="AF69" s="90">
        <v>0</v>
      </c>
      <c r="AG69" s="99" t="s">
        <v>535</v>
      </c>
      <c r="AH69" s="90" t="b">
        <v>0</v>
      </c>
      <c r="AI69" s="90" t="s">
        <v>537</v>
      </c>
      <c r="AJ69" s="90"/>
      <c r="AK69" s="99" t="s">
        <v>535</v>
      </c>
      <c r="AL69" s="90" t="b">
        <v>0</v>
      </c>
      <c r="AM69" s="90">
        <v>7</v>
      </c>
      <c r="AN69" s="99" t="s">
        <v>2239</v>
      </c>
      <c r="AO69" s="99" t="s">
        <v>543</v>
      </c>
      <c r="AP69" s="90" t="b">
        <v>0</v>
      </c>
      <c r="AQ69" s="99" t="s">
        <v>2239</v>
      </c>
      <c r="AR69" s="90" t="s">
        <v>187</v>
      </c>
      <c r="AS69" s="90">
        <v>0</v>
      </c>
      <c r="AT69" s="90">
        <v>0</v>
      </c>
      <c r="AU69" s="90"/>
      <c r="AV69" s="90"/>
      <c r="AW69" s="90"/>
      <c r="AX69" s="90"/>
      <c r="AY69" s="90"/>
      <c r="AZ69" s="90"/>
      <c r="BA69" s="90"/>
      <c r="BB69" s="90"/>
      <c r="BC69" s="90">
        <v>2</v>
      </c>
      <c r="BD69" s="89" t="str">
        <f>REPLACE(INDEX(GroupVertices[Group],MATCH(Edges[[#This Row],[Vertex 1]],GroupVertices[Vertex],0)),1,1,"")</f>
        <v>2</v>
      </c>
      <c r="BE69" s="89" t="str">
        <f>REPLACE(INDEX(GroupVertices[Group],MATCH(Edges[[#This Row],[Vertex 2]],GroupVertices[Vertex],0)),1,1,"")</f>
        <v>1</v>
      </c>
      <c r="BF69" s="49"/>
      <c r="BG69" s="50"/>
      <c r="BH69" s="49"/>
      <c r="BI69" s="50"/>
      <c r="BJ69" s="49"/>
      <c r="BK69" s="50"/>
      <c r="BL69" s="49"/>
      <c r="BM69" s="50"/>
      <c r="BN69" s="49"/>
    </row>
    <row r="70" spans="1:66" ht="15">
      <c r="A70" s="66" t="s">
        <v>248</v>
      </c>
      <c r="B70" s="66" t="s">
        <v>293</v>
      </c>
      <c r="C70" s="67" t="s">
        <v>2108</v>
      </c>
      <c r="D70" s="68">
        <v>1</v>
      </c>
      <c r="E70" s="69" t="s">
        <v>132</v>
      </c>
      <c r="F70" s="70">
        <v>32</v>
      </c>
      <c r="G70" s="67" t="s">
        <v>51</v>
      </c>
      <c r="H70" s="71"/>
      <c r="I70" s="72"/>
      <c r="J70" s="72"/>
      <c r="K70" s="35" t="s">
        <v>65</v>
      </c>
      <c r="L70" s="79">
        <v>70</v>
      </c>
      <c r="M70" s="79"/>
      <c r="N70" s="74"/>
      <c r="O70" s="90" t="s">
        <v>306</v>
      </c>
      <c r="P70" s="93">
        <v>44483.35423611111</v>
      </c>
      <c r="Q70" s="90" t="s">
        <v>2139</v>
      </c>
      <c r="R70" s="96" t="str">
        <f>HYPERLINK("https://talouskurssi.fi/?fbclid=IwAR3lQxACK6cI50BBFObd0zCsOMC4Cq1tFNNNCY5sktWLRNSCs13ALYuQ2cg")</f>
        <v>https://talouskurssi.fi/?fbclid=IwAR3lQxACK6cI50BBFObd0zCsOMC4Cq1tFNNNCY5sktWLRNSCs13ALYuQ2cg</v>
      </c>
      <c r="S70" s="90" t="s">
        <v>334</v>
      </c>
      <c r="T70" s="90"/>
      <c r="U70" s="90"/>
      <c r="V70" s="96" t="str">
        <f>HYPERLINK("https://pbs.twimg.com/profile_images/962059567176695810/ebudye9q_normal.jpg")</f>
        <v>https://pbs.twimg.com/profile_images/962059567176695810/ebudye9q_normal.jpg</v>
      </c>
      <c r="W70" s="93">
        <v>44483.35423611111</v>
      </c>
      <c r="X70" s="102">
        <v>44483</v>
      </c>
      <c r="Y70" s="99" t="s">
        <v>2155</v>
      </c>
      <c r="Z70" s="96" t="str">
        <f>HYPERLINK("https://twitter.com/matiasmakynen/status/1448566774245507079")</f>
        <v>https://twitter.com/matiasmakynen/status/1448566774245507079</v>
      </c>
      <c r="AA70" s="90"/>
      <c r="AB70" s="90"/>
      <c r="AC70" s="99" t="s">
        <v>2201</v>
      </c>
      <c r="AD70" s="90"/>
      <c r="AE70" s="90" t="b">
        <v>0</v>
      </c>
      <c r="AF70" s="90">
        <v>0</v>
      </c>
      <c r="AG70" s="99" t="s">
        <v>535</v>
      </c>
      <c r="AH70" s="90" t="b">
        <v>0</v>
      </c>
      <c r="AI70" s="90" t="s">
        <v>537</v>
      </c>
      <c r="AJ70" s="90"/>
      <c r="AK70" s="99" t="s">
        <v>535</v>
      </c>
      <c r="AL70" s="90" t="b">
        <v>0</v>
      </c>
      <c r="AM70" s="90">
        <v>7</v>
      </c>
      <c r="AN70" s="99" t="s">
        <v>2239</v>
      </c>
      <c r="AO70" s="99" t="s">
        <v>543</v>
      </c>
      <c r="AP70" s="90" t="b">
        <v>0</v>
      </c>
      <c r="AQ70" s="99" t="s">
        <v>2239</v>
      </c>
      <c r="AR70" s="90" t="s">
        <v>187</v>
      </c>
      <c r="AS70" s="90">
        <v>0</v>
      </c>
      <c r="AT70" s="90">
        <v>0</v>
      </c>
      <c r="AU70" s="90"/>
      <c r="AV70" s="90"/>
      <c r="AW70" s="90"/>
      <c r="AX70" s="90"/>
      <c r="AY70" s="90"/>
      <c r="AZ70" s="90"/>
      <c r="BA70" s="90"/>
      <c r="BB70" s="90"/>
      <c r="BC70" s="90">
        <v>1</v>
      </c>
      <c r="BD70" s="89" t="str">
        <f>REPLACE(INDEX(GroupVertices[Group],MATCH(Edges[[#This Row],[Vertex 1]],GroupVertices[Vertex],0)),1,1,"")</f>
        <v>2</v>
      </c>
      <c r="BE70" s="89" t="str">
        <f>REPLACE(INDEX(GroupVertices[Group],MATCH(Edges[[#This Row],[Vertex 2]],GroupVertices[Vertex],0)),1,1,"")</f>
        <v>3</v>
      </c>
      <c r="BF70" s="49"/>
      <c r="BG70" s="50"/>
      <c r="BH70" s="49"/>
      <c r="BI70" s="50"/>
      <c r="BJ70" s="49"/>
      <c r="BK70" s="50"/>
      <c r="BL70" s="49"/>
      <c r="BM70" s="50"/>
      <c r="BN70" s="49"/>
    </row>
    <row r="71" spans="1:66" ht="15">
      <c r="A71" s="66" t="s">
        <v>248</v>
      </c>
      <c r="B71" s="66" t="s">
        <v>2135</v>
      </c>
      <c r="C71" s="67" t="s">
        <v>2108</v>
      </c>
      <c r="D71" s="68">
        <v>1</v>
      </c>
      <c r="E71" s="69" t="s">
        <v>132</v>
      </c>
      <c r="F71" s="70">
        <v>32</v>
      </c>
      <c r="G71" s="67" t="s">
        <v>51</v>
      </c>
      <c r="H71" s="71"/>
      <c r="I71" s="72"/>
      <c r="J71" s="72"/>
      <c r="K71" s="35" t="s">
        <v>65</v>
      </c>
      <c r="L71" s="79">
        <v>71</v>
      </c>
      <c r="M71" s="79"/>
      <c r="N71" s="74"/>
      <c r="O71" s="90" t="s">
        <v>305</v>
      </c>
      <c r="P71" s="93">
        <v>44483.35423611111</v>
      </c>
      <c r="Q71" s="90" t="s">
        <v>2139</v>
      </c>
      <c r="R71" s="96" t="str">
        <f>HYPERLINK("https://talouskurssi.fi/?fbclid=IwAR3lQxACK6cI50BBFObd0zCsOMC4Cq1tFNNNCY5sktWLRNSCs13ALYuQ2cg")</f>
        <v>https://talouskurssi.fi/?fbclid=IwAR3lQxACK6cI50BBFObd0zCsOMC4Cq1tFNNNCY5sktWLRNSCs13ALYuQ2cg</v>
      </c>
      <c r="S71" s="90" t="s">
        <v>334</v>
      </c>
      <c r="T71" s="90"/>
      <c r="U71" s="90"/>
      <c r="V71" s="96" t="str">
        <f>HYPERLINK("https://pbs.twimg.com/profile_images/962059567176695810/ebudye9q_normal.jpg")</f>
        <v>https://pbs.twimg.com/profile_images/962059567176695810/ebudye9q_normal.jpg</v>
      </c>
      <c r="W71" s="93">
        <v>44483.35423611111</v>
      </c>
      <c r="X71" s="102">
        <v>44483</v>
      </c>
      <c r="Y71" s="99" t="s">
        <v>2155</v>
      </c>
      <c r="Z71" s="96" t="str">
        <f>HYPERLINK("https://twitter.com/matiasmakynen/status/1448566774245507079")</f>
        <v>https://twitter.com/matiasmakynen/status/1448566774245507079</v>
      </c>
      <c r="AA71" s="90"/>
      <c r="AB71" s="90"/>
      <c r="AC71" s="99" t="s">
        <v>2201</v>
      </c>
      <c r="AD71" s="90"/>
      <c r="AE71" s="90" t="b">
        <v>0</v>
      </c>
      <c r="AF71" s="90">
        <v>0</v>
      </c>
      <c r="AG71" s="99" t="s">
        <v>535</v>
      </c>
      <c r="AH71" s="90" t="b">
        <v>0</v>
      </c>
      <c r="AI71" s="90" t="s">
        <v>537</v>
      </c>
      <c r="AJ71" s="90"/>
      <c r="AK71" s="99" t="s">
        <v>535</v>
      </c>
      <c r="AL71" s="90" t="b">
        <v>0</v>
      </c>
      <c r="AM71" s="90">
        <v>7</v>
      </c>
      <c r="AN71" s="99" t="s">
        <v>2239</v>
      </c>
      <c r="AO71" s="99" t="s">
        <v>543</v>
      </c>
      <c r="AP71" s="90" t="b">
        <v>0</v>
      </c>
      <c r="AQ71" s="99" t="s">
        <v>2239</v>
      </c>
      <c r="AR71" s="90" t="s">
        <v>187</v>
      </c>
      <c r="AS71" s="90">
        <v>0</v>
      </c>
      <c r="AT71" s="90">
        <v>0</v>
      </c>
      <c r="AU71" s="90"/>
      <c r="AV71" s="90"/>
      <c r="AW71" s="90"/>
      <c r="AX71" s="90"/>
      <c r="AY71" s="90"/>
      <c r="AZ71" s="90"/>
      <c r="BA71" s="90"/>
      <c r="BB71" s="90"/>
      <c r="BC71" s="90">
        <v>1</v>
      </c>
      <c r="BD71" s="89" t="str">
        <f>REPLACE(INDEX(GroupVertices[Group],MATCH(Edges[[#This Row],[Vertex 1]],GroupVertices[Vertex],0)),1,1,"")</f>
        <v>2</v>
      </c>
      <c r="BE71" s="89" t="str">
        <f>REPLACE(INDEX(GroupVertices[Group],MATCH(Edges[[#This Row],[Vertex 2]],GroupVertices[Vertex],0)),1,1,"")</f>
        <v>2</v>
      </c>
      <c r="BF71" s="49">
        <v>0</v>
      </c>
      <c r="BG71" s="50">
        <v>0</v>
      </c>
      <c r="BH71" s="49">
        <v>0</v>
      </c>
      <c r="BI71" s="50">
        <v>0</v>
      </c>
      <c r="BJ71" s="49">
        <v>0</v>
      </c>
      <c r="BK71" s="50">
        <v>0</v>
      </c>
      <c r="BL71" s="49">
        <v>22</v>
      </c>
      <c r="BM71" s="50">
        <v>100</v>
      </c>
      <c r="BN71" s="49">
        <v>22</v>
      </c>
    </row>
    <row r="72" spans="1:66" ht="15">
      <c r="A72" s="66" t="s">
        <v>2115</v>
      </c>
      <c r="B72" s="66" t="s">
        <v>252</v>
      </c>
      <c r="C72" s="67" t="s">
        <v>2108</v>
      </c>
      <c r="D72" s="68">
        <v>1</v>
      </c>
      <c r="E72" s="69" t="s">
        <v>132</v>
      </c>
      <c r="F72" s="70">
        <v>32</v>
      </c>
      <c r="G72" s="67" t="s">
        <v>51</v>
      </c>
      <c r="H72" s="71"/>
      <c r="I72" s="72"/>
      <c r="J72" s="72"/>
      <c r="K72" s="35" t="s">
        <v>65</v>
      </c>
      <c r="L72" s="79">
        <v>72</v>
      </c>
      <c r="M72" s="79"/>
      <c r="N72" s="74"/>
      <c r="O72" s="90" t="s">
        <v>306</v>
      </c>
      <c r="P72" s="93">
        <v>44483.35603009259</v>
      </c>
      <c r="Q72" s="90" t="s">
        <v>2140</v>
      </c>
      <c r="R72" s="96" t="str">
        <f>HYPERLINK("https://talouskurssi.fi")</f>
        <v>https://talouskurssi.fi</v>
      </c>
      <c r="S72" s="90" t="s">
        <v>334</v>
      </c>
      <c r="T72" s="90"/>
      <c r="U72" s="96" t="str">
        <f>HYPERLINK("https://pbs.twimg.com/media/FBpWom9XIAAjFw3.jpg")</f>
        <v>https://pbs.twimg.com/media/FBpWom9XIAAjFw3.jpg</v>
      </c>
      <c r="V72" s="96" t="str">
        <f>HYPERLINK("https://pbs.twimg.com/media/FBpWom9XIAAjFw3.jpg")</f>
        <v>https://pbs.twimg.com/media/FBpWom9XIAAjFw3.jpg</v>
      </c>
      <c r="W72" s="93">
        <v>44483.35603009259</v>
      </c>
      <c r="X72" s="102">
        <v>44483</v>
      </c>
      <c r="Y72" s="99" t="s">
        <v>2156</v>
      </c>
      <c r="Z72" s="96" t="str">
        <f>HYPERLINK("https://twitter.com/juuhaa/status/1448567421426601986")</f>
        <v>https://twitter.com/juuhaa/status/1448567421426601986</v>
      </c>
      <c r="AA72" s="90"/>
      <c r="AB72" s="90"/>
      <c r="AC72" s="99" t="s">
        <v>2202</v>
      </c>
      <c r="AD72" s="90"/>
      <c r="AE72" s="90" t="b">
        <v>0</v>
      </c>
      <c r="AF72" s="90">
        <v>0</v>
      </c>
      <c r="AG72" s="99" t="s">
        <v>535</v>
      </c>
      <c r="AH72" s="90" t="b">
        <v>0</v>
      </c>
      <c r="AI72" s="90" t="s">
        <v>537</v>
      </c>
      <c r="AJ72" s="90"/>
      <c r="AK72" s="99" t="s">
        <v>535</v>
      </c>
      <c r="AL72" s="90" t="b">
        <v>0</v>
      </c>
      <c r="AM72" s="90">
        <v>9</v>
      </c>
      <c r="AN72" s="99" t="s">
        <v>538</v>
      </c>
      <c r="AO72" s="99" t="s">
        <v>542</v>
      </c>
      <c r="AP72" s="90" t="b">
        <v>0</v>
      </c>
      <c r="AQ72" s="99" t="s">
        <v>538</v>
      </c>
      <c r="AR72" s="90" t="s">
        <v>187</v>
      </c>
      <c r="AS72" s="90">
        <v>0</v>
      </c>
      <c r="AT72" s="90">
        <v>0</v>
      </c>
      <c r="AU72" s="90"/>
      <c r="AV72" s="90"/>
      <c r="AW72" s="90"/>
      <c r="AX72" s="90"/>
      <c r="AY72" s="90"/>
      <c r="AZ72" s="90"/>
      <c r="BA72" s="90"/>
      <c r="BB72" s="90"/>
      <c r="BC72" s="90">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6" t="s">
        <v>2115</v>
      </c>
      <c r="B73" s="66" t="s">
        <v>295</v>
      </c>
      <c r="C73" s="67" t="s">
        <v>2108</v>
      </c>
      <c r="D73" s="68">
        <v>1</v>
      </c>
      <c r="E73" s="69" t="s">
        <v>132</v>
      </c>
      <c r="F73" s="70">
        <v>32</v>
      </c>
      <c r="G73" s="67" t="s">
        <v>51</v>
      </c>
      <c r="H73" s="71"/>
      <c r="I73" s="72"/>
      <c r="J73" s="72"/>
      <c r="K73" s="35" t="s">
        <v>65</v>
      </c>
      <c r="L73" s="79">
        <v>73</v>
      </c>
      <c r="M73" s="79"/>
      <c r="N73" s="74"/>
      <c r="O73" s="90" t="s">
        <v>306</v>
      </c>
      <c r="P73" s="93">
        <v>44483.35603009259</v>
      </c>
      <c r="Q73" s="90" t="s">
        <v>2140</v>
      </c>
      <c r="R73" s="96" t="str">
        <f>HYPERLINK("https://talouskurssi.fi")</f>
        <v>https://talouskurssi.fi</v>
      </c>
      <c r="S73" s="90" t="s">
        <v>334</v>
      </c>
      <c r="T73" s="90"/>
      <c r="U73" s="96" t="str">
        <f>HYPERLINK("https://pbs.twimg.com/media/FBpWom9XIAAjFw3.jpg")</f>
        <v>https://pbs.twimg.com/media/FBpWom9XIAAjFw3.jpg</v>
      </c>
      <c r="V73" s="96" t="str">
        <f>HYPERLINK("https://pbs.twimg.com/media/FBpWom9XIAAjFw3.jpg")</f>
        <v>https://pbs.twimg.com/media/FBpWom9XIAAjFw3.jpg</v>
      </c>
      <c r="W73" s="93">
        <v>44483.35603009259</v>
      </c>
      <c r="X73" s="102">
        <v>44483</v>
      </c>
      <c r="Y73" s="99" t="s">
        <v>2156</v>
      </c>
      <c r="Z73" s="96" t="str">
        <f>HYPERLINK("https://twitter.com/juuhaa/status/1448567421426601986")</f>
        <v>https://twitter.com/juuhaa/status/1448567421426601986</v>
      </c>
      <c r="AA73" s="90"/>
      <c r="AB73" s="90"/>
      <c r="AC73" s="99" t="s">
        <v>2202</v>
      </c>
      <c r="AD73" s="90"/>
      <c r="AE73" s="90" t="b">
        <v>0</v>
      </c>
      <c r="AF73" s="90">
        <v>0</v>
      </c>
      <c r="AG73" s="99" t="s">
        <v>535</v>
      </c>
      <c r="AH73" s="90" t="b">
        <v>0</v>
      </c>
      <c r="AI73" s="90" t="s">
        <v>537</v>
      </c>
      <c r="AJ73" s="90"/>
      <c r="AK73" s="99" t="s">
        <v>535</v>
      </c>
      <c r="AL73" s="90" t="b">
        <v>0</v>
      </c>
      <c r="AM73" s="90">
        <v>9</v>
      </c>
      <c r="AN73" s="99" t="s">
        <v>538</v>
      </c>
      <c r="AO73" s="99" t="s">
        <v>542</v>
      </c>
      <c r="AP73" s="90" t="b">
        <v>0</v>
      </c>
      <c r="AQ73" s="99" t="s">
        <v>538</v>
      </c>
      <c r="AR73" s="90" t="s">
        <v>187</v>
      </c>
      <c r="AS73" s="90">
        <v>0</v>
      </c>
      <c r="AT73" s="90">
        <v>0</v>
      </c>
      <c r="AU73" s="90"/>
      <c r="AV73" s="90"/>
      <c r="AW73" s="90"/>
      <c r="AX73" s="90"/>
      <c r="AY73" s="90"/>
      <c r="AZ73" s="90"/>
      <c r="BA73" s="90"/>
      <c r="BB73" s="90"/>
      <c r="BC73" s="90">
        <v>1</v>
      </c>
      <c r="BD73" s="89" t="str">
        <f>REPLACE(INDEX(GroupVertices[Group],MATCH(Edges[[#This Row],[Vertex 1]],GroupVertices[Vertex],0)),1,1,"")</f>
        <v>2</v>
      </c>
      <c r="BE73" s="89" t="str">
        <f>REPLACE(INDEX(GroupVertices[Group],MATCH(Edges[[#This Row],[Vertex 2]],GroupVertices[Vertex],0)),1,1,"")</f>
        <v>2</v>
      </c>
      <c r="BF73" s="49"/>
      <c r="BG73" s="50"/>
      <c r="BH73" s="49"/>
      <c r="BI73" s="50"/>
      <c r="BJ73" s="49"/>
      <c r="BK73" s="50"/>
      <c r="BL73" s="49"/>
      <c r="BM73" s="50"/>
      <c r="BN73" s="49"/>
    </row>
    <row r="74" spans="1:66" ht="15">
      <c r="A74" s="66" t="s">
        <v>2115</v>
      </c>
      <c r="B74" s="66" t="s">
        <v>260</v>
      </c>
      <c r="C74" s="67" t="s">
        <v>2108</v>
      </c>
      <c r="D74" s="68">
        <v>1</v>
      </c>
      <c r="E74" s="69" t="s">
        <v>132</v>
      </c>
      <c r="F74" s="70">
        <v>32</v>
      </c>
      <c r="G74" s="67" t="s">
        <v>51</v>
      </c>
      <c r="H74" s="71"/>
      <c r="I74" s="72"/>
      <c r="J74" s="72"/>
      <c r="K74" s="35" t="s">
        <v>65</v>
      </c>
      <c r="L74" s="79">
        <v>74</v>
      </c>
      <c r="M74" s="79"/>
      <c r="N74" s="74"/>
      <c r="O74" s="90" t="s">
        <v>306</v>
      </c>
      <c r="P74" s="93">
        <v>44483.35603009259</v>
      </c>
      <c r="Q74" s="90" t="s">
        <v>2140</v>
      </c>
      <c r="R74" s="96" t="str">
        <f>HYPERLINK("https://talouskurssi.fi")</f>
        <v>https://talouskurssi.fi</v>
      </c>
      <c r="S74" s="90" t="s">
        <v>334</v>
      </c>
      <c r="T74" s="90"/>
      <c r="U74" s="96" t="str">
        <f>HYPERLINK("https://pbs.twimg.com/media/FBpWom9XIAAjFw3.jpg")</f>
        <v>https://pbs.twimg.com/media/FBpWom9XIAAjFw3.jpg</v>
      </c>
      <c r="V74" s="96" t="str">
        <f>HYPERLINK("https://pbs.twimg.com/media/FBpWom9XIAAjFw3.jpg")</f>
        <v>https://pbs.twimg.com/media/FBpWom9XIAAjFw3.jpg</v>
      </c>
      <c r="W74" s="93">
        <v>44483.35603009259</v>
      </c>
      <c r="X74" s="102">
        <v>44483</v>
      </c>
      <c r="Y74" s="99" t="s">
        <v>2156</v>
      </c>
      <c r="Z74" s="96" t="str">
        <f>HYPERLINK("https://twitter.com/juuhaa/status/1448567421426601986")</f>
        <v>https://twitter.com/juuhaa/status/1448567421426601986</v>
      </c>
      <c r="AA74" s="90"/>
      <c r="AB74" s="90"/>
      <c r="AC74" s="99" t="s">
        <v>2202</v>
      </c>
      <c r="AD74" s="90"/>
      <c r="AE74" s="90" t="b">
        <v>0</v>
      </c>
      <c r="AF74" s="90">
        <v>0</v>
      </c>
      <c r="AG74" s="99" t="s">
        <v>535</v>
      </c>
      <c r="AH74" s="90" t="b">
        <v>0</v>
      </c>
      <c r="AI74" s="90" t="s">
        <v>537</v>
      </c>
      <c r="AJ74" s="90"/>
      <c r="AK74" s="99" t="s">
        <v>535</v>
      </c>
      <c r="AL74" s="90" t="b">
        <v>0</v>
      </c>
      <c r="AM74" s="90">
        <v>9</v>
      </c>
      <c r="AN74" s="99" t="s">
        <v>538</v>
      </c>
      <c r="AO74" s="99" t="s">
        <v>542</v>
      </c>
      <c r="AP74" s="90" t="b">
        <v>0</v>
      </c>
      <c r="AQ74" s="99" t="s">
        <v>538</v>
      </c>
      <c r="AR74" s="90" t="s">
        <v>187</v>
      </c>
      <c r="AS74" s="90">
        <v>0</v>
      </c>
      <c r="AT74" s="90">
        <v>0</v>
      </c>
      <c r="AU74" s="90"/>
      <c r="AV74" s="90"/>
      <c r="AW74" s="90"/>
      <c r="AX74" s="90"/>
      <c r="AY74" s="90"/>
      <c r="AZ74" s="90"/>
      <c r="BA74" s="90"/>
      <c r="BB74" s="90"/>
      <c r="BC74" s="90">
        <v>1</v>
      </c>
      <c r="BD74" s="89" t="str">
        <f>REPLACE(INDEX(GroupVertices[Group],MATCH(Edges[[#This Row],[Vertex 1]],GroupVertices[Vertex],0)),1,1,"")</f>
        <v>2</v>
      </c>
      <c r="BE74" s="89" t="str">
        <f>REPLACE(INDEX(GroupVertices[Group],MATCH(Edges[[#This Row],[Vertex 2]],GroupVertices[Vertex],0)),1,1,"")</f>
        <v>2</v>
      </c>
      <c r="BF74" s="49"/>
      <c r="BG74" s="50"/>
      <c r="BH74" s="49"/>
      <c r="BI74" s="50"/>
      <c r="BJ74" s="49"/>
      <c r="BK74" s="50"/>
      <c r="BL74" s="49"/>
      <c r="BM74" s="50"/>
      <c r="BN74" s="49"/>
    </row>
    <row r="75" spans="1:66" ht="15">
      <c r="A75" s="66" t="s">
        <v>2115</v>
      </c>
      <c r="B75" s="66" t="s">
        <v>293</v>
      </c>
      <c r="C75" s="67" t="s">
        <v>2108</v>
      </c>
      <c r="D75" s="68">
        <v>1</v>
      </c>
      <c r="E75" s="69" t="s">
        <v>132</v>
      </c>
      <c r="F75" s="70">
        <v>32</v>
      </c>
      <c r="G75" s="67" t="s">
        <v>51</v>
      </c>
      <c r="H75" s="71"/>
      <c r="I75" s="72"/>
      <c r="J75" s="72"/>
      <c r="K75" s="35" t="s">
        <v>65</v>
      </c>
      <c r="L75" s="79">
        <v>75</v>
      </c>
      <c r="M75" s="79"/>
      <c r="N75" s="74"/>
      <c r="O75" s="90" t="s">
        <v>306</v>
      </c>
      <c r="P75" s="93">
        <v>44483.35603009259</v>
      </c>
      <c r="Q75" s="90" t="s">
        <v>2140</v>
      </c>
      <c r="R75" s="96" t="str">
        <f>HYPERLINK("https://talouskurssi.fi")</f>
        <v>https://talouskurssi.fi</v>
      </c>
      <c r="S75" s="90" t="s">
        <v>334</v>
      </c>
      <c r="T75" s="90"/>
      <c r="U75" s="96" t="str">
        <f>HYPERLINK("https://pbs.twimg.com/media/FBpWom9XIAAjFw3.jpg")</f>
        <v>https://pbs.twimg.com/media/FBpWom9XIAAjFw3.jpg</v>
      </c>
      <c r="V75" s="96" t="str">
        <f>HYPERLINK("https://pbs.twimg.com/media/FBpWom9XIAAjFw3.jpg")</f>
        <v>https://pbs.twimg.com/media/FBpWom9XIAAjFw3.jpg</v>
      </c>
      <c r="W75" s="93">
        <v>44483.35603009259</v>
      </c>
      <c r="X75" s="102">
        <v>44483</v>
      </c>
      <c r="Y75" s="99" t="s">
        <v>2156</v>
      </c>
      <c r="Z75" s="96" t="str">
        <f>HYPERLINK("https://twitter.com/juuhaa/status/1448567421426601986")</f>
        <v>https://twitter.com/juuhaa/status/1448567421426601986</v>
      </c>
      <c r="AA75" s="90"/>
      <c r="AB75" s="90"/>
      <c r="AC75" s="99" t="s">
        <v>2202</v>
      </c>
      <c r="AD75" s="90"/>
      <c r="AE75" s="90" t="b">
        <v>0</v>
      </c>
      <c r="AF75" s="90">
        <v>0</v>
      </c>
      <c r="AG75" s="99" t="s">
        <v>535</v>
      </c>
      <c r="AH75" s="90" t="b">
        <v>0</v>
      </c>
      <c r="AI75" s="90" t="s">
        <v>537</v>
      </c>
      <c r="AJ75" s="90"/>
      <c r="AK75" s="99" t="s">
        <v>535</v>
      </c>
      <c r="AL75" s="90" t="b">
        <v>0</v>
      </c>
      <c r="AM75" s="90">
        <v>9</v>
      </c>
      <c r="AN75" s="99" t="s">
        <v>538</v>
      </c>
      <c r="AO75" s="99" t="s">
        <v>542</v>
      </c>
      <c r="AP75" s="90" t="b">
        <v>0</v>
      </c>
      <c r="AQ75" s="99" t="s">
        <v>538</v>
      </c>
      <c r="AR75" s="90" t="s">
        <v>187</v>
      </c>
      <c r="AS75" s="90">
        <v>0</v>
      </c>
      <c r="AT75" s="90">
        <v>0</v>
      </c>
      <c r="AU75" s="90"/>
      <c r="AV75" s="90"/>
      <c r="AW75" s="90"/>
      <c r="AX75" s="90"/>
      <c r="AY75" s="90"/>
      <c r="AZ75" s="90"/>
      <c r="BA75" s="90"/>
      <c r="BB75" s="90"/>
      <c r="BC75" s="90">
        <v>1</v>
      </c>
      <c r="BD75" s="89" t="str">
        <f>REPLACE(INDEX(GroupVertices[Group],MATCH(Edges[[#This Row],[Vertex 1]],GroupVertices[Vertex],0)),1,1,"")</f>
        <v>2</v>
      </c>
      <c r="BE75" s="89" t="str">
        <f>REPLACE(INDEX(GroupVertices[Group],MATCH(Edges[[#This Row],[Vertex 2]],GroupVertices[Vertex],0)),1,1,"")</f>
        <v>3</v>
      </c>
      <c r="BF75" s="49"/>
      <c r="BG75" s="50"/>
      <c r="BH75" s="49"/>
      <c r="BI75" s="50"/>
      <c r="BJ75" s="49"/>
      <c r="BK75" s="50"/>
      <c r="BL75" s="49"/>
      <c r="BM75" s="50"/>
      <c r="BN75" s="49"/>
    </row>
    <row r="76" spans="1:66" ht="15">
      <c r="A76" s="66" t="s">
        <v>2115</v>
      </c>
      <c r="B76" s="66" t="s">
        <v>250</v>
      </c>
      <c r="C76" s="67" t="s">
        <v>2108</v>
      </c>
      <c r="D76" s="68">
        <v>1</v>
      </c>
      <c r="E76" s="69" t="s">
        <v>132</v>
      </c>
      <c r="F76" s="70">
        <v>32</v>
      </c>
      <c r="G76" s="67" t="s">
        <v>51</v>
      </c>
      <c r="H76" s="71"/>
      <c r="I76" s="72"/>
      <c r="J76" s="72"/>
      <c r="K76" s="35" t="s">
        <v>65</v>
      </c>
      <c r="L76" s="79">
        <v>76</v>
      </c>
      <c r="M76" s="79"/>
      <c r="N76" s="74"/>
      <c r="O76" s="90" t="s">
        <v>305</v>
      </c>
      <c r="P76" s="93">
        <v>44483.35603009259</v>
      </c>
      <c r="Q76" s="90" t="s">
        <v>2140</v>
      </c>
      <c r="R76" s="96" t="str">
        <f>HYPERLINK("https://talouskurssi.fi")</f>
        <v>https://talouskurssi.fi</v>
      </c>
      <c r="S76" s="90" t="s">
        <v>334</v>
      </c>
      <c r="T76" s="90"/>
      <c r="U76" s="96" t="str">
        <f>HYPERLINK("https://pbs.twimg.com/media/FBpWom9XIAAjFw3.jpg")</f>
        <v>https://pbs.twimg.com/media/FBpWom9XIAAjFw3.jpg</v>
      </c>
      <c r="V76" s="96" t="str">
        <f>HYPERLINK("https://pbs.twimg.com/media/FBpWom9XIAAjFw3.jpg")</f>
        <v>https://pbs.twimg.com/media/FBpWom9XIAAjFw3.jpg</v>
      </c>
      <c r="W76" s="93">
        <v>44483.35603009259</v>
      </c>
      <c r="X76" s="102">
        <v>44483</v>
      </c>
      <c r="Y76" s="99" t="s">
        <v>2156</v>
      </c>
      <c r="Z76" s="96" t="str">
        <f>HYPERLINK("https://twitter.com/juuhaa/status/1448567421426601986")</f>
        <v>https://twitter.com/juuhaa/status/1448567421426601986</v>
      </c>
      <c r="AA76" s="90"/>
      <c r="AB76" s="90"/>
      <c r="AC76" s="99" t="s">
        <v>2202</v>
      </c>
      <c r="AD76" s="90"/>
      <c r="AE76" s="90" t="b">
        <v>0</v>
      </c>
      <c r="AF76" s="90">
        <v>0</v>
      </c>
      <c r="AG76" s="99" t="s">
        <v>535</v>
      </c>
      <c r="AH76" s="90" t="b">
        <v>0</v>
      </c>
      <c r="AI76" s="90" t="s">
        <v>537</v>
      </c>
      <c r="AJ76" s="90"/>
      <c r="AK76" s="99" t="s">
        <v>535</v>
      </c>
      <c r="AL76" s="90" t="b">
        <v>0</v>
      </c>
      <c r="AM76" s="90">
        <v>9</v>
      </c>
      <c r="AN76" s="99" t="s">
        <v>538</v>
      </c>
      <c r="AO76" s="99" t="s">
        <v>542</v>
      </c>
      <c r="AP76" s="90" t="b">
        <v>0</v>
      </c>
      <c r="AQ76" s="99" t="s">
        <v>538</v>
      </c>
      <c r="AR76" s="90" t="s">
        <v>187</v>
      </c>
      <c r="AS76" s="90">
        <v>0</v>
      </c>
      <c r="AT76" s="90">
        <v>0</v>
      </c>
      <c r="AU76" s="90"/>
      <c r="AV76" s="90"/>
      <c r="AW76" s="90"/>
      <c r="AX76" s="90"/>
      <c r="AY76" s="90"/>
      <c r="AZ76" s="90"/>
      <c r="BA76" s="90"/>
      <c r="BB76" s="90"/>
      <c r="BC76" s="90">
        <v>1</v>
      </c>
      <c r="BD76" s="89" t="str">
        <f>REPLACE(INDEX(GroupVertices[Group],MATCH(Edges[[#This Row],[Vertex 1]],GroupVertices[Vertex],0)),1,1,"")</f>
        <v>2</v>
      </c>
      <c r="BE76" s="89" t="str">
        <f>REPLACE(INDEX(GroupVertices[Group],MATCH(Edges[[#This Row],[Vertex 2]],GroupVertices[Vertex],0)),1,1,"")</f>
        <v>2</v>
      </c>
      <c r="BF76" s="49">
        <v>0</v>
      </c>
      <c r="BG76" s="50">
        <v>0</v>
      </c>
      <c r="BH76" s="49">
        <v>0</v>
      </c>
      <c r="BI76" s="50">
        <v>0</v>
      </c>
      <c r="BJ76" s="49">
        <v>0</v>
      </c>
      <c r="BK76" s="50">
        <v>0</v>
      </c>
      <c r="BL76" s="49">
        <v>32</v>
      </c>
      <c r="BM76" s="50">
        <v>100</v>
      </c>
      <c r="BN76" s="49">
        <v>32</v>
      </c>
    </row>
    <row r="77" spans="1:66" ht="15">
      <c r="A77" s="66" t="s">
        <v>235</v>
      </c>
      <c r="B77" s="66" t="s">
        <v>299</v>
      </c>
      <c r="C77" s="67" t="s">
        <v>2108</v>
      </c>
      <c r="D77" s="68">
        <v>1</v>
      </c>
      <c r="E77" s="69" t="s">
        <v>132</v>
      </c>
      <c r="F77" s="70">
        <v>32</v>
      </c>
      <c r="G77" s="67" t="s">
        <v>51</v>
      </c>
      <c r="H77" s="71"/>
      <c r="I77" s="72"/>
      <c r="J77" s="72"/>
      <c r="K77" s="35" t="s">
        <v>65</v>
      </c>
      <c r="L77" s="79">
        <v>77</v>
      </c>
      <c r="M77" s="79"/>
      <c r="N77" s="74"/>
      <c r="O77" s="90" t="s">
        <v>306</v>
      </c>
      <c r="P77" s="93">
        <v>44483.28855324074</v>
      </c>
      <c r="Q77" s="90" t="s">
        <v>310</v>
      </c>
      <c r="R77" s="96" t="str">
        <f>HYPERLINK("https://talouskurssi.fi/")</f>
        <v>https://talouskurssi.fi/</v>
      </c>
      <c r="S77" s="90" t="s">
        <v>334</v>
      </c>
      <c r="T77" s="99" t="s">
        <v>338</v>
      </c>
      <c r="U77" s="96" t="str">
        <f>HYPERLINK("https://pbs.twimg.com/ext_tw_video_thumb/1448527896562348036/pu/img/0PqSbNMaXHvzKHCc.jpg")</f>
        <v>https://pbs.twimg.com/ext_tw_video_thumb/1448527896562348036/pu/img/0PqSbNMaXHvzKHCc.jpg</v>
      </c>
      <c r="V77" s="96" t="str">
        <f>HYPERLINK("https://pbs.twimg.com/ext_tw_video_thumb/1448527896562348036/pu/img/0PqSbNMaXHvzKHCc.jpg")</f>
        <v>https://pbs.twimg.com/ext_tw_video_thumb/1448527896562348036/pu/img/0PqSbNMaXHvzKHCc.jpg</v>
      </c>
      <c r="W77" s="93">
        <v>44483.28855324074</v>
      </c>
      <c r="X77" s="102">
        <v>44483</v>
      </c>
      <c r="Y77" s="99" t="s">
        <v>356</v>
      </c>
      <c r="Z77" s="96" t="str">
        <f>HYPERLINK("https://twitter.com/vatt_tutkimus/status/1448542971025149955")</f>
        <v>https://twitter.com/vatt_tutkimus/status/1448542971025149955</v>
      </c>
      <c r="AA77" s="90"/>
      <c r="AB77" s="90"/>
      <c r="AC77" s="99" t="s">
        <v>450</v>
      </c>
      <c r="AD77" s="90"/>
      <c r="AE77" s="90" t="b">
        <v>0</v>
      </c>
      <c r="AF77" s="90">
        <v>0</v>
      </c>
      <c r="AG77" s="99" t="s">
        <v>535</v>
      </c>
      <c r="AH77" s="90" t="b">
        <v>0</v>
      </c>
      <c r="AI77" s="90" t="s">
        <v>537</v>
      </c>
      <c r="AJ77" s="90"/>
      <c r="AK77" s="99" t="s">
        <v>535</v>
      </c>
      <c r="AL77" s="90" t="b">
        <v>0</v>
      </c>
      <c r="AM77" s="90">
        <v>52</v>
      </c>
      <c r="AN77" s="99" t="s">
        <v>526</v>
      </c>
      <c r="AO77" s="99" t="s">
        <v>542</v>
      </c>
      <c r="AP77" s="90" t="b">
        <v>0</v>
      </c>
      <c r="AQ77" s="99" t="s">
        <v>526</v>
      </c>
      <c r="AR77" s="90" t="s">
        <v>187</v>
      </c>
      <c r="AS77" s="90">
        <v>0</v>
      </c>
      <c r="AT77" s="90">
        <v>0</v>
      </c>
      <c r="AU77" s="90"/>
      <c r="AV77" s="90"/>
      <c r="AW77" s="90"/>
      <c r="AX77" s="90"/>
      <c r="AY77" s="90"/>
      <c r="AZ77" s="90"/>
      <c r="BA77" s="90"/>
      <c r="BB77" s="90"/>
      <c r="BC77" s="90">
        <v>1</v>
      </c>
      <c r="BD77" s="89" t="str">
        <f>REPLACE(INDEX(GroupVertices[Group],MATCH(Edges[[#This Row],[Vertex 1]],GroupVertices[Vertex],0)),1,1,"")</f>
        <v>3</v>
      </c>
      <c r="BE77" s="89" t="str">
        <f>REPLACE(INDEX(GroupVertices[Group],MATCH(Edges[[#This Row],[Vertex 2]],GroupVertices[Vertex],0)),1,1,"")</f>
        <v>1</v>
      </c>
      <c r="BF77" s="49"/>
      <c r="BG77" s="50"/>
      <c r="BH77" s="49"/>
      <c r="BI77" s="50"/>
      <c r="BJ77" s="49"/>
      <c r="BK77" s="50"/>
      <c r="BL77" s="49"/>
      <c r="BM77" s="50"/>
      <c r="BN77" s="49"/>
    </row>
    <row r="78" spans="1:66" ht="15">
      <c r="A78" s="66" t="s">
        <v>235</v>
      </c>
      <c r="B78" s="66" t="s">
        <v>302</v>
      </c>
      <c r="C78" s="67" t="s">
        <v>2108</v>
      </c>
      <c r="D78" s="68">
        <v>1</v>
      </c>
      <c r="E78" s="69" t="s">
        <v>132</v>
      </c>
      <c r="F78" s="70">
        <v>32</v>
      </c>
      <c r="G78" s="67" t="s">
        <v>51</v>
      </c>
      <c r="H78" s="71"/>
      <c r="I78" s="72"/>
      <c r="J78" s="72"/>
      <c r="K78" s="35" t="s">
        <v>65</v>
      </c>
      <c r="L78" s="79">
        <v>78</v>
      </c>
      <c r="M78" s="79"/>
      <c r="N78" s="74"/>
      <c r="O78" s="90" t="s">
        <v>306</v>
      </c>
      <c r="P78" s="93">
        <v>44483.28855324074</v>
      </c>
      <c r="Q78" s="90" t="s">
        <v>310</v>
      </c>
      <c r="R78" s="96" t="str">
        <f>HYPERLINK("https://talouskurssi.fi/")</f>
        <v>https://talouskurssi.fi/</v>
      </c>
      <c r="S78" s="90" t="s">
        <v>334</v>
      </c>
      <c r="T78" s="99" t="s">
        <v>338</v>
      </c>
      <c r="U78" s="96" t="str">
        <f>HYPERLINK("https://pbs.twimg.com/ext_tw_video_thumb/1448527896562348036/pu/img/0PqSbNMaXHvzKHCc.jpg")</f>
        <v>https://pbs.twimg.com/ext_tw_video_thumb/1448527896562348036/pu/img/0PqSbNMaXHvzKHCc.jpg</v>
      </c>
      <c r="V78" s="96" t="str">
        <f>HYPERLINK("https://pbs.twimg.com/ext_tw_video_thumb/1448527896562348036/pu/img/0PqSbNMaXHvzKHCc.jpg")</f>
        <v>https://pbs.twimg.com/ext_tw_video_thumb/1448527896562348036/pu/img/0PqSbNMaXHvzKHCc.jpg</v>
      </c>
      <c r="W78" s="93">
        <v>44483.28855324074</v>
      </c>
      <c r="X78" s="102">
        <v>44483</v>
      </c>
      <c r="Y78" s="99" t="s">
        <v>356</v>
      </c>
      <c r="Z78" s="96" t="str">
        <f>HYPERLINK("https://twitter.com/vatt_tutkimus/status/1448542971025149955")</f>
        <v>https://twitter.com/vatt_tutkimus/status/1448542971025149955</v>
      </c>
      <c r="AA78" s="90"/>
      <c r="AB78" s="90"/>
      <c r="AC78" s="99" t="s">
        <v>450</v>
      </c>
      <c r="AD78" s="90"/>
      <c r="AE78" s="90" t="b">
        <v>0</v>
      </c>
      <c r="AF78" s="90">
        <v>0</v>
      </c>
      <c r="AG78" s="99" t="s">
        <v>535</v>
      </c>
      <c r="AH78" s="90" t="b">
        <v>0</v>
      </c>
      <c r="AI78" s="90" t="s">
        <v>537</v>
      </c>
      <c r="AJ78" s="90"/>
      <c r="AK78" s="99" t="s">
        <v>535</v>
      </c>
      <c r="AL78" s="90" t="b">
        <v>0</v>
      </c>
      <c r="AM78" s="90">
        <v>52</v>
      </c>
      <c r="AN78" s="99" t="s">
        <v>526</v>
      </c>
      <c r="AO78" s="99" t="s">
        <v>542</v>
      </c>
      <c r="AP78" s="90" t="b">
        <v>0</v>
      </c>
      <c r="AQ78" s="99" t="s">
        <v>526</v>
      </c>
      <c r="AR78" s="90" t="s">
        <v>187</v>
      </c>
      <c r="AS78" s="90">
        <v>0</v>
      </c>
      <c r="AT78" s="90">
        <v>0</v>
      </c>
      <c r="AU78" s="90"/>
      <c r="AV78" s="90"/>
      <c r="AW78" s="90"/>
      <c r="AX78" s="90"/>
      <c r="AY78" s="90"/>
      <c r="AZ78" s="90"/>
      <c r="BA78" s="90"/>
      <c r="BB78" s="90"/>
      <c r="BC78" s="90">
        <v>1</v>
      </c>
      <c r="BD78" s="89" t="str">
        <f>REPLACE(INDEX(GroupVertices[Group],MATCH(Edges[[#This Row],[Vertex 1]],GroupVertices[Vertex],0)),1,1,"")</f>
        <v>3</v>
      </c>
      <c r="BE78" s="89" t="str">
        <f>REPLACE(INDEX(GroupVertices[Group],MATCH(Edges[[#This Row],[Vertex 2]],GroupVertices[Vertex],0)),1,1,"")</f>
        <v>1</v>
      </c>
      <c r="BF78" s="49"/>
      <c r="BG78" s="50"/>
      <c r="BH78" s="49"/>
      <c r="BI78" s="50"/>
      <c r="BJ78" s="49"/>
      <c r="BK78" s="50"/>
      <c r="BL78" s="49"/>
      <c r="BM78" s="50"/>
      <c r="BN78" s="49"/>
    </row>
    <row r="79" spans="1:66" ht="15">
      <c r="A79" s="66" t="s">
        <v>235</v>
      </c>
      <c r="B79" s="66" t="s">
        <v>293</v>
      </c>
      <c r="C79" s="67" t="s">
        <v>2108</v>
      </c>
      <c r="D79" s="68">
        <v>1</v>
      </c>
      <c r="E79" s="69" t="s">
        <v>132</v>
      </c>
      <c r="F79" s="70">
        <v>32</v>
      </c>
      <c r="G79" s="67" t="s">
        <v>51</v>
      </c>
      <c r="H79" s="71"/>
      <c r="I79" s="72"/>
      <c r="J79" s="72"/>
      <c r="K79" s="35" t="s">
        <v>65</v>
      </c>
      <c r="L79" s="79">
        <v>79</v>
      </c>
      <c r="M79" s="79"/>
      <c r="N79" s="74"/>
      <c r="O79" s="90" t="s">
        <v>305</v>
      </c>
      <c r="P79" s="93">
        <v>44483.28855324074</v>
      </c>
      <c r="Q79" s="90" t="s">
        <v>310</v>
      </c>
      <c r="R79" s="96" t="str">
        <f>HYPERLINK("https://talouskurssi.fi/")</f>
        <v>https://talouskurssi.fi/</v>
      </c>
      <c r="S79" s="90" t="s">
        <v>334</v>
      </c>
      <c r="T79" s="99" t="s">
        <v>338</v>
      </c>
      <c r="U79" s="96" t="str">
        <f>HYPERLINK("https://pbs.twimg.com/ext_tw_video_thumb/1448527896562348036/pu/img/0PqSbNMaXHvzKHCc.jpg")</f>
        <v>https://pbs.twimg.com/ext_tw_video_thumb/1448527896562348036/pu/img/0PqSbNMaXHvzKHCc.jpg</v>
      </c>
      <c r="V79" s="96" t="str">
        <f>HYPERLINK("https://pbs.twimg.com/ext_tw_video_thumb/1448527896562348036/pu/img/0PqSbNMaXHvzKHCc.jpg")</f>
        <v>https://pbs.twimg.com/ext_tw_video_thumb/1448527896562348036/pu/img/0PqSbNMaXHvzKHCc.jpg</v>
      </c>
      <c r="W79" s="93">
        <v>44483.28855324074</v>
      </c>
      <c r="X79" s="102">
        <v>44483</v>
      </c>
      <c r="Y79" s="99" t="s">
        <v>356</v>
      </c>
      <c r="Z79" s="96" t="str">
        <f>HYPERLINK("https://twitter.com/vatt_tutkimus/status/1448542971025149955")</f>
        <v>https://twitter.com/vatt_tutkimus/status/1448542971025149955</v>
      </c>
      <c r="AA79" s="90"/>
      <c r="AB79" s="90"/>
      <c r="AC79" s="99" t="s">
        <v>450</v>
      </c>
      <c r="AD79" s="90"/>
      <c r="AE79" s="90" t="b">
        <v>0</v>
      </c>
      <c r="AF79" s="90">
        <v>0</v>
      </c>
      <c r="AG79" s="99" t="s">
        <v>535</v>
      </c>
      <c r="AH79" s="90" t="b">
        <v>0</v>
      </c>
      <c r="AI79" s="90" t="s">
        <v>537</v>
      </c>
      <c r="AJ79" s="90"/>
      <c r="AK79" s="99" t="s">
        <v>535</v>
      </c>
      <c r="AL79" s="90" t="b">
        <v>0</v>
      </c>
      <c r="AM79" s="90">
        <v>52</v>
      </c>
      <c r="AN79" s="99" t="s">
        <v>526</v>
      </c>
      <c r="AO79" s="99" t="s">
        <v>542</v>
      </c>
      <c r="AP79" s="90" t="b">
        <v>0</v>
      </c>
      <c r="AQ79" s="99" t="s">
        <v>526</v>
      </c>
      <c r="AR79" s="90" t="s">
        <v>187</v>
      </c>
      <c r="AS79" s="90">
        <v>0</v>
      </c>
      <c r="AT79" s="90">
        <v>0</v>
      </c>
      <c r="AU79" s="90"/>
      <c r="AV79" s="90"/>
      <c r="AW79" s="90"/>
      <c r="AX79" s="90"/>
      <c r="AY79" s="90"/>
      <c r="AZ79" s="90"/>
      <c r="BA79" s="90"/>
      <c r="BB79" s="90"/>
      <c r="BC79" s="90">
        <v>1</v>
      </c>
      <c r="BD79" s="89" t="str">
        <f>REPLACE(INDEX(GroupVertices[Group],MATCH(Edges[[#This Row],[Vertex 1]],GroupVertices[Vertex],0)),1,1,"")</f>
        <v>3</v>
      </c>
      <c r="BE79" s="89" t="str">
        <f>REPLACE(INDEX(GroupVertices[Group],MATCH(Edges[[#This Row],[Vertex 2]],GroupVertices[Vertex],0)),1,1,"")</f>
        <v>3</v>
      </c>
      <c r="BF79" s="49">
        <v>0</v>
      </c>
      <c r="BG79" s="50">
        <v>0</v>
      </c>
      <c r="BH79" s="49">
        <v>0</v>
      </c>
      <c r="BI79" s="50">
        <v>0</v>
      </c>
      <c r="BJ79" s="49">
        <v>0</v>
      </c>
      <c r="BK79" s="50">
        <v>0</v>
      </c>
      <c r="BL79" s="49">
        <v>28</v>
      </c>
      <c r="BM79" s="50">
        <v>100</v>
      </c>
      <c r="BN79" s="49">
        <v>28</v>
      </c>
    </row>
    <row r="80" spans="1:66" ht="15">
      <c r="A80" s="66" t="s">
        <v>235</v>
      </c>
      <c r="B80" s="66" t="s">
        <v>2133</v>
      </c>
      <c r="C80" s="67" t="s">
        <v>2108</v>
      </c>
      <c r="D80" s="68">
        <v>1</v>
      </c>
      <c r="E80" s="69" t="s">
        <v>132</v>
      </c>
      <c r="F80" s="70">
        <v>32</v>
      </c>
      <c r="G80" s="67" t="s">
        <v>51</v>
      </c>
      <c r="H80" s="71"/>
      <c r="I80" s="72"/>
      <c r="J80" s="72"/>
      <c r="K80" s="35" t="s">
        <v>65</v>
      </c>
      <c r="L80" s="79">
        <v>80</v>
      </c>
      <c r="M80" s="79"/>
      <c r="N80" s="74"/>
      <c r="O80" s="90" t="s">
        <v>305</v>
      </c>
      <c r="P80" s="93">
        <v>44483.35967592592</v>
      </c>
      <c r="Q80" s="90" t="s">
        <v>2141</v>
      </c>
      <c r="R80" s="90" t="s">
        <v>2150</v>
      </c>
      <c r="S80" s="90" t="s">
        <v>2152</v>
      </c>
      <c r="T80" s="90"/>
      <c r="U80" s="90"/>
      <c r="V80" s="96" t="str">
        <f>HYPERLINK("https://pbs.twimg.com/profile_images/494797928439881728/E--S-qDW_normal.png")</f>
        <v>https://pbs.twimg.com/profile_images/494797928439881728/E--S-qDW_normal.png</v>
      </c>
      <c r="W80" s="93">
        <v>44483.35967592592</v>
      </c>
      <c r="X80" s="102">
        <v>44483</v>
      </c>
      <c r="Y80" s="99" t="s">
        <v>2157</v>
      </c>
      <c r="Z80" s="96" t="str">
        <f>HYPERLINK("https://twitter.com/vatt_tutkimus/status/1448568744318586884")</f>
        <v>https://twitter.com/vatt_tutkimus/status/1448568744318586884</v>
      </c>
      <c r="AA80" s="90"/>
      <c r="AB80" s="90"/>
      <c r="AC80" s="99" t="s">
        <v>2203</v>
      </c>
      <c r="AD80" s="90"/>
      <c r="AE80" s="90" t="b">
        <v>0</v>
      </c>
      <c r="AF80" s="90">
        <v>0</v>
      </c>
      <c r="AG80" s="99" t="s">
        <v>535</v>
      </c>
      <c r="AH80" s="90" t="b">
        <v>0</v>
      </c>
      <c r="AI80" s="90" t="s">
        <v>537</v>
      </c>
      <c r="AJ80" s="90"/>
      <c r="AK80" s="99" t="s">
        <v>535</v>
      </c>
      <c r="AL80" s="90" t="b">
        <v>0</v>
      </c>
      <c r="AM80" s="90">
        <v>4</v>
      </c>
      <c r="AN80" s="99" t="s">
        <v>2230</v>
      </c>
      <c r="AO80" s="99" t="s">
        <v>542</v>
      </c>
      <c r="AP80" s="90" t="b">
        <v>0</v>
      </c>
      <c r="AQ80" s="99" t="s">
        <v>2230</v>
      </c>
      <c r="AR80" s="90" t="s">
        <v>187</v>
      </c>
      <c r="AS80" s="90">
        <v>0</v>
      </c>
      <c r="AT80" s="90">
        <v>0</v>
      </c>
      <c r="AU80" s="90"/>
      <c r="AV80" s="90"/>
      <c r="AW80" s="90"/>
      <c r="AX80" s="90"/>
      <c r="AY80" s="90"/>
      <c r="AZ80" s="90"/>
      <c r="BA80" s="90"/>
      <c r="BB80" s="90"/>
      <c r="BC80" s="90">
        <v>1</v>
      </c>
      <c r="BD80" s="89" t="str">
        <f>REPLACE(INDEX(GroupVertices[Group],MATCH(Edges[[#This Row],[Vertex 1]],GroupVertices[Vertex],0)),1,1,"")</f>
        <v>3</v>
      </c>
      <c r="BE80" s="89" t="str">
        <f>REPLACE(INDEX(GroupVertices[Group],MATCH(Edges[[#This Row],[Vertex 2]],GroupVertices[Vertex],0)),1,1,"")</f>
        <v>3</v>
      </c>
      <c r="BF80" s="49">
        <v>0</v>
      </c>
      <c r="BG80" s="50">
        <v>0</v>
      </c>
      <c r="BH80" s="49">
        <v>0</v>
      </c>
      <c r="BI80" s="50">
        <v>0</v>
      </c>
      <c r="BJ80" s="49">
        <v>0</v>
      </c>
      <c r="BK80" s="50">
        <v>0</v>
      </c>
      <c r="BL80" s="49">
        <v>31</v>
      </c>
      <c r="BM80" s="50">
        <v>100</v>
      </c>
      <c r="BN80" s="49">
        <v>31</v>
      </c>
    </row>
    <row r="81" spans="1:66" ht="15">
      <c r="A81" s="66" t="s">
        <v>251</v>
      </c>
      <c r="B81" s="66" t="s">
        <v>299</v>
      </c>
      <c r="C81" s="67" t="s">
        <v>2108</v>
      </c>
      <c r="D81" s="68">
        <v>1</v>
      </c>
      <c r="E81" s="69" t="s">
        <v>132</v>
      </c>
      <c r="F81" s="70">
        <v>32</v>
      </c>
      <c r="G81" s="67" t="s">
        <v>51</v>
      </c>
      <c r="H81" s="71"/>
      <c r="I81" s="72"/>
      <c r="J81" s="72"/>
      <c r="K81" s="35" t="s">
        <v>65</v>
      </c>
      <c r="L81" s="79">
        <v>81</v>
      </c>
      <c r="M81" s="79"/>
      <c r="N81" s="74"/>
      <c r="O81" s="90" t="s">
        <v>306</v>
      </c>
      <c r="P81" s="93">
        <v>44483.36116898148</v>
      </c>
      <c r="Q81" s="90" t="s">
        <v>310</v>
      </c>
      <c r="R81" s="96" t="str">
        <f>HYPERLINK("https://talouskurssi.fi/")</f>
        <v>https://talouskurssi.fi/</v>
      </c>
      <c r="S81" s="90" t="s">
        <v>334</v>
      </c>
      <c r="T81" s="99" t="s">
        <v>338</v>
      </c>
      <c r="U81" s="96" t="str">
        <f>HYPERLINK("https://pbs.twimg.com/ext_tw_video_thumb/1448527896562348036/pu/img/0PqSbNMaXHvzKHCc.jpg")</f>
        <v>https://pbs.twimg.com/ext_tw_video_thumb/1448527896562348036/pu/img/0PqSbNMaXHvzKHCc.jpg</v>
      </c>
      <c r="V81" s="96" t="str">
        <f>HYPERLINK("https://pbs.twimg.com/ext_tw_video_thumb/1448527896562348036/pu/img/0PqSbNMaXHvzKHCc.jpg")</f>
        <v>https://pbs.twimg.com/ext_tw_video_thumb/1448527896562348036/pu/img/0PqSbNMaXHvzKHCc.jpg</v>
      </c>
      <c r="W81" s="93">
        <v>44483.36116898148</v>
      </c>
      <c r="X81" s="102">
        <v>44483</v>
      </c>
      <c r="Y81" s="99" t="s">
        <v>372</v>
      </c>
      <c r="Z81" s="96" t="str">
        <f>HYPERLINK("https://twitter.com/jtwiitteri/status/1448569286516166657")</f>
        <v>https://twitter.com/jtwiitteri/status/1448569286516166657</v>
      </c>
      <c r="AA81" s="90"/>
      <c r="AB81" s="90"/>
      <c r="AC81" s="99" t="s">
        <v>466</v>
      </c>
      <c r="AD81" s="90"/>
      <c r="AE81" s="90" t="b">
        <v>0</v>
      </c>
      <c r="AF81" s="90">
        <v>0</v>
      </c>
      <c r="AG81" s="99" t="s">
        <v>535</v>
      </c>
      <c r="AH81" s="90" t="b">
        <v>0</v>
      </c>
      <c r="AI81" s="90" t="s">
        <v>537</v>
      </c>
      <c r="AJ81" s="90"/>
      <c r="AK81" s="99" t="s">
        <v>535</v>
      </c>
      <c r="AL81" s="90" t="b">
        <v>0</v>
      </c>
      <c r="AM81" s="90">
        <v>52</v>
      </c>
      <c r="AN81" s="99" t="s">
        <v>526</v>
      </c>
      <c r="AO81" s="99" t="s">
        <v>545</v>
      </c>
      <c r="AP81" s="90" t="b">
        <v>0</v>
      </c>
      <c r="AQ81" s="99" t="s">
        <v>526</v>
      </c>
      <c r="AR81" s="90" t="s">
        <v>187</v>
      </c>
      <c r="AS81" s="90">
        <v>0</v>
      </c>
      <c r="AT81" s="90">
        <v>0</v>
      </c>
      <c r="AU81" s="90"/>
      <c r="AV81" s="90"/>
      <c r="AW81" s="90"/>
      <c r="AX81" s="90"/>
      <c r="AY81" s="90"/>
      <c r="AZ81" s="90"/>
      <c r="BA81" s="90"/>
      <c r="BB81" s="90"/>
      <c r="BC81" s="90">
        <v>1</v>
      </c>
      <c r="BD81" s="89" t="str">
        <f>REPLACE(INDEX(GroupVertices[Group],MATCH(Edges[[#This Row],[Vertex 1]],GroupVertices[Vertex],0)),1,1,"")</f>
        <v>1</v>
      </c>
      <c r="BE81" s="89" t="str">
        <f>REPLACE(INDEX(GroupVertices[Group],MATCH(Edges[[#This Row],[Vertex 2]],GroupVertices[Vertex],0)),1,1,"")</f>
        <v>1</v>
      </c>
      <c r="BF81" s="49"/>
      <c r="BG81" s="50"/>
      <c r="BH81" s="49"/>
      <c r="BI81" s="50"/>
      <c r="BJ81" s="49"/>
      <c r="BK81" s="50"/>
      <c r="BL81" s="49"/>
      <c r="BM81" s="50"/>
      <c r="BN81" s="49"/>
    </row>
    <row r="82" spans="1:66" ht="15">
      <c r="A82" s="66" t="s">
        <v>251</v>
      </c>
      <c r="B82" s="66" t="s">
        <v>302</v>
      </c>
      <c r="C82" s="67" t="s">
        <v>2108</v>
      </c>
      <c r="D82" s="68">
        <v>1</v>
      </c>
      <c r="E82" s="69" t="s">
        <v>132</v>
      </c>
      <c r="F82" s="70">
        <v>32</v>
      </c>
      <c r="G82" s="67" t="s">
        <v>51</v>
      </c>
      <c r="H82" s="71"/>
      <c r="I82" s="72"/>
      <c r="J82" s="72"/>
      <c r="K82" s="35" t="s">
        <v>65</v>
      </c>
      <c r="L82" s="79">
        <v>82</v>
      </c>
      <c r="M82" s="79"/>
      <c r="N82" s="74"/>
      <c r="O82" s="90" t="s">
        <v>306</v>
      </c>
      <c r="P82" s="93">
        <v>44483.36116898148</v>
      </c>
      <c r="Q82" s="90" t="s">
        <v>310</v>
      </c>
      <c r="R82" s="96" t="str">
        <f>HYPERLINK("https://talouskurssi.fi/")</f>
        <v>https://talouskurssi.fi/</v>
      </c>
      <c r="S82" s="90" t="s">
        <v>334</v>
      </c>
      <c r="T82" s="99" t="s">
        <v>338</v>
      </c>
      <c r="U82" s="96" t="str">
        <f>HYPERLINK("https://pbs.twimg.com/ext_tw_video_thumb/1448527896562348036/pu/img/0PqSbNMaXHvzKHCc.jpg")</f>
        <v>https://pbs.twimg.com/ext_tw_video_thumb/1448527896562348036/pu/img/0PqSbNMaXHvzKHCc.jpg</v>
      </c>
      <c r="V82" s="96" t="str">
        <f>HYPERLINK("https://pbs.twimg.com/ext_tw_video_thumb/1448527896562348036/pu/img/0PqSbNMaXHvzKHCc.jpg")</f>
        <v>https://pbs.twimg.com/ext_tw_video_thumb/1448527896562348036/pu/img/0PqSbNMaXHvzKHCc.jpg</v>
      </c>
      <c r="W82" s="93">
        <v>44483.36116898148</v>
      </c>
      <c r="X82" s="102">
        <v>44483</v>
      </c>
      <c r="Y82" s="99" t="s">
        <v>372</v>
      </c>
      <c r="Z82" s="96" t="str">
        <f>HYPERLINK("https://twitter.com/jtwiitteri/status/1448569286516166657")</f>
        <v>https://twitter.com/jtwiitteri/status/1448569286516166657</v>
      </c>
      <c r="AA82" s="90"/>
      <c r="AB82" s="90"/>
      <c r="AC82" s="99" t="s">
        <v>466</v>
      </c>
      <c r="AD82" s="90"/>
      <c r="AE82" s="90" t="b">
        <v>0</v>
      </c>
      <c r="AF82" s="90">
        <v>0</v>
      </c>
      <c r="AG82" s="99" t="s">
        <v>535</v>
      </c>
      <c r="AH82" s="90" t="b">
        <v>0</v>
      </c>
      <c r="AI82" s="90" t="s">
        <v>537</v>
      </c>
      <c r="AJ82" s="90"/>
      <c r="AK82" s="99" t="s">
        <v>535</v>
      </c>
      <c r="AL82" s="90" t="b">
        <v>0</v>
      </c>
      <c r="AM82" s="90">
        <v>52</v>
      </c>
      <c r="AN82" s="99" t="s">
        <v>526</v>
      </c>
      <c r="AO82" s="99" t="s">
        <v>545</v>
      </c>
      <c r="AP82" s="90" t="b">
        <v>0</v>
      </c>
      <c r="AQ82" s="99" t="s">
        <v>526</v>
      </c>
      <c r="AR82" s="90" t="s">
        <v>187</v>
      </c>
      <c r="AS82" s="90">
        <v>0</v>
      </c>
      <c r="AT82" s="90">
        <v>0</v>
      </c>
      <c r="AU82" s="90"/>
      <c r="AV82" s="90"/>
      <c r="AW82" s="90"/>
      <c r="AX82" s="90"/>
      <c r="AY82" s="90"/>
      <c r="AZ82" s="90"/>
      <c r="BA82" s="90"/>
      <c r="BB82" s="90"/>
      <c r="BC82" s="90">
        <v>1</v>
      </c>
      <c r="BD82" s="89" t="str">
        <f>REPLACE(INDEX(GroupVertices[Group],MATCH(Edges[[#This Row],[Vertex 1]],GroupVertices[Vertex],0)),1,1,"")</f>
        <v>1</v>
      </c>
      <c r="BE82" s="89" t="str">
        <f>REPLACE(INDEX(GroupVertices[Group],MATCH(Edges[[#This Row],[Vertex 2]],GroupVertices[Vertex],0)),1,1,"")</f>
        <v>1</v>
      </c>
      <c r="BF82" s="49"/>
      <c r="BG82" s="50"/>
      <c r="BH82" s="49"/>
      <c r="BI82" s="50"/>
      <c r="BJ82" s="49"/>
      <c r="BK82" s="50"/>
      <c r="BL82" s="49"/>
      <c r="BM82" s="50"/>
      <c r="BN82" s="49"/>
    </row>
    <row r="83" spans="1:66" ht="15">
      <c r="A83" s="66" t="s">
        <v>251</v>
      </c>
      <c r="B83" s="66" t="s">
        <v>293</v>
      </c>
      <c r="C83" s="67" t="s">
        <v>2108</v>
      </c>
      <c r="D83" s="68">
        <v>1</v>
      </c>
      <c r="E83" s="69" t="s">
        <v>132</v>
      </c>
      <c r="F83" s="70">
        <v>32</v>
      </c>
      <c r="G83" s="67" t="s">
        <v>51</v>
      </c>
      <c r="H83" s="71"/>
      <c r="I83" s="72"/>
      <c r="J83" s="72"/>
      <c r="K83" s="35" t="s">
        <v>65</v>
      </c>
      <c r="L83" s="79">
        <v>83</v>
      </c>
      <c r="M83" s="79"/>
      <c r="N83" s="74"/>
      <c r="O83" s="90" t="s">
        <v>305</v>
      </c>
      <c r="P83" s="93">
        <v>44483.36116898148</v>
      </c>
      <c r="Q83" s="90" t="s">
        <v>310</v>
      </c>
      <c r="R83" s="96" t="str">
        <f>HYPERLINK("https://talouskurssi.fi/")</f>
        <v>https://talouskurssi.fi/</v>
      </c>
      <c r="S83" s="90" t="s">
        <v>334</v>
      </c>
      <c r="T83" s="99" t="s">
        <v>338</v>
      </c>
      <c r="U83" s="96" t="str">
        <f>HYPERLINK("https://pbs.twimg.com/ext_tw_video_thumb/1448527896562348036/pu/img/0PqSbNMaXHvzKHCc.jpg")</f>
        <v>https://pbs.twimg.com/ext_tw_video_thumb/1448527896562348036/pu/img/0PqSbNMaXHvzKHCc.jpg</v>
      </c>
      <c r="V83" s="96" t="str">
        <f>HYPERLINK("https://pbs.twimg.com/ext_tw_video_thumb/1448527896562348036/pu/img/0PqSbNMaXHvzKHCc.jpg")</f>
        <v>https://pbs.twimg.com/ext_tw_video_thumb/1448527896562348036/pu/img/0PqSbNMaXHvzKHCc.jpg</v>
      </c>
      <c r="W83" s="93">
        <v>44483.36116898148</v>
      </c>
      <c r="X83" s="102">
        <v>44483</v>
      </c>
      <c r="Y83" s="99" t="s">
        <v>372</v>
      </c>
      <c r="Z83" s="96" t="str">
        <f>HYPERLINK("https://twitter.com/jtwiitteri/status/1448569286516166657")</f>
        <v>https://twitter.com/jtwiitteri/status/1448569286516166657</v>
      </c>
      <c r="AA83" s="90"/>
      <c r="AB83" s="90"/>
      <c r="AC83" s="99" t="s">
        <v>466</v>
      </c>
      <c r="AD83" s="90"/>
      <c r="AE83" s="90" t="b">
        <v>0</v>
      </c>
      <c r="AF83" s="90">
        <v>0</v>
      </c>
      <c r="AG83" s="99" t="s">
        <v>535</v>
      </c>
      <c r="AH83" s="90" t="b">
        <v>0</v>
      </c>
      <c r="AI83" s="90" t="s">
        <v>537</v>
      </c>
      <c r="AJ83" s="90"/>
      <c r="AK83" s="99" t="s">
        <v>535</v>
      </c>
      <c r="AL83" s="90" t="b">
        <v>0</v>
      </c>
      <c r="AM83" s="90">
        <v>52</v>
      </c>
      <c r="AN83" s="99" t="s">
        <v>526</v>
      </c>
      <c r="AO83" s="99" t="s">
        <v>545</v>
      </c>
      <c r="AP83" s="90" t="b">
        <v>0</v>
      </c>
      <c r="AQ83" s="99" t="s">
        <v>526</v>
      </c>
      <c r="AR83" s="90" t="s">
        <v>187</v>
      </c>
      <c r="AS83" s="90">
        <v>0</v>
      </c>
      <c r="AT83" s="90">
        <v>0</v>
      </c>
      <c r="AU83" s="90"/>
      <c r="AV83" s="90"/>
      <c r="AW83" s="90"/>
      <c r="AX83" s="90"/>
      <c r="AY83" s="90"/>
      <c r="AZ83" s="90"/>
      <c r="BA83" s="90"/>
      <c r="BB83" s="90"/>
      <c r="BC83" s="90">
        <v>1</v>
      </c>
      <c r="BD83" s="89" t="str">
        <f>REPLACE(INDEX(GroupVertices[Group],MATCH(Edges[[#This Row],[Vertex 1]],GroupVertices[Vertex],0)),1,1,"")</f>
        <v>1</v>
      </c>
      <c r="BE83" s="89" t="str">
        <f>REPLACE(INDEX(GroupVertices[Group],MATCH(Edges[[#This Row],[Vertex 2]],GroupVertices[Vertex],0)),1,1,"")</f>
        <v>3</v>
      </c>
      <c r="BF83" s="49">
        <v>0</v>
      </c>
      <c r="BG83" s="50">
        <v>0</v>
      </c>
      <c r="BH83" s="49">
        <v>0</v>
      </c>
      <c r="BI83" s="50">
        <v>0</v>
      </c>
      <c r="BJ83" s="49">
        <v>0</v>
      </c>
      <c r="BK83" s="50">
        <v>0</v>
      </c>
      <c r="BL83" s="49">
        <v>28</v>
      </c>
      <c r="BM83" s="50">
        <v>100</v>
      </c>
      <c r="BN83" s="49">
        <v>28</v>
      </c>
    </row>
    <row r="84" spans="1:66" ht="15">
      <c r="A84" s="66" t="s">
        <v>2116</v>
      </c>
      <c r="B84" s="66" t="s">
        <v>295</v>
      </c>
      <c r="C84" s="67" t="s">
        <v>2108</v>
      </c>
      <c r="D84" s="68">
        <v>1</v>
      </c>
      <c r="E84" s="69" t="s">
        <v>132</v>
      </c>
      <c r="F84" s="70">
        <v>32</v>
      </c>
      <c r="G84" s="67" t="s">
        <v>51</v>
      </c>
      <c r="H84" s="71"/>
      <c r="I84" s="72"/>
      <c r="J84" s="72"/>
      <c r="K84" s="35" t="s">
        <v>65</v>
      </c>
      <c r="L84" s="79">
        <v>84</v>
      </c>
      <c r="M84" s="79"/>
      <c r="N84" s="74"/>
      <c r="O84" s="90" t="s">
        <v>306</v>
      </c>
      <c r="P84" s="93">
        <v>44483.3612037037</v>
      </c>
      <c r="Q84" s="90" t="s">
        <v>2139</v>
      </c>
      <c r="R84" s="96" t="str">
        <f>HYPERLINK("https://talouskurssi.fi/?fbclid=IwAR3lQxACK6cI50BBFObd0zCsOMC4Cq1tFNNNCY5sktWLRNSCs13ALYuQ2cg")</f>
        <v>https://talouskurssi.fi/?fbclid=IwAR3lQxACK6cI50BBFObd0zCsOMC4Cq1tFNNNCY5sktWLRNSCs13ALYuQ2cg</v>
      </c>
      <c r="S84" s="90" t="s">
        <v>334</v>
      </c>
      <c r="T84" s="90"/>
      <c r="U84" s="90"/>
      <c r="V84" s="96" t="str">
        <f>HYPERLINK("https://pbs.twimg.com/profile_images/591215120748974080/i79idHrL_normal.jpg")</f>
        <v>https://pbs.twimg.com/profile_images/591215120748974080/i79idHrL_normal.jpg</v>
      </c>
      <c r="W84" s="93">
        <v>44483.3612037037</v>
      </c>
      <c r="X84" s="102">
        <v>44483</v>
      </c>
      <c r="Y84" s="99" t="s">
        <v>2158</v>
      </c>
      <c r="Z84" s="96" t="str">
        <f>HYPERLINK("https://twitter.com/k21900/status/1448569300240027652")</f>
        <v>https://twitter.com/k21900/status/1448569300240027652</v>
      </c>
      <c r="AA84" s="90"/>
      <c r="AB84" s="90"/>
      <c r="AC84" s="99" t="s">
        <v>2204</v>
      </c>
      <c r="AD84" s="90"/>
      <c r="AE84" s="90" t="b">
        <v>0</v>
      </c>
      <c r="AF84" s="90">
        <v>0</v>
      </c>
      <c r="AG84" s="99" t="s">
        <v>535</v>
      </c>
      <c r="AH84" s="90" t="b">
        <v>0</v>
      </c>
      <c r="AI84" s="90" t="s">
        <v>537</v>
      </c>
      <c r="AJ84" s="90"/>
      <c r="AK84" s="99" t="s">
        <v>535</v>
      </c>
      <c r="AL84" s="90" t="b">
        <v>0</v>
      </c>
      <c r="AM84" s="90">
        <v>7</v>
      </c>
      <c r="AN84" s="99" t="s">
        <v>2239</v>
      </c>
      <c r="AO84" s="99" t="s">
        <v>542</v>
      </c>
      <c r="AP84" s="90" t="b">
        <v>0</v>
      </c>
      <c r="AQ84" s="99" t="s">
        <v>2239</v>
      </c>
      <c r="AR84" s="90" t="s">
        <v>187</v>
      </c>
      <c r="AS84" s="90">
        <v>0</v>
      </c>
      <c r="AT84" s="90">
        <v>0</v>
      </c>
      <c r="AU84" s="90"/>
      <c r="AV84" s="90"/>
      <c r="AW84" s="90"/>
      <c r="AX84" s="90"/>
      <c r="AY84" s="90"/>
      <c r="AZ84" s="90"/>
      <c r="BA84" s="90"/>
      <c r="BB84" s="90"/>
      <c r="BC84" s="90">
        <v>1</v>
      </c>
      <c r="BD84" s="89" t="str">
        <f>REPLACE(INDEX(GroupVertices[Group],MATCH(Edges[[#This Row],[Vertex 1]],GroupVertices[Vertex],0)),1,1,"")</f>
        <v>2</v>
      </c>
      <c r="BE84" s="89" t="str">
        <f>REPLACE(INDEX(GroupVertices[Group],MATCH(Edges[[#This Row],[Vertex 2]],GroupVertices[Vertex],0)),1,1,"")</f>
        <v>2</v>
      </c>
      <c r="BF84" s="49"/>
      <c r="BG84" s="50"/>
      <c r="BH84" s="49"/>
      <c r="BI84" s="50"/>
      <c r="BJ84" s="49"/>
      <c r="BK84" s="50"/>
      <c r="BL84" s="49"/>
      <c r="BM84" s="50"/>
      <c r="BN84" s="49"/>
    </row>
    <row r="85" spans="1:66" ht="15">
      <c r="A85" s="66" t="s">
        <v>2116</v>
      </c>
      <c r="B85" s="66" t="s">
        <v>260</v>
      </c>
      <c r="C85" s="67" t="s">
        <v>2108</v>
      </c>
      <c r="D85" s="68">
        <v>1</v>
      </c>
      <c r="E85" s="69" t="s">
        <v>132</v>
      </c>
      <c r="F85" s="70">
        <v>32</v>
      </c>
      <c r="G85" s="67" t="s">
        <v>51</v>
      </c>
      <c r="H85" s="71"/>
      <c r="I85" s="72"/>
      <c r="J85" s="72"/>
      <c r="K85" s="35" t="s">
        <v>65</v>
      </c>
      <c r="L85" s="79">
        <v>85</v>
      </c>
      <c r="M85" s="79"/>
      <c r="N85" s="74"/>
      <c r="O85" s="90" t="s">
        <v>306</v>
      </c>
      <c r="P85" s="93">
        <v>44483.3612037037</v>
      </c>
      <c r="Q85" s="90" t="s">
        <v>2139</v>
      </c>
      <c r="R85" s="96" t="str">
        <f>HYPERLINK("https://talouskurssi.fi/?fbclid=IwAR3lQxACK6cI50BBFObd0zCsOMC4Cq1tFNNNCY5sktWLRNSCs13ALYuQ2cg")</f>
        <v>https://talouskurssi.fi/?fbclid=IwAR3lQxACK6cI50BBFObd0zCsOMC4Cq1tFNNNCY5sktWLRNSCs13ALYuQ2cg</v>
      </c>
      <c r="S85" s="90" t="s">
        <v>334</v>
      </c>
      <c r="T85" s="90"/>
      <c r="U85" s="90"/>
      <c r="V85" s="96" t="str">
        <f>HYPERLINK("https://pbs.twimg.com/profile_images/591215120748974080/i79idHrL_normal.jpg")</f>
        <v>https://pbs.twimg.com/profile_images/591215120748974080/i79idHrL_normal.jpg</v>
      </c>
      <c r="W85" s="93">
        <v>44483.3612037037</v>
      </c>
      <c r="X85" s="102">
        <v>44483</v>
      </c>
      <c r="Y85" s="99" t="s">
        <v>2158</v>
      </c>
      <c r="Z85" s="96" t="str">
        <f>HYPERLINK("https://twitter.com/k21900/status/1448569300240027652")</f>
        <v>https://twitter.com/k21900/status/1448569300240027652</v>
      </c>
      <c r="AA85" s="90"/>
      <c r="AB85" s="90"/>
      <c r="AC85" s="99" t="s">
        <v>2204</v>
      </c>
      <c r="AD85" s="90"/>
      <c r="AE85" s="90" t="b">
        <v>0</v>
      </c>
      <c r="AF85" s="90">
        <v>0</v>
      </c>
      <c r="AG85" s="99" t="s">
        <v>535</v>
      </c>
      <c r="AH85" s="90" t="b">
        <v>0</v>
      </c>
      <c r="AI85" s="90" t="s">
        <v>537</v>
      </c>
      <c r="AJ85" s="90"/>
      <c r="AK85" s="99" t="s">
        <v>535</v>
      </c>
      <c r="AL85" s="90" t="b">
        <v>0</v>
      </c>
      <c r="AM85" s="90">
        <v>7</v>
      </c>
      <c r="AN85" s="99" t="s">
        <v>2239</v>
      </c>
      <c r="AO85" s="99" t="s">
        <v>542</v>
      </c>
      <c r="AP85" s="90" t="b">
        <v>0</v>
      </c>
      <c r="AQ85" s="99" t="s">
        <v>2239</v>
      </c>
      <c r="AR85" s="90" t="s">
        <v>187</v>
      </c>
      <c r="AS85" s="90">
        <v>0</v>
      </c>
      <c r="AT85" s="90">
        <v>0</v>
      </c>
      <c r="AU85" s="90"/>
      <c r="AV85" s="90"/>
      <c r="AW85" s="90"/>
      <c r="AX85" s="90"/>
      <c r="AY85" s="90"/>
      <c r="AZ85" s="90"/>
      <c r="BA85" s="90"/>
      <c r="BB85" s="90"/>
      <c r="BC85" s="90">
        <v>1</v>
      </c>
      <c r="BD85" s="89" t="str">
        <f>REPLACE(INDEX(GroupVertices[Group],MATCH(Edges[[#This Row],[Vertex 1]],GroupVertices[Vertex],0)),1,1,"")</f>
        <v>2</v>
      </c>
      <c r="BE85" s="89" t="str">
        <f>REPLACE(INDEX(GroupVertices[Group],MATCH(Edges[[#This Row],[Vertex 2]],GroupVertices[Vertex],0)),1,1,"")</f>
        <v>2</v>
      </c>
      <c r="BF85" s="49"/>
      <c r="BG85" s="50"/>
      <c r="BH85" s="49"/>
      <c r="BI85" s="50"/>
      <c r="BJ85" s="49"/>
      <c r="BK85" s="50"/>
      <c r="BL85" s="49"/>
      <c r="BM85" s="50"/>
      <c r="BN85" s="49"/>
    </row>
    <row r="86" spans="1:66" ht="15">
      <c r="A86" s="66" t="s">
        <v>2116</v>
      </c>
      <c r="B86" s="66" t="s">
        <v>299</v>
      </c>
      <c r="C86" s="67" t="s">
        <v>2108</v>
      </c>
      <c r="D86" s="68">
        <v>1</v>
      </c>
      <c r="E86" s="69" t="s">
        <v>132</v>
      </c>
      <c r="F86" s="70">
        <v>32</v>
      </c>
      <c r="G86" s="67" t="s">
        <v>51</v>
      </c>
      <c r="H86" s="71"/>
      <c r="I86" s="72"/>
      <c r="J86" s="72"/>
      <c r="K86" s="35" t="s">
        <v>65</v>
      </c>
      <c r="L86" s="79">
        <v>86</v>
      </c>
      <c r="M86" s="79"/>
      <c r="N86" s="74"/>
      <c r="O86" s="90" t="s">
        <v>306</v>
      </c>
      <c r="P86" s="93">
        <v>44483.3612037037</v>
      </c>
      <c r="Q86" s="90" t="s">
        <v>2139</v>
      </c>
      <c r="R86" s="96" t="str">
        <f>HYPERLINK("https://talouskurssi.fi/?fbclid=IwAR3lQxACK6cI50BBFObd0zCsOMC4Cq1tFNNNCY5sktWLRNSCs13ALYuQ2cg")</f>
        <v>https://talouskurssi.fi/?fbclid=IwAR3lQxACK6cI50BBFObd0zCsOMC4Cq1tFNNNCY5sktWLRNSCs13ALYuQ2cg</v>
      </c>
      <c r="S86" s="90" t="s">
        <v>334</v>
      </c>
      <c r="T86" s="90"/>
      <c r="U86" s="90"/>
      <c r="V86" s="96" t="str">
        <f>HYPERLINK("https://pbs.twimg.com/profile_images/591215120748974080/i79idHrL_normal.jpg")</f>
        <v>https://pbs.twimg.com/profile_images/591215120748974080/i79idHrL_normal.jpg</v>
      </c>
      <c r="W86" s="93">
        <v>44483.3612037037</v>
      </c>
      <c r="X86" s="102">
        <v>44483</v>
      </c>
      <c r="Y86" s="99" t="s">
        <v>2158</v>
      </c>
      <c r="Z86" s="96" t="str">
        <f>HYPERLINK("https://twitter.com/k21900/status/1448569300240027652")</f>
        <v>https://twitter.com/k21900/status/1448569300240027652</v>
      </c>
      <c r="AA86" s="90"/>
      <c r="AB86" s="90"/>
      <c r="AC86" s="99" t="s">
        <v>2204</v>
      </c>
      <c r="AD86" s="90"/>
      <c r="AE86" s="90" t="b">
        <v>0</v>
      </c>
      <c r="AF86" s="90">
        <v>0</v>
      </c>
      <c r="AG86" s="99" t="s">
        <v>535</v>
      </c>
      <c r="AH86" s="90" t="b">
        <v>0</v>
      </c>
      <c r="AI86" s="90" t="s">
        <v>537</v>
      </c>
      <c r="AJ86" s="90"/>
      <c r="AK86" s="99" t="s">
        <v>535</v>
      </c>
      <c r="AL86" s="90" t="b">
        <v>0</v>
      </c>
      <c r="AM86" s="90">
        <v>7</v>
      </c>
      <c r="AN86" s="99" t="s">
        <v>2239</v>
      </c>
      <c r="AO86" s="99" t="s">
        <v>542</v>
      </c>
      <c r="AP86" s="90" t="b">
        <v>0</v>
      </c>
      <c r="AQ86" s="99" t="s">
        <v>2239</v>
      </c>
      <c r="AR86" s="90" t="s">
        <v>187</v>
      </c>
      <c r="AS86" s="90">
        <v>0</v>
      </c>
      <c r="AT86" s="90">
        <v>0</v>
      </c>
      <c r="AU86" s="90"/>
      <c r="AV86" s="90"/>
      <c r="AW86" s="90"/>
      <c r="AX86" s="90"/>
      <c r="AY86" s="90"/>
      <c r="AZ86" s="90"/>
      <c r="BA86" s="90"/>
      <c r="BB86" s="90"/>
      <c r="BC86" s="90">
        <v>1</v>
      </c>
      <c r="BD86" s="89" t="str">
        <f>REPLACE(INDEX(GroupVertices[Group],MATCH(Edges[[#This Row],[Vertex 1]],GroupVertices[Vertex],0)),1,1,"")</f>
        <v>2</v>
      </c>
      <c r="BE86" s="89" t="str">
        <f>REPLACE(INDEX(GroupVertices[Group],MATCH(Edges[[#This Row],[Vertex 2]],GroupVertices[Vertex],0)),1,1,"")</f>
        <v>1</v>
      </c>
      <c r="BF86" s="49"/>
      <c r="BG86" s="50"/>
      <c r="BH86" s="49"/>
      <c r="BI86" s="50"/>
      <c r="BJ86" s="49"/>
      <c r="BK86" s="50"/>
      <c r="BL86" s="49"/>
      <c r="BM86" s="50"/>
      <c r="BN86" s="49"/>
    </row>
    <row r="87" spans="1:66" ht="15">
      <c r="A87" s="66" t="s">
        <v>2116</v>
      </c>
      <c r="B87" s="66" t="s">
        <v>293</v>
      </c>
      <c r="C87" s="67" t="s">
        <v>2108</v>
      </c>
      <c r="D87" s="68">
        <v>1</v>
      </c>
      <c r="E87" s="69" t="s">
        <v>132</v>
      </c>
      <c r="F87" s="70">
        <v>32</v>
      </c>
      <c r="G87" s="67" t="s">
        <v>51</v>
      </c>
      <c r="H87" s="71"/>
      <c r="I87" s="72"/>
      <c r="J87" s="72"/>
      <c r="K87" s="35" t="s">
        <v>65</v>
      </c>
      <c r="L87" s="79">
        <v>87</v>
      </c>
      <c r="M87" s="79"/>
      <c r="N87" s="74"/>
      <c r="O87" s="90" t="s">
        <v>306</v>
      </c>
      <c r="P87" s="93">
        <v>44483.3612037037</v>
      </c>
      <c r="Q87" s="90" t="s">
        <v>2139</v>
      </c>
      <c r="R87" s="96" t="str">
        <f>HYPERLINK("https://talouskurssi.fi/?fbclid=IwAR3lQxACK6cI50BBFObd0zCsOMC4Cq1tFNNNCY5sktWLRNSCs13ALYuQ2cg")</f>
        <v>https://talouskurssi.fi/?fbclid=IwAR3lQxACK6cI50BBFObd0zCsOMC4Cq1tFNNNCY5sktWLRNSCs13ALYuQ2cg</v>
      </c>
      <c r="S87" s="90" t="s">
        <v>334</v>
      </c>
      <c r="T87" s="90"/>
      <c r="U87" s="90"/>
      <c r="V87" s="96" t="str">
        <f>HYPERLINK("https://pbs.twimg.com/profile_images/591215120748974080/i79idHrL_normal.jpg")</f>
        <v>https://pbs.twimg.com/profile_images/591215120748974080/i79idHrL_normal.jpg</v>
      </c>
      <c r="W87" s="93">
        <v>44483.3612037037</v>
      </c>
      <c r="X87" s="102">
        <v>44483</v>
      </c>
      <c r="Y87" s="99" t="s">
        <v>2158</v>
      </c>
      <c r="Z87" s="96" t="str">
        <f>HYPERLINK("https://twitter.com/k21900/status/1448569300240027652")</f>
        <v>https://twitter.com/k21900/status/1448569300240027652</v>
      </c>
      <c r="AA87" s="90"/>
      <c r="AB87" s="90"/>
      <c r="AC87" s="99" t="s">
        <v>2204</v>
      </c>
      <c r="AD87" s="90"/>
      <c r="AE87" s="90" t="b">
        <v>0</v>
      </c>
      <c r="AF87" s="90">
        <v>0</v>
      </c>
      <c r="AG87" s="99" t="s">
        <v>535</v>
      </c>
      <c r="AH87" s="90" t="b">
        <v>0</v>
      </c>
      <c r="AI87" s="90" t="s">
        <v>537</v>
      </c>
      <c r="AJ87" s="90"/>
      <c r="AK87" s="99" t="s">
        <v>535</v>
      </c>
      <c r="AL87" s="90" t="b">
        <v>0</v>
      </c>
      <c r="AM87" s="90">
        <v>7</v>
      </c>
      <c r="AN87" s="99" t="s">
        <v>2239</v>
      </c>
      <c r="AO87" s="99" t="s">
        <v>542</v>
      </c>
      <c r="AP87" s="90" t="b">
        <v>0</v>
      </c>
      <c r="AQ87" s="99" t="s">
        <v>2239</v>
      </c>
      <c r="AR87" s="90" t="s">
        <v>187</v>
      </c>
      <c r="AS87" s="90">
        <v>0</v>
      </c>
      <c r="AT87" s="90">
        <v>0</v>
      </c>
      <c r="AU87" s="90"/>
      <c r="AV87" s="90"/>
      <c r="AW87" s="90"/>
      <c r="AX87" s="90"/>
      <c r="AY87" s="90"/>
      <c r="AZ87" s="90"/>
      <c r="BA87" s="90"/>
      <c r="BB87" s="90"/>
      <c r="BC87" s="90">
        <v>1</v>
      </c>
      <c r="BD87" s="89" t="str">
        <f>REPLACE(INDEX(GroupVertices[Group],MATCH(Edges[[#This Row],[Vertex 1]],GroupVertices[Vertex],0)),1,1,"")</f>
        <v>2</v>
      </c>
      <c r="BE87" s="89" t="str">
        <f>REPLACE(INDEX(GroupVertices[Group],MATCH(Edges[[#This Row],[Vertex 2]],GroupVertices[Vertex],0)),1,1,"")</f>
        <v>3</v>
      </c>
      <c r="BF87" s="49"/>
      <c r="BG87" s="50"/>
      <c r="BH87" s="49"/>
      <c r="BI87" s="50"/>
      <c r="BJ87" s="49"/>
      <c r="BK87" s="50"/>
      <c r="BL87" s="49"/>
      <c r="BM87" s="50"/>
      <c r="BN87" s="49"/>
    </row>
    <row r="88" spans="1:66" ht="15">
      <c r="A88" s="66" t="s">
        <v>2116</v>
      </c>
      <c r="B88" s="66" t="s">
        <v>2135</v>
      </c>
      <c r="C88" s="67" t="s">
        <v>2108</v>
      </c>
      <c r="D88" s="68">
        <v>1</v>
      </c>
      <c r="E88" s="69" t="s">
        <v>132</v>
      </c>
      <c r="F88" s="70">
        <v>32</v>
      </c>
      <c r="G88" s="67" t="s">
        <v>51</v>
      </c>
      <c r="H88" s="71"/>
      <c r="I88" s="72"/>
      <c r="J88" s="72"/>
      <c r="K88" s="35" t="s">
        <v>65</v>
      </c>
      <c r="L88" s="79">
        <v>88</v>
      </c>
      <c r="M88" s="79"/>
      <c r="N88" s="74"/>
      <c r="O88" s="90" t="s">
        <v>305</v>
      </c>
      <c r="P88" s="93">
        <v>44483.3612037037</v>
      </c>
      <c r="Q88" s="90" t="s">
        <v>2139</v>
      </c>
      <c r="R88" s="96" t="str">
        <f>HYPERLINK("https://talouskurssi.fi/?fbclid=IwAR3lQxACK6cI50BBFObd0zCsOMC4Cq1tFNNNCY5sktWLRNSCs13ALYuQ2cg")</f>
        <v>https://talouskurssi.fi/?fbclid=IwAR3lQxACK6cI50BBFObd0zCsOMC4Cq1tFNNNCY5sktWLRNSCs13ALYuQ2cg</v>
      </c>
      <c r="S88" s="90" t="s">
        <v>334</v>
      </c>
      <c r="T88" s="90"/>
      <c r="U88" s="90"/>
      <c r="V88" s="96" t="str">
        <f>HYPERLINK("https://pbs.twimg.com/profile_images/591215120748974080/i79idHrL_normal.jpg")</f>
        <v>https://pbs.twimg.com/profile_images/591215120748974080/i79idHrL_normal.jpg</v>
      </c>
      <c r="W88" s="93">
        <v>44483.3612037037</v>
      </c>
      <c r="X88" s="102">
        <v>44483</v>
      </c>
      <c r="Y88" s="99" t="s">
        <v>2158</v>
      </c>
      <c r="Z88" s="96" t="str">
        <f>HYPERLINK("https://twitter.com/k21900/status/1448569300240027652")</f>
        <v>https://twitter.com/k21900/status/1448569300240027652</v>
      </c>
      <c r="AA88" s="90"/>
      <c r="AB88" s="90"/>
      <c r="AC88" s="99" t="s">
        <v>2204</v>
      </c>
      <c r="AD88" s="90"/>
      <c r="AE88" s="90" t="b">
        <v>0</v>
      </c>
      <c r="AF88" s="90">
        <v>0</v>
      </c>
      <c r="AG88" s="99" t="s">
        <v>535</v>
      </c>
      <c r="AH88" s="90" t="b">
        <v>0</v>
      </c>
      <c r="AI88" s="90" t="s">
        <v>537</v>
      </c>
      <c r="AJ88" s="90"/>
      <c r="AK88" s="99" t="s">
        <v>535</v>
      </c>
      <c r="AL88" s="90" t="b">
        <v>0</v>
      </c>
      <c r="AM88" s="90">
        <v>7</v>
      </c>
      <c r="AN88" s="99" t="s">
        <v>2239</v>
      </c>
      <c r="AO88" s="99" t="s">
        <v>542</v>
      </c>
      <c r="AP88" s="90" t="b">
        <v>0</v>
      </c>
      <c r="AQ88" s="99" t="s">
        <v>2239</v>
      </c>
      <c r="AR88" s="90" t="s">
        <v>187</v>
      </c>
      <c r="AS88" s="90">
        <v>0</v>
      </c>
      <c r="AT88" s="90">
        <v>0</v>
      </c>
      <c r="AU88" s="90"/>
      <c r="AV88" s="90"/>
      <c r="AW88" s="90"/>
      <c r="AX88" s="90"/>
      <c r="AY88" s="90"/>
      <c r="AZ88" s="90"/>
      <c r="BA88" s="90"/>
      <c r="BB88" s="90"/>
      <c r="BC88" s="90">
        <v>1</v>
      </c>
      <c r="BD88" s="89" t="str">
        <f>REPLACE(INDEX(GroupVertices[Group],MATCH(Edges[[#This Row],[Vertex 1]],GroupVertices[Vertex],0)),1,1,"")</f>
        <v>2</v>
      </c>
      <c r="BE88" s="89" t="str">
        <f>REPLACE(INDEX(GroupVertices[Group],MATCH(Edges[[#This Row],[Vertex 2]],GroupVertices[Vertex],0)),1,1,"")</f>
        <v>2</v>
      </c>
      <c r="BF88" s="49">
        <v>0</v>
      </c>
      <c r="BG88" s="50">
        <v>0</v>
      </c>
      <c r="BH88" s="49">
        <v>0</v>
      </c>
      <c r="BI88" s="50">
        <v>0</v>
      </c>
      <c r="BJ88" s="49">
        <v>0</v>
      </c>
      <c r="BK88" s="50">
        <v>0</v>
      </c>
      <c r="BL88" s="49">
        <v>22</v>
      </c>
      <c r="BM88" s="50">
        <v>100</v>
      </c>
      <c r="BN88" s="49">
        <v>22</v>
      </c>
    </row>
    <row r="89" spans="1:66" ht="15">
      <c r="A89" s="66" t="s">
        <v>253</v>
      </c>
      <c r="B89" s="66" t="s">
        <v>253</v>
      </c>
      <c r="C89" s="67" t="s">
        <v>2108</v>
      </c>
      <c r="D89" s="68">
        <v>1</v>
      </c>
      <c r="E89" s="69" t="s">
        <v>132</v>
      </c>
      <c r="F89" s="70">
        <v>32</v>
      </c>
      <c r="G89" s="67" t="s">
        <v>51</v>
      </c>
      <c r="H89" s="71"/>
      <c r="I89" s="72"/>
      <c r="J89" s="72"/>
      <c r="K89" s="35" t="s">
        <v>65</v>
      </c>
      <c r="L89" s="79">
        <v>89</v>
      </c>
      <c r="M89" s="79"/>
      <c r="N89" s="74"/>
      <c r="O89" s="90" t="s">
        <v>187</v>
      </c>
      <c r="P89" s="93">
        <v>44483.365428240744</v>
      </c>
      <c r="Q89" s="90" t="s">
        <v>316</v>
      </c>
      <c r="R89" s="96" t="str">
        <f>HYPERLINK("https://twitter.com/helsinkigse/status/1448530102837514240")</f>
        <v>https://twitter.com/helsinkigse/status/1448530102837514240</v>
      </c>
      <c r="S89" s="90" t="s">
        <v>333</v>
      </c>
      <c r="T89" s="99" t="s">
        <v>340</v>
      </c>
      <c r="U89" s="90"/>
      <c r="V89" s="96" t="str">
        <f>HYPERLINK("https://pbs.twimg.com/profile_images/736142705936498688/DwY5c9qD_normal.jpg")</f>
        <v>https://pbs.twimg.com/profile_images/736142705936498688/DwY5c9qD_normal.jpg</v>
      </c>
      <c r="W89" s="93">
        <v>44483.365428240744</v>
      </c>
      <c r="X89" s="102">
        <v>44483</v>
      </c>
      <c r="Y89" s="99" t="s">
        <v>374</v>
      </c>
      <c r="Z89" s="96" t="str">
        <f>HYPERLINK("https://twitter.com/tsaarimaa/status/1448570828371734530")</f>
        <v>https://twitter.com/tsaarimaa/status/1448570828371734530</v>
      </c>
      <c r="AA89" s="90"/>
      <c r="AB89" s="90"/>
      <c r="AC89" s="99" t="s">
        <v>468</v>
      </c>
      <c r="AD89" s="90"/>
      <c r="AE89" s="90" t="b">
        <v>0</v>
      </c>
      <c r="AF89" s="90">
        <v>21</v>
      </c>
      <c r="AG89" s="99" t="s">
        <v>535</v>
      </c>
      <c r="AH89" s="90" t="b">
        <v>1</v>
      </c>
      <c r="AI89" s="90" t="s">
        <v>537</v>
      </c>
      <c r="AJ89" s="90"/>
      <c r="AK89" s="99" t="s">
        <v>526</v>
      </c>
      <c r="AL89" s="90" t="b">
        <v>0</v>
      </c>
      <c r="AM89" s="90">
        <v>0</v>
      </c>
      <c r="AN89" s="99" t="s">
        <v>535</v>
      </c>
      <c r="AO89" s="99" t="s">
        <v>544</v>
      </c>
      <c r="AP89" s="90" t="b">
        <v>0</v>
      </c>
      <c r="AQ89" s="99" t="s">
        <v>468</v>
      </c>
      <c r="AR89" s="90" t="s">
        <v>187</v>
      </c>
      <c r="AS89" s="90">
        <v>0</v>
      </c>
      <c r="AT89" s="90">
        <v>0</v>
      </c>
      <c r="AU89" s="90"/>
      <c r="AV89" s="90"/>
      <c r="AW89" s="90"/>
      <c r="AX89" s="90"/>
      <c r="AY89" s="90"/>
      <c r="AZ89" s="90"/>
      <c r="BA89" s="90"/>
      <c r="BB89" s="90"/>
      <c r="BC89" s="90">
        <v>1</v>
      </c>
      <c r="BD89" s="89" t="str">
        <f>REPLACE(INDEX(GroupVertices[Group],MATCH(Edges[[#This Row],[Vertex 1]],GroupVertices[Vertex],0)),1,1,"")</f>
        <v>4</v>
      </c>
      <c r="BE89" s="89" t="str">
        <f>REPLACE(INDEX(GroupVertices[Group],MATCH(Edges[[#This Row],[Vertex 2]],GroupVertices[Vertex],0)),1,1,"")</f>
        <v>4</v>
      </c>
      <c r="BF89" s="49">
        <v>1</v>
      </c>
      <c r="BG89" s="50">
        <v>14.285714285714286</v>
      </c>
      <c r="BH89" s="49">
        <v>0</v>
      </c>
      <c r="BI89" s="50">
        <v>0</v>
      </c>
      <c r="BJ89" s="49">
        <v>0</v>
      </c>
      <c r="BK89" s="50">
        <v>0</v>
      </c>
      <c r="BL89" s="49">
        <v>6</v>
      </c>
      <c r="BM89" s="50">
        <v>85.71428571428571</v>
      </c>
      <c r="BN89" s="49">
        <v>7</v>
      </c>
    </row>
    <row r="90" spans="1:66" ht="15">
      <c r="A90" s="66" t="s">
        <v>254</v>
      </c>
      <c r="B90" s="66" t="s">
        <v>299</v>
      </c>
      <c r="C90" s="67" t="s">
        <v>2108</v>
      </c>
      <c r="D90" s="68">
        <v>1</v>
      </c>
      <c r="E90" s="69" t="s">
        <v>132</v>
      </c>
      <c r="F90" s="70">
        <v>32</v>
      </c>
      <c r="G90" s="67" t="s">
        <v>51</v>
      </c>
      <c r="H90" s="71"/>
      <c r="I90" s="72"/>
      <c r="J90" s="72"/>
      <c r="K90" s="35" t="s">
        <v>65</v>
      </c>
      <c r="L90" s="79">
        <v>90</v>
      </c>
      <c r="M90" s="79"/>
      <c r="N90" s="74"/>
      <c r="O90" s="90" t="s">
        <v>306</v>
      </c>
      <c r="P90" s="93">
        <v>44483.340520833335</v>
      </c>
      <c r="Q90" s="90" t="s">
        <v>310</v>
      </c>
      <c r="R90" s="96" t="str">
        <f>HYPERLINK("https://talouskurssi.fi/")</f>
        <v>https://talouskurssi.fi/</v>
      </c>
      <c r="S90" s="90" t="s">
        <v>334</v>
      </c>
      <c r="T90" s="99" t="s">
        <v>338</v>
      </c>
      <c r="U90" s="96" t="str">
        <f>HYPERLINK("https://pbs.twimg.com/ext_tw_video_thumb/1448527896562348036/pu/img/0PqSbNMaXHvzKHCc.jpg")</f>
        <v>https://pbs.twimg.com/ext_tw_video_thumb/1448527896562348036/pu/img/0PqSbNMaXHvzKHCc.jpg</v>
      </c>
      <c r="V90" s="96" t="str">
        <f>HYPERLINK("https://pbs.twimg.com/ext_tw_video_thumb/1448527896562348036/pu/img/0PqSbNMaXHvzKHCc.jpg")</f>
        <v>https://pbs.twimg.com/ext_tw_video_thumb/1448527896562348036/pu/img/0PqSbNMaXHvzKHCc.jpg</v>
      </c>
      <c r="W90" s="93">
        <v>44483.340520833335</v>
      </c>
      <c r="X90" s="102">
        <v>44483</v>
      </c>
      <c r="Y90" s="99" t="s">
        <v>375</v>
      </c>
      <c r="Z90" s="96" t="str">
        <f>HYPERLINK("https://twitter.com/mlhalko/status/1448561802434985986")</f>
        <v>https://twitter.com/mlhalko/status/1448561802434985986</v>
      </c>
      <c r="AA90" s="90"/>
      <c r="AB90" s="90"/>
      <c r="AC90" s="99" t="s">
        <v>469</v>
      </c>
      <c r="AD90" s="90"/>
      <c r="AE90" s="90" t="b">
        <v>0</v>
      </c>
      <c r="AF90" s="90">
        <v>0</v>
      </c>
      <c r="AG90" s="99" t="s">
        <v>535</v>
      </c>
      <c r="AH90" s="90" t="b">
        <v>0</v>
      </c>
      <c r="AI90" s="90" t="s">
        <v>537</v>
      </c>
      <c r="AJ90" s="90"/>
      <c r="AK90" s="99" t="s">
        <v>535</v>
      </c>
      <c r="AL90" s="90" t="b">
        <v>0</v>
      </c>
      <c r="AM90" s="90">
        <v>52</v>
      </c>
      <c r="AN90" s="99" t="s">
        <v>526</v>
      </c>
      <c r="AO90" s="99" t="s">
        <v>542</v>
      </c>
      <c r="AP90" s="90" t="b">
        <v>0</v>
      </c>
      <c r="AQ90" s="99" t="s">
        <v>526</v>
      </c>
      <c r="AR90" s="90" t="s">
        <v>187</v>
      </c>
      <c r="AS90" s="90">
        <v>0</v>
      </c>
      <c r="AT90" s="90">
        <v>0</v>
      </c>
      <c r="AU90" s="90"/>
      <c r="AV90" s="90"/>
      <c r="AW90" s="90"/>
      <c r="AX90" s="90"/>
      <c r="AY90" s="90"/>
      <c r="AZ90" s="90"/>
      <c r="BA90" s="90"/>
      <c r="BB90" s="90"/>
      <c r="BC90" s="90">
        <v>1</v>
      </c>
      <c r="BD90" s="89" t="str">
        <f>REPLACE(INDEX(GroupVertices[Group],MATCH(Edges[[#This Row],[Vertex 1]],GroupVertices[Vertex],0)),1,1,"")</f>
        <v>3</v>
      </c>
      <c r="BE90" s="89" t="str">
        <f>REPLACE(INDEX(GroupVertices[Group],MATCH(Edges[[#This Row],[Vertex 2]],GroupVertices[Vertex],0)),1,1,"")</f>
        <v>1</v>
      </c>
      <c r="BF90" s="49"/>
      <c r="BG90" s="50"/>
      <c r="BH90" s="49"/>
      <c r="BI90" s="50"/>
      <c r="BJ90" s="49"/>
      <c r="BK90" s="50"/>
      <c r="BL90" s="49"/>
      <c r="BM90" s="50"/>
      <c r="BN90" s="49"/>
    </row>
    <row r="91" spans="1:66" ht="15">
      <c r="A91" s="66" t="s">
        <v>254</v>
      </c>
      <c r="B91" s="66" t="s">
        <v>302</v>
      </c>
      <c r="C91" s="67" t="s">
        <v>2108</v>
      </c>
      <c r="D91" s="68">
        <v>1</v>
      </c>
      <c r="E91" s="69" t="s">
        <v>132</v>
      </c>
      <c r="F91" s="70">
        <v>32</v>
      </c>
      <c r="G91" s="67" t="s">
        <v>51</v>
      </c>
      <c r="H91" s="71"/>
      <c r="I91" s="72"/>
      <c r="J91" s="72"/>
      <c r="K91" s="35" t="s">
        <v>65</v>
      </c>
      <c r="L91" s="79">
        <v>91</v>
      </c>
      <c r="M91" s="79"/>
      <c r="N91" s="74"/>
      <c r="O91" s="90" t="s">
        <v>306</v>
      </c>
      <c r="P91" s="93">
        <v>44483.340520833335</v>
      </c>
      <c r="Q91" s="90" t="s">
        <v>310</v>
      </c>
      <c r="R91" s="96" t="str">
        <f>HYPERLINK("https://talouskurssi.fi/")</f>
        <v>https://talouskurssi.fi/</v>
      </c>
      <c r="S91" s="90" t="s">
        <v>334</v>
      </c>
      <c r="T91" s="99" t="s">
        <v>338</v>
      </c>
      <c r="U91" s="96" t="str">
        <f>HYPERLINK("https://pbs.twimg.com/ext_tw_video_thumb/1448527896562348036/pu/img/0PqSbNMaXHvzKHCc.jpg")</f>
        <v>https://pbs.twimg.com/ext_tw_video_thumb/1448527896562348036/pu/img/0PqSbNMaXHvzKHCc.jpg</v>
      </c>
      <c r="V91" s="96" t="str">
        <f>HYPERLINK("https://pbs.twimg.com/ext_tw_video_thumb/1448527896562348036/pu/img/0PqSbNMaXHvzKHCc.jpg")</f>
        <v>https://pbs.twimg.com/ext_tw_video_thumb/1448527896562348036/pu/img/0PqSbNMaXHvzKHCc.jpg</v>
      </c>
      <c r="W91" s="93">
        <v>44483.340520833335</v>
      </c>
      <c r="X91" s="102">
        <v>44483</v>
      </c>
      <c r="Y91" s="99" t="s">
        <v>375</v>
      </c>
      <c r="Z91" s="96" t="str">
        <f>HYPERLINK("https://twitter.com/mlhalko/status/1448561802434985986")</f>
        <v>https://twitter.com/mlhalko/status/1448561802434985986</v>
      </c>
      <c r="AA91" s="90"/>
      <c r="AB91" s="90"/>
      <c r="AC91" s="99" t="s">
        <v>469</v>
      </c>
      <c r="AD91" s="90"/>
      <c r="AE91" s="90" t="b">
        <v>0</v>
      </c>
      <c r="AF91" s="90">
        <v>0</v>
      </c>
      <c r="AG91" s="99" t="s">
        <v>535</v>
      </c>
      <c r="AH91" s="90" t="b">
        <v>0</v>
      </c>
      <c r="AI91" s="90" t="s">
        <v>537</v>
      </c>
      <c r="AJ91" s="90"/>
      <c r="AK91" s="99" t="s">
        <v>535</v>
      </c>
      <c r="AL91" s="90" t="b">
        <v>0</v>
      </c>
      <c r="AM91" s="90">
        <v>52</v>
      </c>
      <c r="AN91" s="99" t="s">
        <v>526</v>
      </c>
      <c r="AO91" s="99" t="s">
        <v>542</v>
      </c>
      <c r="AP91" s="90" t="b">
        <v>0</v>
      </c>
      <c r="AQ91" s="99" t="s">
        <v>526</v>
      </c>
      <c r="AR91" s="90" t="s">
        <v>187</v>
      </c>
      <c r="AS91" s="90">
        <v>0</v>
      </c>
      <c r="AT91" s="90">
        <v>0</v>
      </c>
      <c r="AU91" s="90"/>
      <c r="AV91" s="90"/>
      <c r="AW91" s="90"/>
      <c r="AX91" s="90"/>
      <c r="AY91" s="90"/>
      <c r="AZ91" s="90"/>
      <c r="BA91" s="90"/>
      <c r="BB91" s="90"/>
      <c r="BC91" s="90">
        <v>1</v>
      </c>
      <c r="BD91" s="89" t="str">
        <f>REPLACE(INDEX(GroupVertices[Group],MATCH(Edges[[#This Row],[Vertex 1]],GroupVertices[Vertex],0)),1,1,"")</f>
        <v>3</v>
      </c>
      <c r="BE91" s="89" t="str">
        <f>REPLACE(INDEX(GroupVertices[Group],MATCH(Edges[[#This Row],[Vertex 2]],GroupVertices[Vertex],0)),1,1,"")</f>
        <v>1</v>
      </c>
      <c r="BF91" s="49"/>
      <c r="BG91" s="50"/>
      <c r="BH91" s="49"/>
      <c r="BI91" s="50"/>
      <c r="BJ91" s="49"/>
      <c r="BK91" s="50"/>
      <c r="BL91" s="49"/>
      <c r="BM91" s="50"/>
      <c r="BN91" s="49"/>
    </row>
    <row r="92" spans="1:66" ht="15">
      <c r="A92" s="66" t="s">
        <v>254</v>
      </c>
      <c r="B92" s="66" t="s">
        <v>293</v>
      </c>
      <c r="C92" s="67" t="s">
        <v>2109</v>
      </c>
      <c r="D92" s="68">
        <v>10</v>
      </c>
      <c r="E92" s="69" t="s">
        <v>132</v>
      </c>
      <c r="F92" s="70">
        <v>10</v>
      </c>
      <c r="G92" s="67" t="s">
        <v>51</v>
      </c>
      <c r="H92" s="71"/>
      <c r="I92" s="72"/>
      <c r="J92" s="72"/>
      <c r="K92" s="35" t="s">
        <v>65</v>
      </c>
      <c r="L92" s="79">
        <v>92</v>
      </c>
      <c r="M92" s="79"/>
      <c r="N92" s="74"/>
      <c r="O92" s="90" t="s">
        <v>305</v>
      </c>
      <c r="P92" s="93">
        <v>44483.340520833335</v>
      </c>
      <c r="Q92" s="90" t="s">
        <v>310</v>
      </c>
      <c r="R92" s="96" t="str">
        <f>HYPERLINK("https://talouskurssi.fi/")</f>
        <v>https://talouskurssi.fi/</v>
      </c>
      <c r="S92" s="90" t="s">
        <v>334</v>
      </c>
      <c r="T92" s="99" t="s">
        <v>338</v>
      </c>
      <c r="U92" s="96" t="str">
        <f>HYPERLINK("https://pbs.twimg.com/ext_tw_video_thumb/1448527896562348036/pu/img/0PqSbNMaXHvzKHCc.jpg")</f>
        <v>https://pbs.twimg.com/ext_tw_video_thumb/1448527896562348036/pu/img/0PqSbNMaXHvzKHCc.jpg</v>
      </c>
      <c r="V92" s="96" t="str">
        <f>HYPERLINK("https://pbs.twimg.com/ext_tw_video_thumb/1448527896562348036/pu/img/0PqSbNMaXHvzKHCc.jpg")</f>
        <v>https://pbs.twimg.com/ext_tw_video_thumb/1448527896562348036/pu/img/0PqSbNMaXHvzKHCc.jpg</v>
      </c>
      <c r="W92" s="93">
        <v>44483.340520833335</v>
      </c>
      <c r="X92" s="102">
        <v>44483</v>
      </c>
      <c r="Y92" s="99" t="s">
        <v>375</v>
      </c>
      <c r="Z92" s="96" t="str">
        <f>HYPERLINK("https://twitter.com/mlhalko/status/1448561802434985986")</f>
        <v>https://twitter.com/mlhalko/status/1448561802434985986</v>
      </c>
      <c r="AA92" s="90"/>
      <c r="AB92" s="90"/>
      <c r="AC92" s="99" t="s">
        <v>469</v>
      </c>
      <c r="AD92" s="90"/>
      <c r="AE92" s="90" t="b">
        <v>0</v>
      </c>
      <c r="AF92" s="90">
        <v>0</v>
      </c>
      <c r="AG92" s="99" t="s">
        <v>535</v>
      </c>
      <c r="AH92" s="90" t="b">
        <v>0</v>
      </c>
      <c r="AI92" s="90" t="s">
        <v>537</v>
      </c>
      <c r="AJ92" s="90"/>
      <c r="AK92" s="99" t="s">
        <v>535</v>
      </c>
      <c r="AL92" s="90" t="b">
        <v>0</v>
      </c>
      <c r="AM92" s="90">
        <v>52</v>
      </c>
      <c r="AN92" s="99" t="s">
        <v>526</v>
      </c>
      <c r="AO92" s="99" t="s">
        <v>542</v>
      </c>
      <c r="AP92" s="90" t="b">
        <v>0</v>
      </c>
      <c r="AQ92" s="99" t="s">
        <v>526</v>
      </c>
      <c r="AR92" s="90" t="s">
        <v>187</v>
      </c>
      <c r="AS92" s="90">
        <v>0</v>
      </c>
      <c r="AT92" s="90">
        <v>0</v>
      </c>
      <c r="AU92" s="90"/>
      <c r="AV92" s="90"/>
      <c r="AW92" s="90"/>
      <c r="AX92" s="90"/>
      <c r="AY92" s="90"/>
      <c r="AZ92" s="90"/>
      <c r="BA92" s="90"/>
      <c r="BB92" s="90"/>
      <c r="BC92" s="90">
        <v>2</v>
      </c>
      <c r="BD92" s="89" t="str">
        <f>REPLACE(INDEX(GroupVertices[Group],MATCH(Edges[[#This Row],[Vertex 1]],GroupVertices[Vertex],0)),1,1,"")</f>
        <v>3</v>
      </c>
      <c r="BE92" s="89" t="str">
        <f>REPLACE(INDEX(GroupVertices[Group],MATCH(Edges[[#This Row],[Vertex 2]],GroupVertices[Vertex],0)),1,1,"")</f>
        <v>3</v>
      </c>
      <c r="BF92" s="49">
        <v>0</v>
      </c>
      <c r="BG92" s="50">
        <v>0</v>
      </c>
      <c r="BH92" s="49">
        <v>0</v>
      </c>
      <c r="BI92" s="50">
        <v>0</v>
      </c>
      <c r="BJ92" s="49">
        <v>0</v>
      </c>
      <c r="BK92" s="50">
        <v>0</v>
      </c>
      <c r="BL92" s="49">
        <v>28</v>
      </c>
      <c r="BM92" s="50">
        <v>100</v>
      </c>
      <c r="BN92" s="49">
        <v>28</v>
      </c>
    </row>
    <row r="93" spans="1:66" ht="15">
      <c r="A93" s="66" t="s">
        <v>254</v>
      </c>
      <c r="B93" s="66" t="s">
        <v>303</v>
      </c>
      <c r="C93" s="67" t="s">
        <v>2108</v>
      </c>
      <c r="D93" s="68">
        <v>1</v>
      </c>
      <c r="E93" s="69" t="s">
        <v>132</v>
      </c>
      <c r="F93" s="70">
        <v>32</v>
      </c>
      <c r="G93" s="67" t="s">
        <v>51</v>
      </c>
      <c r="H93" s="71"/>
      <c r="I93" s="72"/>
      <c r="J93" s="72"/>
      <c r="K93" s="35" t="s">
        <v>65</v>
      </c>
      <c r="L93" s="79">
        <v>93</v>
      </c>
      <c r="M93" s="79"/>
      <c r="N93" s="74"/>
      <c r="O93" s="90" t="s">
        <v>306</v>
      </c>
      <c r="P93" s="93">
        <v>44483.37050925926</v>
      </c>
      <c r="Q93" s="90" t="s">
        <v>314</v>
      </c>
      <c r="R93" s="90"/>
      <c r="S93" s="90"/>
      <c r="T93" s="99" t="s">
        <v>338</v>
      </c>
      <c r="U93" s="96" t="str">
        <f>HYPERLINK("https://pbs.twimg.com/media/FBpVUeuWUAAiBrw.jpg")</f>
        <v>https://pbs.twimg.com/media/FBpVUeuWUAAiBrw.jpg</v>
      </c>
      <c r="V93" s="96" t="str">
        <f>HYPERLINK("https://pbs.twimg.com/media/FBpVUeuWUAAiBrw.jpg")</f>
        <v>https://pbs.twimg.com/media/FBpVUeuWUAAiBrw.jpg</v>
      </c>
      <c r="W93" s="93">
        <v>44483.37050925926</v>
      </c>
      <c r="X93" s="102">
        <v>44483</v>
      </c>
      <c r="Y93" s="99" t="s">
        <v>376</v>
      </c>
      <c r="Z93" s="96" t="str">
        <f>HYPERLINK("https://twitter.com/mlhalko/status/1448572669490782209")</f>
        <v>https://twitter.com/mlhalko/status/1448572669490782209</v>
      </c>
      <c r="AA93" s="90"/>
      <c r="AB93" s="90"/>
      <c r="AC93" s="99" t="s">
        <v>470</v>
      </c>
      <c r="AD93" s="90"/>
      <c r="AE93" s="90" t="b">
        <v>0</v>
      </c>
      <c r="AF93" s="90">
        <v>0</v>
      </c>
      <c r="AG93" s="99" t="s">
        <v>535</v>
      </c>
      <c r="AH93" s="90" t="b">
        <v>0</v>
      </c>
      <c r="AI93" s="90" t="s">
        <v>537</v>
      </c>
      <c r="AJ93" s="90"/>
      <c r="AK93" s="99" t="s">
        <v>535</v>
      </c>
      <c r="AL93" s="90" t="b">
        <v>0</v>
      </c>
      <c r="AM93" s="90">
        <v>5</v>
      </c>
      <c r="AN93" s="99" t="s">
        <v>517</v>
      </c>
      <c r="AO93" s="99" t="s">
        <v>542</v>
      </c>
      <c r="AP93" s="90" t="b">
        <v>0</v>
      </c>
      <c r="AQ93" s="99" t="s">
        <v>517</v>
      </c>
      <c r="AR93" s="90" t="s">
        <v>187</v>
      </c>
      <c r="AS93" s="90">
        <v>0</v>
      </c>
      <c r="AT93" s="90">
        <v>0</v>
      </c>
      <c r="AU93" s="90"/>
      <c r="AV93" s="90"/>
      <c r="AW93" s="90"/>
      <c r="AX93" s="90"/>
      <c r="AY93" s="90"/>
      <c r="AZ93" s="90"/>
      <c r="BA93" s="90"/>
      <c r="BB93" s="90"/>
      <c r="BC93" s="90">
        <v>1</v>
      </c>
      <c r="BD93" s="89" t="str">
        <f>REPLACE(INDEX(GroupVertices[Group],MATCH(Edges[[#This Row],[Vertex 1]],GroupVertices[Vertex],0)),1,1,"")</f>
        <v>3</v>
      </c>
      <c r="BE93" s="89" t="str">
        <f>REPLACE(INDEX(GroupVertices[Group],MATCH(Edges[[#This Row],[Vertex 2]],GroupVertices[Vertex],0)),1,1,"")</f>
        <v>3</v>
      </c>
      <c r="BF93" s="49"/>
      <c r="BG93" s="50"/>
      <c r="BH93" s="49"/>
      <c r="BI93" s="50"/>
      <c r="BJ93" s="49"/>
      <c r="BK93" s="50"/>
      <c r="BL93" s="49"/>
      <c r="BM93" s="50"/>
      <c r="BN93" s="49"/>
    </row>
    <row r="94" spans="1:66" ht="15">
      <c r="A94" s="66" t="s">
        <v>254</v>
      </c>
      <c r="B94" s="66" t="s">
        <v>293</v>
      </c>
      <c r="C94" s="67" t="s">
        <v>2109</v>
      </c>
      <c r="D94" s="68">
        <v>10</v>
      </c>
      <c r="E94" s="69" t="s">
        <v>132</v>
      </c>
      <c r="F94" s="70">
        <v>10</v>
      </c>
      <c r="G94" s="67" t="s">
        <v>51</v>
      </c>
      <c r="H94" s="71"/>
      <c r="I94" s="72"/>
      <c r="J94" s="72"/>
      <c r="K94" s="35" t="s">
        <v>65</v>
      </c>
      <c r="L94" s="79">
        <v>94</v>
      </c>
      <c r="M94" s="79"/>
      <c r="N94" s="74"/>
      <c r="O94" s="90" t="s">
        <v>305</v>
      </c>
      <c r="P94" s="93">
        <v>44483.37050925926</v>
      </c>
      <c r="Q94" s="90" t="s">
        <v>314</v>
      </c>
      <c r="R94" s="90"/>
      <c r="S94" s="90"/>
      <c r="T94" s="99" t="s">
        <v>338</v>
      </c>
      <c r="U94" s="96" t="str">
        <f>HYPERLINK("https://pbs.twimg.com/media/FBpVUeuWUAAiBrw.jpg")</f>
        <v>https://pbs.twimg.com/media/FBpVUeuWUAAiBrw.jpg</v>
      </c>
      <c r="V94" s="96" t="str">
        <f>HYPERLINK("https://pbs.twimg.com/media/FBpVUeuWUAAiBrw.jpg")</f>
        <v>https://pbs.twimg.com/media/FBpVUeuWUAAiBrw.jpg</v>
      </c>
      <c r="W94" s="93">
        <v>44483.37050925926</v>
      </c>
      <c r="X94" s="102">
        <v>44483</v>
      </c>
      <c r="Y94" s="99" t="s">
        <v>376</v>
      </c>
      <c r="Z94" s="96" t="str">
        <f>HYPERLINK("https://twitter.com/mlhalko/status/1448572669490782209")</f>
        <v>https://twitter.com/mlhalko/status/1448572669490782209</v>
      </c>
      <c r="AA94" s="90"/>
      <c r="AB94" s="90"/>
      <c r="AC94" s="99" t="s">
        <v>470</v>
      </c>
      <c r="AD94" s="90"/>
      <c r="AE94" s="90" t="b">
        <v>0</v>
      </c>
      <c r="AF94" s="90">
        <v>0</v>
      </c>
      <c r="AG94" s="99" t="s">
        <v>535</v>
      </c>
      <c r="AH94" s="90" t="b">
        <v>0</v>
      </c>
      <c r="AI94" s="90" t="s">
        <v>537</v>
      </c>
      <c r="AJ94" s="90"/>
      <c r="AK94" s="99" t="s">
        <v>535</v>
      </c>
      <c r="AL94" s="90" t="b">
        <v>0</v>
      </c>
      <c r="AM94" s="90">
        <v>5</v>
      </c>
      <c r="AN94" s="99" t="s">
        <v>517</v>
      </c>
      <c r="AO94" s="99" t="s">
        <v>542</v>
      </c>
      <c r="AP94" s="90" t="b">
        <v>0</v>
      </c>
      <c r="AQ94" s="99" t="s">
        <v>517</v>
      </c>
      <c r="AR94" s="90" t="s">
        <v>187</v>
      </c>
      <c r="AS94" s="90">
        <v>0</v>
      </c>
      <c r="AT94" s="90">
        <v>0</v>
      </c>
      <c r="AU94" s="90"/>
      <c r="AV94" s="90"/>
      <c r="AW94" s="90"/>
      <c r="AX94" s="90"/>
      <c r="AY94" s="90"/>
      <c r="AZ94" s="90"/>
      <c r="BA94" s="90"/>
      <c r="BB94" s="90"/>
      <c r="BC94" s="90">
        <v>2</v>
      </c>
      <c r="BD94" s="89" t="str">
        <f>REPLACE(INDEX(GroupVertices[Group],MATCH(Edges[[#This Row],[Vertex 1]],GroupVertices[Vertex],0)),1,1,"")</f>
        <v>3</v>
      </c>
      <c r="BE94" s="89" t="str">
        <f>REPLACE(INDEX(GroupVertices[Group],MATCH(Edges[[#This Row],[Vertex 2]],GroupVertices[Vertex],0)),1,1,"")</f>
        <v>3</v>
      </c>
      <c r="BF94" s="49">
        <v>0</v>
      </c>
      <c r="BG94" s="50">
        <v>0</v>
      </c>
      <c r="BH94" s="49">
        <v>0</v>
      </c>
      <c r="BI94" s="50">
        <v>0</v>
      </c>
      <c r="BJ94" s="49">
        <v>0</v>
      </c>
      <c r="BK94" s="50">
        <v>0</v>
      </c>
      <c r="BL94" s="49">
        <v>17</v>
      </c>
      <c r="BM94" s="50">
        <v>100</v>
      </c>
      <c r="BN94" s="49">
        <v>17</v>
      </c>
    </row>
    <row r="95" spans="1:66" ht="15">
      <c r="A95" s="66" t="s">
        <v>2117</v>
      </c>
      <c r="B95" s="66" t="s">
        <v>299</v>
      </c>
      <c r="C95" s="67" t="s">
        <v>2108</v>
      </c>
      <c r="D95" s="68">
        <v>1</v>
      </c>
      <c r="E95" s="69" t="s">
        <v>132</v>
      </c>
      <c r="F95" s="70">
        <v>32</v>
      </c>
      <c r="G95" s="67" t="s">
        <v>51</v>
      </c>
      <c r="H95" s="71"/>
      <c r="I95" s="72"/>
      <c r="J95" s="72"/>
      <c r="K95" s="35" t="s">
        <v>65</v>
      </c>
      <c r="L95" s="79">
        <v>95</v>
      </c>
      <c r="M95" s="79"/>
      <c r="N95" s="74"/>
      <c r="O95" s="90" t="s">
        <v>306</v>
      </c>
      <c r="P95" s="93">
        <v>44483.371875</v>
      </c>
      <c r="Q95" s="90" t="s">
        <v>2142</v>
      </c>
      <c r="R95" s="96" t="str">
        <f>HYPERLINK("https://twitter.com/HelsinkiGSE/status/1448530102837514240")</f>
        <v>https://twitter.com/HelsinkiGSE/status/1448530102837514240</v>
      </c>
      <c r="S95" s="90" t="s">
        <v>333</v>
      </c>
      <c r="T95" s="90"/>
      <c r="U95" s="90"/>
      <c r="V95" s="96" t="str">
        <f>HYPERLINK("https://pbs.twimg.com/profile_images/1298647376991723520/Z2fv2M4x_normal.png")</f>
        <v>https://pbs.twimg.com/profile_images/1298647376991723520/Z2fv2M4x_normal.png</v>
      </c>
      <c r="W95" s="93">
        <v>44483.371875</v>
      </c>
      <c r="X95" s="102">
        <v>44483</v>
      </c>
      <c r="Y95" s="99" t="s">
        <v>2159</v>
      </c>
      <c r="Z95" s="96" t="str">
        <f>HYPERLINK("https://twitter.com/niinistos/status/1448573163907002368")</f>
        <v>https://twitter.com/niinistos/status/1448573163907002368</v>
      </c>
      <c r="AA95" s="90"/>
      <c r="AB95" s="90"/>
      <c r="AC95" s="99" t="s">
        <v>2205</v>
      </c>
      <c r="AD95" s="90"/>
      <c r="AE95" s="90" t="b">
        <v>0</v>
      </c>
      <c r="AF95" s="90">
        <v>0</v>
      </c>
      <c r="AG95" s="99" t="s">
        <v>535</v>
      </c>
      <c r="AH95" s="90" t="b">
        <v>1</v>
      </c>
      <c r="AI95" s="90" t="s">
        <v>537</v>
      </c>
      <c r="AJ95" s="90"/>
      <c r="AK95" s="99" t="s">
        <v>526</v>
      </c>
      <c r="AL95" s="90" t="b">
        <v>0</v>
      </c>
      <c r="AM95" s="90">
        <v>6</v>
      </c>
      <c r="AN95" s="99" t="s">
        <v>2233</v>
      </c>
      <c r="AO95" s="99" t="s">
        <v>543</v>
      </c>
      <c r="AP95" s="90" t="b">
        <v>0</v>
      </c>
      <c r="AQ95" s="99" t="s">
        <v>2233</v>
      </c>
      <c r="AR95" s="90" t="s">
        <v>187</v>
      </c>
      <c r="AS95" s="90">
        <v>0</v>
      </c>
      <c r="AT95" s="90">
        <v>0</v>
      </c>
      <c r="AU95" s="90"/>
      <c r="AV95" s="90"/>
      <c r="AW95" s="90"/>
      <c r="AX95" s="90"/>
      <c r="AY95" s="90"/>
      <c r="AZ95" s="90"/>
      <c r="BA95" s="90"/>
      <c r="BB95" s="90"/>
      <c r="BC95" s="90">
        <v>1</v>
      </c>
      <c r="BD95" s="89" t="str">
        <f>REPLACE(INDEX(GroupVertices[Group],MATCH(Edges[[#This Row],[Vertex 1]],GroupVertices[Vertex],0)),1,1,"")</f>
        <v>1</v>
      </c>
      <c r="BE95" s="89" t="str">
        <f>REPLACE(INDEX(GroupVertices[Group],MATCH(Edges[[#This Row],[Vertex 2]],GroupVertices[Vertex],0)),1,1,"")</f>
        <v>1</v>
      </c>
      <c r="BF95" s="49"/>
      <c r="BG95" s="50"/>
      <c r="BH95" s="49"/>
      <c r="BI95" s="50"/>
      <c r="BJ95" s="49"/>
      <c r="BK95" s="50"/>
      <c r="BL95" s="49"/>
      <c r="BM95" s="50"/>
      <c r="BN95" s="49"/>
    </row>
    <row r="96" spans="1:66" ht="15">
      <c r="A96" s="66" t="s">
        <v>2117</v>
      </c>
      <c r="B96" s="66" t="s">
        <v>302</v>
      </c>
      <c r="C96" s="67" t="s">
        <v>2108</v>
      </c>
      <c r="D96" s="68">
        <v>1</v>
      </c>
      <c r="E96" s="69" t="s">
        <v>132</v>
      </c>
      <c r="F96" s="70">
        <v>32</v>
      </c>
      <c r="G96" s="67" t="s">
        <v>51</v>
      </c>
      <c r="H96" s="71"/>
      <c r="I96" s="72"/>
      <c r="J96" s="72"/>
      <c r="K96" s="35" t="s">
        <v>65</v>
      </c>
      <c r="L96" s="79">
        <v>96</v>
      </c>
      <c r="M96" s="79"/>
      <c r="N96" s="74"/>
      <c r="O96" s="90" t="s">
        <v>306</v>
      </c>
      <c r="P96" s="93">
        <v>44483.371875</v>
      </c>
      <c r="Q96" s="90" t="s">
        <v>2142</v>
      </c>
      <c r="R96" s="96" t="str">
        <f>HYPERLINK("https://twitter.com/HelsinkiGSE/status/1448530102837514240")</f>
        <v>https://twitter.com/HelsinkiGSE/status/1448530102837514240</v>
      </c>
      <c r="S96" s="90" t="s">
        <v>333</v>
      </c>
      <c r="T96" s="90"/>
      <c r="U96" s="90"/>
      <c r="V96" s="96" t="str">
        <f>HYPERLINK("https://pbs.twimg.com/profile_images/1298647376991723520/Z2fv2M4x_normal.png")</f>
        <v>https://pbs.twimg.com/profile_images/1298647376991723520/Z2fv2M4x_normal.png</v>
      </c>
      <c r="W96" s="93">
        <v>44483.371875</v>
      </c>
      <c r="X96" s="102">
        <v>44483</v>
      </c>
      <c r="Y96" s="99" t="s">
        <v>2159</v>
      </c>
      <c r="Z96" s="96" t="str">
        <f>HYPERLINK("https://twitter.com/niinistos/status/1448573163907002368")</f>
        <v>https://twitter.com/niinistos/status/1448573163907002368</v>
      </c>
      <c r="AA96" s="90"/>
      <c r="AB96" s="90"/>
      <c r="AC96" s="99" t="s">
        <v>2205</v>
      </c>
      <c r="AD96" s="90"/>
      <c r="AE96" s="90" t="b">
        <v>0</v>
      </c>
      <c r="AF96" s="90">
        <v>0</v>
      </c>
      <c r="AG96" s="99" t="s">
        <v>535</v>
      </c>
      <c r="AH96" s="90" t="b">
        <v>1</v>
      </c>
      <c r="AI96" s="90" t="s">
        <v>537</v>
      </c>
      <c r="AJ96" s="90"/>
      <c r="AK96" s="99" t="s">
        <v>526</v>
      </c>
      <c r="AL96" s="90" t="b">
        <v>0</v>
      </c>
      <c r="AM96" s="90">
        <v>6</v>
      </c>
      <c r="AN96" s="99" t="s">
        <v>2233</v>
      </c>
      <c r="AO96" s="99" t="s">
        <v>543</v>
      </c>
      <c r="AP96" s="90" t="b">
        <v>0</v>
      </c>
      <c r="AQ96" s="99" t="s">
        <v>2233</v>
      </c>
      <c r="AR96" s="90" t="s">
        <v>187</v>
      </c>
      <c r="AS96" s="90">
        <v>0</v>
      </c>
      <c r="AT96" s="90">
        <v>0</v>
      </c>
      <c r="AU96" s="90"/>
      <c r="AV96" s="90"/>
      <c r="AW96" s="90"/>
      <c r="AX96" s="90"/>
      <c r="AY96" s="90"/>
      <c r="AZ96" s="90"/>
      <c r="BA96" s="90"/>
      <c r="BB96" s="90"/>
      <c r="BC96" s="90">
        <v>1</v>
      </c>
      <c r="BD96" s="89" t="str">
        <f>REPLACE(INDEX(GroupVertices[Group],MATCH(Edges[[#This Row],[Vertex 1]],GroupVertices[Vertex],0)),1,1,"")</f>
        <v>1</v>
      </c>
      <c r="BE96" s="89" t="str">
        <f>REPLACE(INDEX(GroupVertices[Group],MATCH(Edges[[#This Row],[Vertex 2]],GroupVertices[Vertex],0)),1,1,"")</f>
        <v>1</v>
      </c>
      <c r="BF96" s="49"/>
      <c r="BG96" s="50"/>
      <c r="BH96" s="49"/>
      <c r="BI96" s="50"/>
      <c r="BJ96" s="49"/>
      <c r="BK96" s="50"/>
      <c r="BL96" s="49"/>
      <c r="BM96" s="50"/>
      <c r="BN96" s="49"/>
    </row>
    <row r="97" spans="1:66" ht="15">
      <c r="A97" s="66" t="s">
        <v>2117</v>
      </c>
      <c r="B97" s="66" t="s">
        <v>293</v>
      </c>
      <c r="C97" s="67" t="s">
        <v>2108</v>
      </c>
      <c r="D97" s="68">
        <v>1</v>
      </c>
      <c r="E97" s="69" t="s">
        <v>132</v>
      </c>
      <c r="F97" s="70">
        <v>32</v>
      </c>
      <c r="G97" s="67" t="s">
        <v>51</v>
      </c>
      <c r="H97" s="71"/>
      <c r="I97" s="72"/>
      <c r="J97" s="72"/>
      <c r="K97" s="35" t="s">
        <v>65</v>
      </c>
      <c r="L97" s="79">
        <v>97</v>
      </c>
      <c r="M97" s="79"/>
      <c r="N97" s="74"/>
      <c r="O97" s="90" t="s">
        <v>306</v>
      </c>
      <c r="P97" s="93">
        <v>44483.371875</v>
      </c>
      <c r="Q97" s="90" t="s">
        <v>2142</v>
      </c>
      <c r="R97" s="96" t="str">
        <f>HYPERLINK("https://twitter.com/HelsinkiGSE/status/1448530102837514240")</f>
        <v>https://twitter.com/HelsinkiGSE/status/1448530102837514240</v>
      </c>
      <c r="S97" s="90" t="s">
        <v>333</v>
      </c>
      <c r="T97" s="90"/>
      <c r="U97" s="90"/>
      <c r="V97" s="96" t="str">
        <f>HYPERLINK("https://pbs.twimg.com/profile_images/1298647376991723520/Z2fv2M4x_normal.png")</f>
        <v>https://pbs.twimg.com/profile_images/1298647376991723520/Z2fv2M4x_normal.png</v>
      </c>
      <c r="W97" s="93">
        <v>44483.371875</v>
      </c>
      <c r="X97" s="102">
        <v>44483</v>
      </c>
      <c r="Y97" s="99" t="s">
        <v>2159</v>
      </c>
      <c r="Z97" s="96" t="str">
        <f>HYPERLINK("https://twitter.com/niinistos/status/1448573163907002368")</f>
        <v>https://twitter.com/niinistos/status/1448573163907002368</v>
      </c>
      <c r="AA97" s="90"/>
      <c r="AB97" s="90"/>
      <c r="AC97" s="99" t="s">
        <v>2205</v>
      </c>
      <c r="AD97" s="90"/>
      <c r="AE97" s="90" t="b">
        <v>0</v>
      </c>
      <c r="AF97" s="90">
        <v>0</v>
      </c>
      <c r="AG97" s="99" t="s">
        <v>535</v>
      </c>
      <c r="AH97" s="90" t="b">
        <v>1</v>
      </c>
      <c r="AI97" s="90" t="s">
        <v>537</v>
      </c>
      <c r="AJ97" s="90"/>
      <c r="AK97" s="99" t="s">
        <v>526</v>
      </c>
      <c r="AL97" s="90" t="b">
        <v>0</v>
      </c>
      <c r="AM97" s="90">
        <v>6</v>
      </c>
      <c r="AN97" s="99" t="s">
        <v>2233</v>
      </c>
      <c r="AO97" s="99" t="s">
        <v>543</v>
      </c>
      <c r="AP97" s="90" t="b">
        <v>0</v>
      </c>
      <c r="AQ97" s="99" t="s">
        <v>2233</v>
      </c>
      <c r="AR97" s="90" t="s">
        <v>187</v>
      </c>
      <c r="AS97" s="90">
        <v>0</v>
      </c>
      <c r="AT97" s="90">
        <v>0</v>
      </c>
      <c r="AU97" s="90"/>
      <c r="AV97" s="90"/>
      <c r="AW97" s="90"/>
      <c r="AX97" s="90"/>
      <c r="AY97" s="90"/>
      <c r="AZ97" s="90"/>
      <c r="BA97" s="90"/>
      <c r="BB97" s="90"/>
      <c r="BC97" s="90">
        <v>1</v>
      </c>
      <c r="BD97" s="89" t="str">
        <f>REPLACE(INDEX(GroupVertices[Group],MATCH(Edges[[#This Row],[Vertex 1]],GroupVertices[Vertex],0)),1,1,"")</f>
        <v>1</v>
      </c>
      <c r="BE97" s="89" t="str">
        <f>REPLACE(INDEX(GroupVertices[Group],MATCH(Edges[[#This Row],[Vertex 2]],GroupVertices[Vertex],0)),1,1,"")</f>
        <v>3</v>
      </c>
      <c r="BF97" s="49"/>
      <c r="BG97" s="50"/>
      <c r="BH97" s="49"/>
      <c r="BI97" s="50"/>
      <c r="BJ97" s="49"/>
      <c r="BK97" s="50"/>
      <c r="BL97" s="49"/>
      <c r="BM97" s="50"/>
      <c r="BN97" s="49"/>
    </row>
    <row r="98" spans="1:66" ht="15">
      <c r="A98" s="66" t="s">
        <v>2117</v>
      </c>
      <c r="B98" s="66" t="s">
        <v>2134</v>
      </c>
      <c r="C98" s="67" t="s">
        <v>2108</v>
      </c>
      <c r="D98" s="68">
        <v>1</v>
      </c>
      <c r="E98" s="69" t="s">
        <v>132</v>
      </c>
      <c r="F98" s="70">
        <v>32</v>
      </c>
      <c r="G98" s="67" t="s">
        <v>51</v>
      </c>
      <c r="H98" s="71"/>
      <c r="I98" s="72"/>
      <c r="J98" s="72"/>
      <c r="K98" s="35" t="s">
        <v>65</v>
      </c>
      <c r="L98" s="79">
        <v>98</v>
      </c>
      <c r="M98" s="79"/>
      <c r="N98" s="74"/>
      <c r="O98" s="90" t="s">
        <v>305</v>
      </c>
      <c r="P98" s="93">
        <v>44483.371875</v>
      </c>
      <c r="Q98" s="90" t="s">
        <v>2142</v>
      </c>
      <c r="R98" s="96" t="str">
        <f>HYPERLINK("https://twitter.com/HelsinkiGSE/status/1448530102837514240")</f>
        <v>https://twitter.com/HelsinkiGSE/status/1448530102837514240</v>
      </c>
      <c r="S98" s="90" t="s">
        <v>333</v>
      </c>
      <c r="T98" s="90"/>
      <c r="U98" s="90"/>
      <c r="V98" s="96" t="str">
        <f>HYPERLINK("https://pbs.twimg.com/profile_images/1298647376991723520/Z2fv2M4x_normal.png")</f>
        <v>https://pbs.twimg.com/profile_images/1298647376991723520/Z2fv2M4x_normal.png</v>
      </c>
      <c r="W98" s="93">
        <v>44483.371875</v>
      </c>
      <c r="X98" s="102">
        <v>44483</v>
      </c>
      <c r="Y98" s="99" t="s">
        <v>2159</v>
      </c>
      <c r="Z98" s="96" t="str">
        <f>HYPERLINK("https://twitter.com/niinistos/status/1448573163907002368")</f>
        <v>https://twitter.com/niinistos/status/1448573163907002368</v>
      </c>
      <c r="AA98" s="90"/>
      <c r="AB98" s="90"/>
      <c r="AC98" s="99" t="s">
        <v>2205</v>
      </c>
      <c r="AD98" s="90"/>
      <c r="AE98" s="90" t="b">
        <v>0</v>
      </c>
      <c r="AF98" s="90">
        <v>0</v>
      </c>
      <c r="AG98" s="99" t="s">
        <v>535</v>
      </c>
      <c r="AH98" s="90" t="b">
        <v>1</v>
      </c>
      <c r="AI98" s="90" t="s">
        <v>537</v>
      </c>
      <c r="AJ98" s="90"/>
      <c r="AK98" s="99" t="s">
        <v>526</v>
      </c>
      <c r="AL98" s="90" t="b">
        <v>0</v>
      </c>
      <c r="AM98" s="90">
        <v>6</v>
      </c>
      <c r="AN98" s="99" t="s">
        <v>2233</v>
      </c>
      <c r="AO98" s="99" t="s">
        <v>543</v>
      </c>
      <c r="AP98" s="90" t="b">
        <v>0</v>
      </c>
      <c r="AQ98" s="99" t="s">
        <v>2233</v>
      </c>
      <c r="AR98" s="90" t="s">
        <v>187</v>
      </c>
      <c r="AS98" s="90">
        <v>0</v>
      </c>
      <c r="AT98" s="90">
        <v>0</v>
      </c>
      <c r="AU98" s="90"/>
      <c r="AV98" s="90"/>
      <c r="AW98" s="90"/>
      <c r="AX98" s="90"/>
      <c r="AY98" s="90"/>
      <c r="AZ98" s="90"/>
      <c r="BA98" s="90"/>
      <c r="BB98" s="90"/>
      <c r="BC98" s="90">
        <v>1</v>
      </c>
      <c r="BD98" s="89" t="str">
        <f>REPLACE(INDEX(GroupVertices[Group],MATCH(Edges[[#This Row],[Vertex 1]],GroupVertices[Vertex],0)),1,1,"")</f>
        <v>1</v>
      </c>
      <c r="BE98" s="89"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6" t="s">
        <v>255</v>
      </c>
      <c r="B99" s="66" t="s">
        <v>299</v>
      </c>
      <c r="C99" s="67" t="s">
        <v>2108</v>
      </c>
      <c r="D99" s="68">
        <v>1</v>
      </c>
      <c r="E99" s="69" t="s">
        <v>132</v>
      </c>
      <c r="F99" s="70">
        <v>32</v>
      </c>
      <c r="G99" s="67" t="s">
        <v>51</v>
      </c>
      <c r="H99" s="71"/>
      <c r="I99" s="72"/>
      <c r="J99" s="72"/>
      <c r="K99" s="35" t="s">
        <v>65</v>
      </c>
      <c r="L99" s="79">
        <v>99</v>
      </c>
      <c r="M99" s="79"/>
      <c r="N99" s="74"/>
      <c r="O99" s="90" t="s">
        <v>306</v>
      </c>
      <c r="P99" s="93">
        <v>44483.377962962964</v>
      </c>
      <c r="Q99" s="90" t="s">
        <v>310</v>
      </c>
      <c r="R99" s="96" t="str">
        <f>HYPERLINK("https://talouskurssi.fi/")</f>
        <v>https://talouskurssi.fi/</v>
      </c>
      <c r="S99" s="90" t="s">
        <v>334</v>
      </c>
      <c r="T99" s="99" t="s">
        <v>338</v>
      </c>
      <c r="U99" s="96" t="str">
        <f>HYPERLINK("https://pbs.twimg.com/ext_tw_video_thumb/1448527896562348036/pu/img/0PqSbNMaXHvzKHCc.jpg")</f>
        <v>https://pbs.twimg.com/ext_tw_video_thumb/1448527896562348036/pu/img/0PqSbNMaXHvzKHCc.jpg</v>
      </c>
      <c r="V99" s="96" t="str">
        <f>HYPERLINK("https://pbs.twimg.com/ext_tw_video_thumb/1448527896562348036/pu/img/0PqSbNMaXHvzKHCc.jpg")</f>
        <v>https://pbs.twimg.com/ext_tw_video_thumb/1448527896562348036/pu/img/0PqSbNMaXHvzKHCc.jpg</v>
      </c>
      <c r="W99" s="93">
        <v>44483.377962962964</v>
      </c>
      <c r="X99" s="102">
        <v>44483</v>
      </c>
      <c r="Y99" s="99" t="s">
        <v>377</v>
      </c>
      <c r="Z99" s="96" t="str">
        <f>HYPERLINK("https://twitter.com/sarasvuojari/status/1448575371436244997")</f>
        <v>https://twitter.com/sarasvuojari/status/1448575371436244997</v>
      </c>
      <c r="AA99" s="90"/>
      <c r="AB99" s="90"/>
      <c r="AC99" s="99" t="s">
        <v>471</v>
      </c>
      <c r="AD99" s="90"/>
      <c r="AE99" s="90" t="b">
        <v>0</v>
      </c>
      <c r="AF99" s="90">
        <v>0</v>
      </c>
      <c r="AG99" s="99" t="s">
        <v>535</v>
      </c>
      <c r="AH99" s="90" t="b">
        <v>0</v>
      </c>
      <c r="AI99" s="90" t="s">
        <v>537</v>
      </c>
      <c r="AJ99" s="90"/>
      <c r="AK99" s="99" t="s">
        <v>535</v>
      </c>
      <c r="AL99" s="90" t="b">
        <v>0</v>
      </c>
      <c r="AM99" s="90">
        <v>52</v>
      </c>
      <c r="AN99" s="99" t="s">
        <v>526</v>
      </c>
      <c r="AO99" s="99" t="s">
        <v>542</v>
      </c>
      <c r="AP99" s="90" t="b">
        <v>0</v>
      </c>
      <c r="AQ99" s="99" t="s">
        <v>526</v>
      </c>
      <c r="AR99" s="90" t="s">
        <v>187</v>
      </c>
      <c r="AS99" s="90">
        <v>0</v>
      </c>
      <c r="AT99" s="90">
        <v>0</v>
      </c>
      <c r="AU99" s="90"/>
      <c r="AV99" s="90"/>
      <c r="AW99" s="90"/>
      <c r="AX99" s="90"/>
      <c r="AY99" s="90"/>
      <c r="AZ99" s="90"/>
      <c r="BA99" s="90"/>
      <c r="BB99" s="90"/>
      <c r="BC99" s="90">
        <v>1</v>
      </c>
      <c r="BD99" s="89" t="str">
        <f>REPLACE(INDEX(GroupVertices[Group],MATCH(Edges[[#This Row],[Vertex 1]],GroupVertices[Vertex],0)),1,1,"")</f>
        <v>1</v>
      </c>
      <c r="BE99" s="89" t="str">
        <f>REPLACE(INDEX(GroupVertices[Group],MATCH(Edges[[#This Row],[Vertex 2]],GroupVertices[Vertex],0)),1,1,"")</f>
        <v>1</v>
      </c>
      <c r="BF99" s="49"/>
      <c r="BG99" s="50"/>
      <c r="BH99" s="49"/>
      <c r="BI99" s="50"/>
      <c r="BJ99" s="49"/>
      <c r="BK99" s="50"/>
      <c r="BL99" s="49"/>
      <c r="BM99" s="50"/>
      <c r="BN99" s="49"/>
    </row>
    <row r="100" spans="1:66" ht="15">
      <c r="A100" s="66" t="s">
        <v>255</v>
      </c>
      <c r="B100" s="66" t="s">
        <v>302</v>
      </c>
      <c r="C100" s="67" t="s">
        <v>2108</v>
      </c>
      <c r="D100" s="68">
        <v>1</v>
      </c>
      <c r="E100" s="69" t="s">
        <v>132</v>
      </c>
      <c r="F100" s="70">
        <v>32</v>
      </c>
      <c r="G100" s="67" t="s">
        <v>51</v>
      </c>
      <c r="H100" s="71"/>
      <c r="I100" s="72"/>
      <c r="J100" s="72"/>
      <c r="K100" s="35" t="s">
        <v>65</v>
      </c>
      <c r="L100" s="79">
        <v>100</v>
      </c>
      <c r="M100" s="79"/>
      <c r="N100" s="74"/>
      <c r="O100" s="90" t="s">
        <v>306</v>
      </c>
      <c r="P100" s="93">
        <v>44483.377962962964</v>
      </c>
      <c r="Q100" s="90" t="s">
        <v>310</v>
      </c>
      <c r="R100" s="96" t="str">
        <f>HYPERLINK("https://talouskurssi.fi/")</f>
        <v>https://talouskurssi.fi/</v>
      </c>
      <c r="S100" s="90" t="s">
        <v>334</v>
      </c>
      <c r="T100" s="99" t="s">
        <v>338</v>
      </c>
      <c r="U100" s="96" t="str">
        <f>HYPERLINK("https://pbs.twimg.com/ext_tw_video_thumb/1448527896562348036/pu/img/0PqSbNMaXHvzKHCc.jpg")</f>
        <v>https://pbs.twimg.com/ext_tw_video_thumb/1448527896562348036/pu/img/0PqSbNMaXHvzKHCc.jpg</v>
      </c>
      <c r="V100" s="96" t="str">
        <f>HYPERLINK("https://pbs.twimg.com/ext_tw_video_thumb/1448527896562348036/pu/img/0PqSbNMaXHvzKHCc.jpg")</f>
        <v>https://pbs.twimg.com/ext_tw_video_thumb/1448527896562348036/pu/img/0PqSbNMaXHvzKHCc.jpg</v>
      </c>
      <c r="W100" s="93">
        <v>44483.377962962964</v>
      </c>
      <c r="X100" s="102">
        <v>44483</v>
      </c>
      <c r="Y100" s="99" t="s">
        <v>377</v>
      </c>
      <c r="Z100" s="96" t="str">
        <f>HYPERLINK("https://twitter.com/sarasvuojari/status/1448575371436244997")</f>
        <v>https://twitter.com/sarasvuojari/status/1448575371436244997</v>
      </c>
      <c r="AA100" s="90"/>
      <c r="AB100" s="90"/>
      <c r="AC100" s="99" t="s">
        <v>471</v>
      </c>
      <c r="AD100" s="90"/>
      <c r="AE100" s="90" t="b">
        <v>0</v>
      </c>
      <c r="AF100" s="90">
        <v>0</v>
      </c>
      <c r="AG100" s="99" t="s">
        <v>535</v>
      </c>
      <c r="AH100" s="90" t="b">
        <v>0</v>
      </c>
      <c r="AI100" s="90" t="s">
        <v>537</v>
      </c>
      <c r="AJ100" s="90"/>
      <c r="AK100" s="99" t="s">
        <v>535</v>
      </c>
      <c r="AL100" s="90" t="b">
        <v>0</v>
      </c>
      <c r="AM100" s="90">
        <v>52</v>
      </c>
      <c r="AN100" s="99" t="s">
        <v>526</v>
      </c>
      <c r="AO100" s="99" t="s">
        <v>542</v>
      </c>
      <c r="AP100" s="90" t="b">
        <v>0</v>
      </c>
      <c r="AQ100" s="99" t="s">
        <v>526</v>
      </c>
      <c r="AR100" s="90" t="s">
        <v>187</v>
      </c>
      <c r="AS100" s="90">
        <v>0</v>
      </c>
      <c r="AT100" s="90">
        <v>0</v>
      </c>
      <c r="AU100" s="90"/>
      <c r="AV100" s="90"/>
      <c r="AW100" s="90"/>
      <c r="AX100" s="90"/>
      <c r="AY100" s="90"/>
      <c r="AZ100" s="90"/>
      <c r="BA100" s="90"/>
      <c r="BB100" s="90"/>
      <c r="BC100" s="90">
        <v>1</v>
      </c>
      <c r="BD100" s="89" t="str">
        <f>REPLACE(INDEX(GroupVertices[Group],MATCH(Edges[[#This Row],[Vertex 1]],GroupVertices[Vertex],0)),1,1,"")</f>
        <v>1</v>
      </c>
      <c r="BE100" s="89" t="str">
        <f>REPLACE(INDEX(GroupVertices[Group],MATCH(Edges[[#This Row],[Vertex 2]],GroupVertices[Vertex],0)),1,1,"")</f>
        <v>1</v>
      </c>
      <c r="BF100" s="49"/>
      <c r="BG100" s="50"/>
      <c r="BH100" s="49"/>
      <c r="BI100" s="50"/>
      <c r="BJ100" s="49"/>
      <c r="BK100" s="50"/>
      <c r="BL100" s="49"/>
      <c r="BM100" s="50"/>
      <c r="BN100" s="49"/>
    </row>
    <row r="101" spans="1:66" ht="15">
      <c r="A101" s="66" t="s">
        <v>255</v>
      </c>
      <c r="B101" s="66" t="s">
        <v>293</v>
      </c>
      <c r="C101" s="67" t="s">
        <v>2108</v>
      </c>
      <c r="D101" s="68">
        <v>1</v>
      </c>
      <c r="E101" s="69" t="s">
        <v>132</v>
      </c>
      <c r="F101" s="70">
        <v>32</v>
      </c>
      <c r="G101" s="67" t="s">
        <v>51</v>
      </c>
      <c r="H101" s="71"/>
      <c r="I101" s="72"/>
      <c r="J101" s="72"/>
      <c r="K101" s="35" t="s">
        <v>65</v>
      </c>
      <c r="L101" s="79">
        <v>101</v>
      </c>
      <c r="M101" s="79"/>
      <c r="N101" s="74"/>
      <c r="O101" s="90" t="s">
        <v>305</v>
      </c>
      <c r="P101" s="93">
        <v>44483.377962962964</v>
      </c>
      <c r="Q101" s="90" t="s">
        <v>310</v>
      </c>
      <c r="R101" s="96" t="str">
        <f>HYPERLINK("https://talouskurssi.fi/")</f>
        <v>https://talouskurssi.fi/</v>
      </c>
      <c r="S101" s="90" t="s">
        <v>334</v>
      </c>
      <c r="T101" s="99" t="s">
        <v>338</v>
      </c>
      <c r="U101" s="96" t="str">
        <f>HYPERLINK("https://pbs.twimg.com/ext_tw_video_thumb/1448527896562348036/pu/img/0PqSbNMaXHvzKHCc.jpg")</f>
        <v>https://pbs.twimg.com/ext_tw_video_thumb/1448527896562348036/pu/img/0PqSbNMaXHvzKHCc.jpg</v>
      </c>
      <c r="V101" s="96" t="str">
        <f>HYPERLINK("https://pbs.twimg.com/ext_tw_video_thumb/1448527896562348036/pu/img/0PqSbNMaXHvzKHCc.jpg")</f>
        <v>https://pbs.twimg.com/ext_tw_video_thumb/1448527896562348036/pu/img/0PqSbNMaXHvzKHCc.jpg</v>
      </c>
      <c r="W101" s="93">
        <v>44483.377962962964</v>
      </c>
      <c r="X101" s="102">
        <v>44483</v>
      </c>
      <c r="Y101" s="99" t="s">
        <v>377</v>
      </c>
      <c r="Z101" s="96" t="str">
        <f>HYPERLINK("https://twitter.com/sarasvuojari/status/1448575371436244997")</f>
        <v>https://twitter.com/sarasvuojari/status/1448575371436244997</v>
      </c>
      <c r="AA101" s="90"/>
      <c r="AB101" s="90"/>
      <c r="AC101" s="99" t="s">
        <v>471</v>
      </c>
      <c r="AD101" s="90"/>
      <c r="AE101" s="90" t="b">
        <v>0</v>
      </c>
      <c r="AF101" s="90">
        <v>0</v>
      </c>
      <c r="AG101" s="99" t="s">
        <v>535</v>
      </c>
      <c r="AH101" s="90" t="b">
        <v>0</v>
      </c>
      <c r="AI101" s="90" t="s">
        <v>537</v>
      </c>
      <c r="AJ101" s="90"/>
      <c r="AK101" s="99" t="s">
        <v>535</v>
      </c>
      <c r="AL101" s="90" t="b">
        <v>0</v>
      </c>
      <c r="AM101" s="90">
        <v>52</v>
      </c>
      <c r="AN101" s="99" t="s">
        <v>526</v>
      </c>
      <c r="AO101" s="99" t="s">
        <v>542</v>
      </c>
      <c r="AP101" s="90" t="b">
        <v>0</v>
      </c>
      <c r="AQ101" s="99" t="s">
        <v>526</v>
      </c>
      <c r="AR101" s="90" t="s">
        <v>187</v>
      </c>
      <c r="AS101" s="90">
        <v>0</v>
      </c>
      <c r="AT101" s="90">
        <v>0</v>
      </c>
      <c r="AU101" s="90"/>
      <c r="AV101" s="90"/>
      <c r="AW101" s="90"/>
      <c r="AX101" s="90"/>
      <c r="AY101" s="90"/>
      <c r="AZ101" s="90"/>
      <c r="BA101" s="90"/>
      <c r="BB101" s="90"/>
      <c r="BC101" s="90">
        <v>1</v>
      </c>
      <c r="BD101" s="89" t="str">
        <f>REPLACE(INDEX(GroupVertices[Group],MATCH(Edges[[#This Row],[Vertex 1]],GroupVertices[Vertex],0)),1,1,"")</f>
        <v>1</v>
      </c>
      <c r="BE101" s="89" t="str">
        <f>REPLACE(INDEX(GroupVertices[Group],MATCH(Edges[[#This Row],[Vertex 2]],GroupVertices[Vertex],0)),1,1,"")</f>
        <v>3</v>
      </c>
      <c r="BF101" s="49">
        <v>0</v>
      </c>
      <c r="BG101" s="50">
        <v>0</v>
      </c>
      <c r="BH101" s="49">
        <v>0</v>
      </c>
      <c r="BI101" s="50">
        <v>0</v>
      </c>
      <c r="BJ101" s="49">
        <v>0</v>
      </c>
      <c r="BK101" s="50">
        <v>0</v>
      </c>
      <c r="BL101" s="49">
        <v>28</v>
      </c>
      <c r="BM101" s="50">
        <v>100</v>
      </c>
      <c r="BN101" s="49">
        <v>28</v>
      </c>
    </row>
    <row r="102" spans="1:66" ht="15">
      <c r="A102" s="66" t="s">
        <v>2118</v>
      </c>
      <c r="B102" s="66" t="s">
        <v>299</v>
      </c>
      <c r="C102" s="67" t="s">
        <v>2108</v>
      </c>
      <c r="D102" s="68">
        <v>1</v>
      </c>
      <c r="E102" s="69" t="s">
        <v>132</v>
      </c>
      <c r="F102" s="70">
        <v>32</v>
      </c>
      <c r="G102" s="67" t="s">
        <v>51</v>
      </c>
      <c r="H102" s="71"/>
      <c r="I102" s="72"/>
      <c r="J102" s="72"/>
      <c r="K102" s="35" t="s">
        <v>65</v>
      </c>
      <c r="L102" s="79">
        <v>102</v>
      </c>
      <c r="M102" s="79"/>
      <c r="N102" s="74"/>
      <c r="O102" s="90" t="s">
        <v>306</v>
      </c>
      <c r="P102" s="93">
        <v>44483.381631944445</v>
      </c>
      <c r="Q102" s="90" t="s">
        <v>2142</v>
      </c>
      <c r="R102" s="96" t="str">
        <f>HYPERLINK("https://twitter.com/HelsinkiGSE/status/1448530102837514240")</f>
        <v>https://twitter.com/HelsinkiGSE/status/1448530102837514240</v>
      </c>
      <c r="S102" s="90" t="s">
        <v>333</v>
      </c>
      <c r="T102" s="90"/>
      <c r="U102" s="90"/>
      <c r="V102" s="96" t="str">
        <f>HYPERLINK("https://pbs.twimg.com/profile_images/1394498205409292289/qYnidu2M_normal.jpg")</f>
        <v>https://pbs.twimg.com/profile_images/1394498205409292289/qYnidu2M_normal.jpg</v>
      </c>
      <c r="W102" s="93">
        <v>44483.381631944445</v>
      </c>
      <c r="X102" s="102">
        <v>44483</v>
      </c>
      <c r="Y102" s="99" t="s">
        <v>2160</v>
      </c>
      <c r="Z102" s="96" t="str">
        <f>HYPERLINK("https://twitter.com/sarilindblom/status/1448576701164892163")</f>
        <v>https://twitter.com/sarilindblom/status/1448576701164892163</v>
      </c>
      <c r="AA102" s="90"/>
      <c r="AB102" s="90"/>
      <c r="AC102" s="99" t="s">
        <v>2206</v>
      </c>
      <c r="AD102" s="90"/>
      <c r="AE102" s="90" t="b">
        <v>0</v>
      </c>
      <c r="AF102" s="90">
        <v>0</v>
      </c>
      <c r="AG102" s="99" t="s">
        <v>535</v>
      </c>
      <c r="AH102" s="90" t="b">
        <v>1</v>
      </c>
      <c r="AI102" s="90" t="s">
        <v>537</v>
      </c>
      <c r="AJ102" s="90"/>
      <c r="AK102" s="99" t="s">
        <v>526</v>
      </c>
      <c r="AL102" s="90" t="b">
        <v>0</v>
      </c>
      <c r="AM102" s="90">
        <v>6</v>
      </c>
      <c r="AN102" s="99" t="s">
        <v>2233</v>
      </c>
      <c r="AO102" s="99" t="s">
        <v>544</v>
      </c>
      <c r="AP102" s="90" t="b">
        <v>0</v>
      </c>
      <c r="AQ102" s="99" t="s">
        <v>2233</v>
      </c>
      <c r="AR102" s="90" t="s">
        <v>187</v>
      </c>
      <c r="AS102" s="90">
        <v>0</v>
      </c>
      <c r="AT102" s="90">
        <v>0</v>
      </c>
      <c r="AU102" s="90"/>
      <c r="AV102" s="90"/>
      <c r="AW102" s="90"/>
      <c r="AX102" s="90"/>
      <c r="AY102" s="90"/>
      <c r="AZ102" s="90"/>
      <c r="BA102" s="90"/>
      <c r="BB102" s="90"/>
      <c r="BC102" s="90">
        <v>1</v>
      </c>
      <c r="BD102" s="89" t="str">
        <f>REPLACE(INDEX(GroupVertices[Group],MATCH(Edges[[#This Row],[Vertex 1]],GroupVertices[Vertex],0)),1,1,"")</f>
        <v>1</v>
      </c>
      <c r="BE102" s="89" t="str">
        <f>REPLACE(INDEX(GroupVertices[Group],MATCH(Edges[[#This Row],[Vertex 2]],GroupVertices[Vertex],0)),1,1,"")</f>
        <v>1</v>
      </c>
      <c r="BF102" s="49"/>
      <c r="BG102" s="50"/>
      <c r="BH102" s="49"/>
      <c r="BI102" s="50"/>
      <c r="BJ102" s="49"/>
      <c r="BK102" s="50"/>
      <c r="BL102" s="49"/>
      <c r="BM102" s="50"/>
      <c r="BN102" s="49"/>
    </row>
    <row r="103" spans="1:66" ht="15">
      <c r="A103" s="66" t="s">
        <v>2118</v>
      </c>
      <c r="B103" s="66" t="s">
        <v>302</v>
      </c>
      <c r="C103" s="67" t="s">
        <v>2108</v>
      </c>
      <c r="D103" s="68">
        <v>1</v>
      </c>
      <c r="E103" s="69" t="s">
        <v>132</v>
      </c>
      <c r="F103" s="70">
        <v>32</v>
      </c>
      <c r="G103" s="67" t="s">
        <v>51</v>
      </c>
      <c r="H103" s="71"/>
      <c r="I103" s="72"/>
      <c r="J103" s="72"/>
      <c r="K103" s="35" t="s">
        <v>65</v>
      </c>
      <c r="L103" s="79">
        <v>103</v>
      </c>
      <c r="M103" s="79"/>
      <c r="N103" s="74"/>
      <c r="O103" s="90" t="s">
        <v>306</v>
      </c>
      <c r="P103" s="93">
        <v>44483.381631944445</v>
      </c>
      <c r="Q103" s="90" t="s">
        <v>2142</v>
      </c>
      <c r="R103" s="96" t="str">
        <f>HYPERLINK("https://twitter.com/HelsinkiGSE/status/1448530102837514240")</f>
        <v>https://twitter.com/HelsinkiGSE/status/1448530102837514240</v>
      </c>
      <c r="S103" s="90" t="s">
        <v>333</v>
      </c>
      <c r="T103" s="90"/>
      <c r="U103" s="90"/>
      <c r="V103" s="96" t="str">
        <f>HYPERLINK("https://pbs.twimg.com/profile_images/1394498205409292289/qYnidu2M_normal.jpg")</f>
        <v>https://pbs.twimg.com/profile_images/1394498205409292289/qYnidu2M_normal.jpg</v>
      </c>
      <c r="W103" s="93">
        <v>44483.381631944445</v>
      </c>
      <c r="X103" s="102">
        <v>44483</v>
      </c>
      <c r="Y103" s="99" t="s">
        <v>2160</v>
      </c>
      <c r="Z103" s="96" t="str">
        <f>HYPERLINK("https://twitter.com/sarilindblom/status/1448576701164892163")</f>
        <v>https://twitter.com/sarilindblom/status/1448576701164892163</v>
      </c>
      <c r="AA103" s="90"/>
      <c r="AB103" s="90"/>
      <c r="AC103" s="99" t="s">
        <v>2206</v>
      </c>
      <c r="AD103" s="90"/>
      <c r="AE103" s="90" t="b">
        <v>0</v>
      </c>
      <c r="AF103" s="90">
        <v>0</v>
      </c>
      <c r="AG103" s="99" t="s">
        <v>535</v>
      </c>
      <c r="AH103" s="90" t="b">
        <v>1</v>
      </c>
      <c r="AI103" s="90" t="s">
        <v>537</v>
      </c>
      <c r="AJ103" s="90"/>
      <c r="AK103" s="99" t="s">
        <v>526</v>
      </c>
      <c r="AL103" s="90" t="b">
        <v>0</v>
      </c>
      <c r="AM103" s="90">
        <v>6</v>
      </c>
      <c r="AN103" s="99" t="s">
        <v>2233</v>
      </c>
      <c r="AO103" s="99" t="s">
        <v>544</v>
      </c>
      <c r="AP103" s="90" t="b">
        <v>0</v>
      </c>
      <c r="AQ103" s="99" t="s">
        <v>2233</v>
      </c>
      <c r="AR103" s="90" t="s">
        <v>187</v>
      </c>
      <c r="AS103" s="90">
        <v>0</v>
      </c>
      <c r="AT103" s="90">
        <v>0</v>
      </c>
      <c r="AU103" s="90"/>
      <c r="AV103" s="90"/>
      <c r="AW103" s="90"/>
      <c r="AX103" s="90"/>
      <c r="AY103" s="90"/>
      <c r="AZ103" s="90"/>
      <c r="BA103" s="90"/>
      <c r="BB103" s="90"/>
      <c r="BC103" s="90">
        <v>1</v>
      </c>
      <c r="BD103" s="89" t="str">
        <f>REPLACE(INDEX(GroupVertices[Group],MATCH(Edges[[#This Row],[Vertex 1]],GroupVertices[Vertex],0)),1,1,"")</f>
        <v>1</v>
      </c>
      <c r="BE103" s="89" t="str">
        <f>REPLACE(INDEX(GroupVertices[Group],MATCH(Edges[[#This Row],[Vertex 2]],GroupVertices[Vertex],0)),1,1,"")</f>
        <v>1</v>
      </c>
      <c r="BF103" s="49"/>
      <c r="BG103" s="50"/>
      <c r="BH103" s="49"/>
      <c r="BI103" s="50"/>
      <c r="BJ103" s="49"/>
      <c r="BK103" s="50"/>
      <c r="BL103" s="49"/>
      <c r="BM103" s="50"/>
      <c r="BN103" s="49"/>
    </row>
    <row r="104" spans="1:66" ht="15">
      <c r="A104" s="66" t="s">
        <v>2118</v>
      </c>
      <c r="B104" s="66" t="s">
        <v>293</v>
      </c>
      <c r="C104" s="67" t="s">
        <v>2108</v>
      </c>
      <c r="D104" s="68">
        <v>1</v>
      </c>
      <c r="E104" s="69" t="s">
        <v>132</v>
      </c>
      <c r="F104" s="70">
        <v>32</v>
      </c>
      <c r="G104" s="67" t="s">
        <v>51</v>
      </c>
      <c r="H104" s="71"/>
      <c r="I104" s="72"/>
      <c r="J104" s="72"/>
      <c r="K104" s="35" t="s">
        <v>65</v>
      </c>
      <c r="L104" s="79">
        <v>104</v>
      </c>
      <c r="M104" s="79"/>
      <c r="N104" s="74"/>
      <c r="O104" s="90" t="s">
        <v>306</v>
      </c>
      <c r="P104" s="93">
        <v>44483.381631944445</v>
      </c>
      <c r="Q104" s="90" t="s">
        <v>2142</v>
      </c>
      <c r="R104" s="96" t="str">
        <f>HYPERLINK("https://twitter.com/HelsinkiGSE/status/1448530102837514240")</f>
        <v>https://twitter.com/HelsinkiGSE/status/1448530102837514240</v>
      </c>
      <c r="S104" s="90" t="s">
        <v>333</v>
      </c>
      <c r="T104" s="90"/>
      <c r="U104" s="90"/>
      <c r="V104" s="96" t="str">
        <f>HYPERLINK("https://pbs.twimg.com/profile_images/1394498205409292289/qYnidu2M_normal.jpg")</f>
        <v>https://pbs.twimg.com/profile_images/1394498205409292289/qYnidu2M_normal.jpg</v>
      </c>
      <c r="W104" s="93">
        <v>44483.381631944445</v>
      </c>
      <c r="X104" s="102">
        <v>44483</v>
      </c>
      <c r="Y104" s="99" t="s">
        <v>2160</v>
      </c>
      <c r="Z104" s="96" t="str">
        <f>HYPERLINK("https://twitter.com/sarilindblom/status/1448576701164892163")</f>
        <v>https://twitter.com/sarilindblom/status/1448576701164892163</v>
      </c>
      <c r="AA104" s="90"/>
      <c r="AB104" s="90"/>
      <c r="AC104" s="99" t="s">
        <v>2206</v>
      </c>
      <c r="AD104" s="90"/>
      <c r="AE104" s="90" t="b">
        <v>0</v>
      </c>
      <c r="AF104" s="90">
        <v>0</v>
      </c>
      <c r="AG104" s="99" t="s">
        <v>535</v>
      </c>
      <c r="AH104" s="90" t="b">
        <v>1</v>
      </c>
      <c r="AI104" s="90" t="s">
        <v>537</v>
      </c>
      <c r="AJ104" s="90"/>
      <c r="AK104" s="99" t="s">
        <v>526</v>
      </c>
      <c r="AL104" s="90" t="b">
        <v>0</v>
      </c>
      <c r="AM104" s="90">
        <v>6</v>
      </c>
      <c r="AN104" s="99" t="s">
        <v>2233</v>
      </c>
      <c r="AO104" s="99" t="s">
        <v>544</v>
      </c>
      <c r="AP104" s="90" t="b">
        <v>0</v>
      </c>
      <c r="AQ104" s="99" t="s">
        <v>2233</v>
      </c>
      <c r="AR104" s="90" t="s">
        <v>187</v>
      </c>
      <c r="AS104" s="90">
        <v>0</v>
      </c>
      <c r="AT104" s="90">
        <v>0</v>
      </c>
      <c r="AU104" s="90"/>
      <c r="AV104" s="90"/>
      <c r="AW104" s="90"/>
      <c r="AX104" s="90"/>
      <c r="AY104" s="90"/>
      <c r="AZ104" s="90"/>
      <c r="BA104" s="90"/>
      <c r="BB104" s="90"/>
      <c r="BC104" s="90">
        <v>1</v>
      </c>
      <c r="BD104" s="89" t="str">
        <f>REPLACE(INDEX(GroupVertices[Group],MATCH(Edges[[#This Row],[Vertex 1]],GroupVertices[Vertex],0)),1,1,"")</f>
        <v>1</v>
      </c>
      <c r="BE104" s="89" t="str">
        <f>REPLACE(INDEX(GroupVertices[Group],MATCH(Edges[[#This Row],[Vertex 2]],GroupVertices[Vertex],0)),1,1,"")</f>
        <v>3</v>
      </c>
      <c r="BF104" s="49"/>
      <c r="BG104" s="50"/>
      <c r="BH104" s="49"/>
      <c r="BI104" s="50"/>
      <c r="BJ104" s="49"/>
      <c r="BK104" s="50"/>
      <c r="BL104" s="49"/>
      <c r="BM104" s="50"/>
      <c r="BN104" s="49"/>
    </row>
    <row r="105" spans="1:66" ht="15">
      <c r="A105" s="66" t="s">
        <v>2118</v>
      </c>
      <c r="B105" s="66" t="s">
        <v>2134</v>
      </c>
      <c r="C105" s="67" t="s">
        <v>2108</v>
      </c>
      <c r="D105" s="68">
        <v>1</v>
      </c>
      <c r="E105" s="69" t="s">
        <v>132</v>
      </c>
      <c r="F105" s="70">
        <v>32</v>
      </c>
      <c r="G105" s="67" t="s">
        <v>51</v>
      </c>
      <c r="H105" s="71"/>
      <c r="I105" s="72"/>
      <c r="J105" s="72"/>
      <c r="K105" s="35" t="s">
        <v>65</v>
      </c>
      <c r="L105" s="79">
        <v>105</v>
      </c>
      <c r="M105" s="79"/>
      <c r="N105" s="74"/>
      <c r="O105" s="90" t="s">
        <v>305</v>
      </c>
      <c r="P105" s="93">
        <v>44483.381631944445</v>
      </c>
      <c r="Q105" s="90" t="s">
        <v>2142</v>
      </c>
      <c r="R105" s="96" t="str">
        <f>HYPERLINK("https://twitter.com/HelsinkiGSE/status/1448530102837514240")</f>
        <v>https://twitter.com/HelsinkiGSE/status/1448530102837514240</v>
      </c>
      <c r="S105" s="90" t="s">
        <v>333</v>
      </c>
      <c r="T105" s="90"/>
      <c r="U105" s="90"/>
      <c r="V105" s="96" t="str">
        <f>HYPERLINK("https://pbs.twimg.com/profile_images/1394498205409292289/qYnidu2M_normal.jpg")</f>
        <v>https://pbs.twimg.com/profile_images/1394498205409292289/qYnidu2M_normal.jpg</v>
      </c>
      <c r="W105" s="93">
        <v>44483.381631944445</v>
      </c>
      <c r="X105" s="102">
        <v>44483</v>
      </c>
      <c r="Y105" s="99" t="s">
        <v>2160</v>
      </c>
      <c r="Z105" s="96" t="str">
        <f>HYPERLINK("https://twitter.com/sarilindblom/status/1448576701164892163")</f>
        <v>https://twitter.com/sarilindblom/status/1448576701164892163</v>
      </c>
      <c r="AA105" s="90"/>
      <c r="AB105" s="90"/>
      <c r="AC105" s="99" t="s">
        <v>2206</v>
      </c>
      <c r="AD105" s="90"/>
      <c r="AE105" s="90" t="b">
        <v>0</v>
      </c>
      <c r="AF105" s="90">
        <v>0</v>
      </c>
      <c r="AG105" s="99" t="s">
        <v>535</v>
      </c>
      <c r="AH105" s="90" t="b">
        <v>1</v>
      </c>
      <c r="AI105" s="90" t="s">
        <v>537</v>
      </c>
      <c r="AJ105" s="90"/>
      <c r="AK105" s="99" t="s">
        <v>526</v>
      </c>
      <c r="AL105" s="90" t="b">
        <v>0</v>
      </c>
      <c r="AM105" s="90">
        <v>6</v>
      </c>
      <c r="AN105" s="99" t="s">
        <v>2233</v>
      </c>
      <c r="AO105" s="99" t="s">
        <v>544</v>
      </c>
      <c r="AP105" s="90" t="b">
        <v>0</v>
      </c>
      <c r="AQ105" s="99" t="s">
        <v>2233</v>
      </c>
      <c r="AR105" s="90" t="s">
        <v>187</v>
      </c>
      <c r="AS105" s="90">
        <v>0</v>
      </c>
      <c r="AT105" s="90">
        <v>0</v>
      </c>
      <c r="AU105" s="90"/>
      <c r="AV105" s="90"/>
      <c r="AW105" s="90"/>
      <c r="AX105" s="90"/>
      <c r="AY105" s="90"/>
      <c r="AZ105" s="90"/>
      <c r="BA105" s="90"/>
      <c r="BB105" s="90"/>
      <c r="BC105" s="90">
        <v>1</v>
      </c>
      <c r="BD105" s="89" t="str">
        <f>REPLACE(INDEX(GroupVertices[Group],MATCH(Edges[[#This Row],[Vertex 1]],GroupVertices[Vertex],0)),1,1,"")</f>
        <v>1</v>
      </c>
      <c r="BE105" s="89"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6" t="s">
        <v>2119</v>
      </c>
      <c r="B106" s="66" t="s">
        <v>252</v>
      </c>
      <c r="C106" s="67" t="s">
        <v>2108</v>
      </c>
      <c r="D106" s="68">
        <v>1</v>
      </c>
      <c r="E106" s="69" t="s">
        <v>132</v>
      </c>
      <c r="F106" s="70">
        <v>32</v>
      </c>
      <c r="G106" s="67" t="s">
        <v>51</v>
      </c>
      <c r="H106" s="71"/>
      <c r="I106" s="72"/>
      <c r="J106" s="72"/>
      <c r="K106" s="35" t="s">
        <v>65</v>
      </c>
      <c r="L106" s="79">
        <v>106</v>
      </c>
      <c r="M106" s="79"/>
      <c r="N106" s="74"/>
      <c r="O106" s="90" t="s">
        <v>306</v>
      </c>
      <c r="P106" s="93">
        <v>44483.39616898148</v>
      </c>
      <c r="Q106" s="90" t="s">
        <v>2140</v>
      </c>
      <c r="R106" s="96" t="str">
        <f>HYPERLINK("https://talouskurssi.fi")</f>
        <v>https://talouskurssi.fi</v>
      </c>
      <c r="S106" s="90" t="s">
        <v>334</v>
      </c>
      <c r="T106" s="90"/>
      <c r="U106" s="96" t="str">
        <f>HYPERLINK("https://pbs.twimg.com/media/FBpWom9XIAAjFw3.jpg")</f>
        <v>https://pbs.twimg.com/media/FBpWom9XIAAjFw3.jpg</v>
      </c>
      <c r="V106" s="96" t="str">
        <f>HYPERLINK("https://pbs.twimg.com/media/FBpWom9XIAAjFw3.jpg")</f>
        <v>https://pbs.twimg.com/media/FBpWom9XIAAjFw3.jpg</v>
      </c>
      <c r="W106" s="93">
        <v>44483.39616898148</v>
      </c>
      <c r="X106" s="102">
        <v>44483</v>
      </c>
      <c r="Y106" s="99" t="s">
        <v>2161</v>
      </c>
      <c r="Z106" s="96" t="str">
        <f>HYPERLINK("https://twitter.com/ihantola/status/1448581970955575306")</f>
        <v>https://twitter.com/ihantola/status/1448581970955575306</v>
      </c>
      <c r="AA106" s="90"/>
      <c r="AB106" s="90"/>
      <c r="AC106" s="99" t="s">
        <v>2207</v>
      </c>
      <c r="AD106" s="90"/>
      <c r="AE106" s="90" t="b">
        <v>0</v>
      </c>
      <c r="AF106" s="90">
        <v>0</v>
      </c>
      <c r="AG106" s="99" t="s">
        <v>535</v>
      </c>
      <c r="AH106" s="90" t="b">
        <v>0</v>
      </c>
      <c r="AI106" s="90" t="s">
        <v>537</v>
      </c>
      <c r="AJ106" s="90"/>
      <c r="AK106" s="99" t="s">
        <v>535</v>
      </c>
      <c r="AL106" s="90" t="b">
        <v>0</v>
      </c>
      <c r="AM106" s="90">
        <v>9</v>
      </c>
      <c r="AN106" s="99" t="s">
        <v>538</v>
      </c>
      <c r="AO106" s="99" t="s">
        <v>543</v>
      </c>
      <c r="AP106" s="90" t="b">
        <v>0</v>
      </c>
      <c r="AQ106" s="99" t="s">
        <v>538</v>
      </c>
      <c r="AR106" s="90" t="s">
        <v>187</v>
      </c>
      <c r="AS106" s="90">
        <v>0</v>
      </c>
      <c r="AT106" s="90">
        <v>0</v>
      </c>
      <c r="AU106" s="90"/>
      <c r="AV106" s="90"/>
      <c r="AW106" s="90"/>
      <c r="AX106" s="90"/>
      <c r="AY106" s="90"/>
      <c r="AZ106" s="90"/>
      <c r="BA106" s="90"/>
      <c r="BB106" s="90"/>
      <c r="BC106" s="90">
        <v>1</v>
      </c>
      <c r="BD106" s="89" t="str">
        <f>REPLACE(INDEX(GroupVertices[Group],MATCH(Edges[[#This Row],[Vertex 1]],GroupVertices[Vertex],0)),1,1,"")</f>
        <v>2</v>
      </c>
      <c r="BE106" s="89" t="str">
        <f>REPLACE(INDEX(GroupVertices[Group],MATCH(Edges[[#This Row],[Vertex 2]],GroupVertices[Vertex],0)),1,1,"")</f>
        <v>2</v>
      </c>
      <c r="BF106" s="49"/>
      <c r="BG106" s="50"/>
      <c r="BH106" s="49"/>
      <c r="BI106" s="50"/>
      <c r="BJ106" s="49"/>
      <c r="BK106" s="50"/>
      <c r="BL106" s="49"/>
      <c r="BM106" s="50"/>
      <c r="BN106" s="49"/>
    </row>
    <row r="107" spans="1:66" ht="15">
      <c r="A107" s="66" t="s">
        <v>2119</v>
      </c>
      <c r="B107" s="66" t="s">
        <v>295</v>
      </c>
      <c r="C107" s="67" t="s">
        <v>2108</v>
      </c>
      <c r="D107" s="68">
        <v>1</v>
      </c>
      <c r="E107" s="69" t="s">
        <v>132</v>
      </c>
      <c r="F107" s="70">
        <v>32</v>
      </c>
      <c r="G107" s="67" t="s">
        <v>51</v>
      </c>
      <c r="H107" s="71"/>
      <c r="I107" s="72"/>
      <c r="J107" s="72"/>
      <c r="K107" s="35" t="s">
        <v>65</v>
      </c>
      <c r="L107" s="79">
        <v>107</v>
      </c>
      <c r="M107" s="79"/>
      <c r="N107" s="74"/>
      <c r="O107" s="90" t="s">
        <v>306</v>
      </c>
      <c r="P107" s="93">
        <v>44483.39616898148</v>
      </c>
      <c r="Q107" s="90" t="s">
        <v>2140</v>
      </c>
      <c r="R107" s="96" t="str">
        <f>HYPERLINK("https://talouskurssi.fi")</f>
        <v>https://talouskurssi.fi</v>
      </c>
      <c r="S107" s="90" t="s">
        <v>334</v>
      </c>
      <c r="T107" s="90"/>
      <c r="U107" s="96" t="str">
        <f>HYPERLINK("https://pbs.twimg.com/media/FBpWom9XIAAjFw3.jpg")</f>
        <v>https://pbs.twimg.com/media/FBpWom9XIAAjFw3.jpg</v>
      </c>
      <c r="V107" s="96" t="str">
        <f>HYPERLINK("https://pbs.twimg.com/media/FBpWom9XIAAjFw3.jpg")</f>
        <v>https://pbs.twimg.com/media/FBpWom9XIAAjFw3.jpg</v>
      </c>
      <c r="W107" s="93">
        <v>44483.39616898148</v>
      </c>
      <c r="X107" s="102">
        <v>44483</v>
      </c>
      <c r="Y107" s="99" t="s">
        <v>2161</v>
      </c>
      <c r="Z107" s="96" t="str">
        <f>HYPERLINK("https://twitter.com/ihantola/status/1448581970955575306")</f>
        <v>https://twitter.com/ihantola/status/1448581970955575306</v>
      </c>
      <c r="AA107" s="90"/>
      <c r="AB107" s="90"/>
      <c r="AC107" s="99" t="s">
        <v>2207</v>
      </c>
      <c r="AD107" s="90"/>
      <c r="AE107" s="90" t="b">
        <v>0</v>
      </c>
      <c r="AF107" s="90">
        <v>0</v>
      </c>
      <c r="AG107" s="99" t="s">
        <v>535</v>
      </c>
      <c r="AH107" s="90" t="b">
        <v>0</v>
      </c>
      <c r="AI107" s="90" t="s">
        <v>537</v>
      </c>
      <c r="AJ107" s="90"/>
      <c r="AK107" s="99" t="s">
        <v>535</v>
      </c>
      <c r="AL107" s="90" t="b">
        <v>0</v>
      </c>
      <c r="AM107" s="90">
        <v>9</v>
      </c>
      <c r="AN107" s="99" t="s">
        <v>538</v>
      </c>
      <c r="AO107" s="99" t="s">
        <v>543</v>
      </c>
      <c r="AP107" s="90" t="b">
        <v>0</v>
      </c>
      <c r="AQ107" s="99" t="s">
        <v>538</v>
      </c>
      <c r="AR107" s="90" t="s">
        <v>187</v>
      </c>
      <c r="AS107" s="90">
        <v>0</v>
      </c>
      <c r="AT107" s="90">
        <v>0</v>
      </c>
      <c r="AU107" s="90"/>
      <c r="AV107" s="90"/>
      <c r="AW107" s="90"/>
      <c r="AX107" s="90"/>
      <c r="AY107" s="90"/>
      <c r="AZ107" s="90"/>
      <c r="BA107" s="90"/>
      <c r="BB107" s="90"/>
      <c r="BC107" s="90">
        <v>1</v>
      </c>
      <c r="BD107" s="89" t="str">
        <f>REPLACE(INDEX(GroupVertices[Group],MATCH(Edges[[#This Row],[Vertex 1]],GroupVertices[Vertex],0)),1,1,"")</f>
        <v>2</v>
      </c>
      <c r="BE107" s="89" t="str">
        <f>REPLACE(INDEX(GroupVertices[Group],MATCH(Edges[[#This Row],[Vertex 2]],GroupVertices[Vertex],0)),1,1,"")</f>
        <v>2</v>
      </c>
      <c r="BF107" s="49"/>
      <c r="BG107" s="50"/>
      <c r="BH107" s="49"/>
      <c r="BI107" s="50"/>
      <c r="BJ107" s="49"/>
      <c r="BK107" s="50"/>
      <c r="BL107" s="49"/>
      <c r="BM107" s="50"/>
      <c r="BN107" s="49"/>
    </row>
    <row r="108" spans="1:66" ht="15">
      <c r="A108" s="66" t="s">
        <v>2119</v>
      </c>
      <c r="B108" s="66" t="s">
        <v>260</v>
      </c>
      <c r="C108" s="67" t="s">
        <v>2108</v>
      </c>
      <c r="D108" s="68">
        <v>1</v>
      </c>
      <c r="E108" s="69" t="s">
        <v>132</v>
      </c>
      <c r="F108" s="70">
        <v>32</v>
      </c>
      <c r="G108" s="67" t="s">
        <v>51</v>
      </c>
      <c r="H108" s="71"/>
      <c r="I108" s="72"/>
      <c r="J108" s="72"/>
      <c r="K108" s="35" t="s">
        <v>65</v>
      </c>
      <c r="L108" s="79">
        <v>108</v>
      </c>
      <c r="M108" s="79"/>
      <c r="N108" s="74"/>
      <c r="O108" s="90" t="s">
        <v>306</v>
      </c>
      <c r="P108" s="93">
        <v>44483.39616898148</v>
      </c>
      <c r="Q108" s="90" t="s">
        <v>2140</v>
      </c>
      <c r="R108" s="96" t="str">
        <f>HYPERLINK("https://talouskurssi.fi")</f>
        <v>https://talouskurssi.fi</v>
      </c>
      <c r="S108" s="90" t="s">
        <v>334</v>
      </c>
      <c r="T108" s="90"/>
      <c r="U108" s="96" t="str">
        <f>HYPERLINK("https://pbs.twimg.com/media/FBpWom9XIAAjFw3.jpg")</f>
        <v>https://pbs.twimg.com/media/FBpWom9XIAAjFw3.jpg</v>
      </c>
      <c r="V108" s="96" t="str">
        <f>HYPERLINK("https://pbs.twimg.com/media/FBpWom9XIAAjFw3.jpg")</f>
        <v>https://pbs.twimg.com/media/FBpWom9XIAAjFw3.jpg</v>
      </c>
      <c r="W108" s="93">
        <v>44483.39616898148</v>
      </c>
      <c r="X108" s="102">
        <v>44483</v>
      </c>
      <c r="Y108" s="99" t="s">
        <v>2161</v>
      </c>
      <c r="Z108" s="96" t="str">
        <f>HYPERLINK("https://twitter.com/ihantola/status/1448581970955575306")</f>
        <v>https://twitter.com/ihantola/status/1448581970955575306</v>
      </c>
      <c r="AA108" s="90"/>
      <c r="AB108" s="90"/>
      <c r="AC108" s="99" t="s">
        <v>2207</v>
      </c>
      <c r="AD108" s="90"/>
      <c r="AE108" s="90" t="b">
        <v>0</v>
      </c>
      <c r="AF108" s="90">
        <v>0</v>
      </c>
      <c r="AG108" s="99" t="s">
        <v>535</v>
      </c>
      <c r="AH108" s="90" t="b">
        <v>0</v>
      </c>
      <c r="AI108" s="90" t="s">
        <v>537</v>
      </c>
      <c r="AJ108" s="90"/>
      <c r="AK108" s="99" t="s">
        <v>535</v>
      </c>
      <c r="AL108" s="90" t="b">
        <v>0</v>
      </c>
      <c r="AM108" s="90">
        <v>9</v>
      </c>
      <c r="AN108" s="99" t="s">
        <v>538</v>
      </c>
      <c r="AO108" s="99" t="s">
        <v>543</v>
      </c>
      <c r="AP108" s="90" t="b">
        <v>0</v>
      </c>
      <c r="AQ108" s="99" t="s">
        <v>538</v>
      </c>
      <c r="AR108" s="90" t="s">
        <v>187</v>
      </c>
      <c r="AS108" s="90">
        <v>0</v>
      </c>
      <c r="AT108" s="90">
        <v>0</v>
      </c>
      <c r="AU108" s="90"/>
      <c r="AV108" s="90"/>
      <c r="AW108" s="90"/>
      <c r="AX108" s="90"/>
      <c r="AY108" s="90"/>
      <c r="AZ108" s="90"/>
      <c r="BA108" s="90"/>
      <c r="BB108" s="90"/>
      <c r="BC108" s="90">
        <v>1</v>
      </c>
      <c r="BD108" s="89" t="str">
        <f>REPLACE(INDEX(GroupVertices[Group],MATCH(Edges[[#This Row],[Vertex 1]],GroupVertices[Vertex],0)),1,1,"")</f>
        <v>2</v>
      </c>
      <c r="BE108" s="89" t="str">
        <f>REPLACE(INDEX(GroupVertices[Group],MATCH(Edges[[#This Row],[Vertex 2]],GroupVertices[Vertex],0)),1,1,"")</f>
        <v>2</v>
      </c>
      <c r="BF108" s="49"/>
      <c r="BG108" s="50"/>
      <c r="BH108" s="49"/>
      <c r="BI108" s="50"/>
      <c r="BJ108" s="49"/>
      <c r="BK108" s="50"/>
      <c r="BL108" s="49"/>
      <c r="BM108" s="50"/>
      <c r="BN108" s="49"/>
    </row>
    <row r="109" spans="1:66" ht="15">
      <c r="A109" s="66" t="s">
        <v>2119</v>
      </c>
      <c r="B109" s="66" t="s">
        <v>293</v>
      </c>
      <c r="C109" s="67" t="s">
        <v>2108</v>
      </c>
      <c r="D109" s="68">
        <v>1</v>
      </c>
      <c r="E109" s="69" t="s">
        <v>132</v>
      </c>
      <c r="F109" s="70">
        <v>32</v>
      </c>
      <c r="G109" s="67" t="s">
        <v>51</v>
      </c>
      <c r="H109" s="71"/>
      <c r="I109" s="72"/>
      <c r="J109" s="72"/>
      <c r="K109" s="35" t="s">
        <v>65</v>
      </c>
      <c r="L109" s="79">
        <v>109</v>
      </c>
      <c r="M109" s="79"/>
      <c r="N109" s="74"/>
      <c r="O109" s="90" t="s">
        <v>306</v>
      </c>
      <c r="P109" s="93">
        <v>44483.39616898148</v>
      </c>
      <c r="Q109" s="90" t="s">
        <v>2140</v>
      </c>
      <c r="R109" s="96" t="str">
        <f>HYPERLINK("https://talouskurssi.fi")</f>
        <v>https://talouskurssi.fi</v>
      </c>
      <c r="S109" s="90" t="s">
        <v>334</v>
      </c>
      <c r="T109" s="90"/>
      <c r="U109" s="96" t="str">
        <f>HYPERLINK("https://pbs.twimg.com/media/FBpWom9XIAAjFw3.jpg")</f>
        <v>https://pbs.twimg.com/media/FBpWom9XIAAjFw3.jpg</v>
      </c>
      <c r="V109" s="96" t="str">
        <f>HYPERLINK("https://pbs.twimg.com/media/FBpWom9XIAAjFw3.jpg")</f>
        <v>https://pbs.twimg.com/media/FBpWom9XIAAjFw3.jpg</v>
      </c>
      <c r="W109" s="93">
        <v>44483.39616898148</v>
      </c>
      <c r="X109" s="102">
        <v>44483</v>
      </c>
      <c r="Y109" s="99" t="s">
        <v>2161</v>
      </c>
      <c r="Z109" s="96" t="str">
        <f>HYPERLINK("https://twitter.com/ihantola/status/1448581970955575306")</f>
        <v>https://twitter.com/ihantola/status/1448581970955575306</v>
      </c>
      <c r="AA109" s="90"/>
      <c r="AB109" s="90"/>
      <c r="AC109" s="99" t="s">
        <v>2207</v>
      </c>
      <c r="AD109" s="90"/>
      <c r="AE109" s="90" t="b">
        <v>0</v>
      </c>
      <c r="AF109" s="90">
        <v>0</v>
      </c>
      <c r="AG109" s="99" t="s">
        <v>535</v>
      </c>
      <c r="AH109" s="90" t="b">
        <v>0</v>
      </c>
      <c r="AI109" s="90" t="s">
        <v>537</v>
      </c>
      <c r="AJ109" s="90"/>
      <c r="AK109" s="99" t="s">
        <v>535</v>
      </c>
      <c r="AL109" s="90" t="b">
        <v>0</v>
      </c>
      <c r="AM109" s="90">
        <v>9</v>
      </c>
      <c r="AN109" s="99" t="s">
        <v>538</v>
      </c>
      <c r="AO109" s="99" t="s">
        <v>543</v>
      </c>
      <c r="AP109" s="90" t="b">
        <v>0</v>
      </c>
      <c r="AQ109" s="99" t="s">
        <v>538</v>
      </c>
      <c r="AR109" s="90" t="s">
        <v>187</v>
      </c>
      <c r="AS109" s="90">
        <v>0</v>
      </c>
      <c r="AT109" s="90">
        <v>0</v>
      </c>
      <c r="AU109" s="90"/>
      <c r="AV109" s="90"/>
      <c r="AW109" s="90"/>
      <c r="AX109" s="90"/>
      <c r="AY109" s="90"/>
      <c r="AZ109" s="90"/>
      <c r="BA109" s="90"/>
      <c r="BB109" s="90"/>
      <c r="BC109" s="90">
        <v>1</v>
      </c>
      <c r="BD109" s="89" t="str">
        <f>REPLACE(INDEX(GroupVertices[Group],MATCH(Edges[[#This Row],[Vertex 1]],GroupVertices[Vertex],0)),1,1,"")</f>
        <v>2</v>
      </c>
      <c r="BE109" s="89" t="str">
        <f>REPLACE(INDEX(GroupVertices[Group],MATCH(Edges[[#This Row],[Vertex 2]],GroupVertices[Vertex],0)),1,1,"")</f>
        <v>3</v>
      </c>
      <c r="BF109" s="49"/>
      <c r="BG109" s="50"/>
      <c r="BH109" s="49"/>
      <c r="BI109" s="50"/>
      <c r="BJ109" s="49"/>
      <c r="BK109" s="50"/>
      <c r="BL109" s="49"/>
      <c r="BM109" s="50"/>
      <c r="BN109" s="49"/>
    </row>
    <row r="110" spans="1:66" ht="15">
      <c r="A110" s="66" t="s">
        <v>2119</v>
      </c>
      <c r="B110" s="66" t="s">
        <v>250</v>
      </c>
      <c r="C110" s="67" t="s">
        <v>2108</v>
      </c>
      <c r="D110" s="68">
        <v>1</v>
      </c>
      <c r="E110" s="69" t="s">
        <v>132</v>
      </c>
      <c r="F110" s="70">
        <v>32</v>
      </c>
      <c r="G110" s="67" t="s">
        <v>51</v>
      </c>
      <c r="H110" s="71"/>
      <c r="I110" s="72"/>
      <c r="J110" s="72"/>
      <c r="K110" s="35" t="s">
        <v>65</v>
      </c>
      <c r="L110" s="79">
        <v>110</v>
      </c>
      <c r="M110" s="79"/>
      <c r="N110" s="74"/>
      <c r="O110" s="90" t="s">
        <v>305</v>
      </c>
      <c r="P110" s="93">
        <v>44483.39616898148</v>
      </c>
      <c r="Q110" s="90" t="s">
        <v>2140</v>
      </c>
      <c r="R110" s="96" t="str">
        <f>HYPERLINK("https://talouskurssi.fi")</f>
        <v>https://talouskurssi.fi</v>
      </c>
      <c r="S110" s="90" t="s">
        <v>334</v>
      </c>
      <c r="T110" s="90"/>
      <c r="U110" s="96" t="str">
        <f>HYPERLINK("https://pbs.twimg.com/media/FBpWom9XIAAjFw3.jpg")</f>
        <v>https://pbs.twimg.com/media/FBpWom9XIAAjFw3.jpg</v>
      </c>
      <c r="V110" s="96" t="str">
        <f>HYPERLINK("https://pbs.twimg.com/media/FBpWom9XIAAjFw3.jpg")</f>
        <v>https://pbs.twimg.com/media/FBpWom9XIAAjFw3.jpg</v>
      </c>
      <c r="W110" s="93">
        <v>44483.39616898148</v>
      </c>
      <c r="X110" s="102">
        <v>44483</v>
      </c>
      <c r="Y110" s="99" t="s">
        <v>2161</v>
      </c>
      <c r="Z110" s="96" t="str">
        <f>HYPERLINK("https://twitter.com/ihantola/status/1448581970955575306")</f>
        <v>https://twitter.com/ihantola/status/1448581970955575306</v>
      </c>
      <c r="AA110" s="90"/>
      <c r="AB110" s="90"/>
      <c r="AC110" s="99" t="s">
        <v>2207</v>
      </c>
      <c r="AD110" s="90"/>
      <c r="AE110" s="90" t="b">
        <v>0</v>
      </c>
      <c r="AF110" s="90">
        <v>0</v>
      </c>
      <c r="AG110" s="99" t="s">
        <v>535</v>
      </c>
      <c r="AH110" s="90" t="b">
        <v>0</v>
      </c>
      <c r="AI110" s="90" t="s">
        <v>537</v>
      </c>
      <c r="AJ110" s="90"/>
      <c r="AK110" s="99" t="s">
        <v>535</v>
      </c>
      <c r="AL110" s="90" t="b">
        <v>0</v>
      </c>
      <c r="AM110" s="90">
        <v>9</v>
      </c>
      <c r="AN110" s="99" t="s">
        <v>538</v>
      </c>
      <c r="AO110" s="99" t="s">
        <v>543</v>
      </c>
      <c r="AP110" s="90" t="b">
        <v>0</v>
      </c>
      <c r="AQ110" s="99" t="s">
        <v>538</v>
      </c>
      <c r="AR110" s="90" t="s">
        <v>187</v>
      </c>
      <c r="AS110" s="90">
        <v>0</v>
      </c>
      <c r="AT110" s="90">
        <v>0</v>
      </c>
      <c r="AU110" s="90"/>
      <c r="AV110" s="90"/>
      <c r="AW110" s="90"/>
      <c r="AX110" s="90"/>
      <c r="AY110" s="90"/>
      <c r="AZ110" s="90"/>
      <c r="BA110" s="90"/>
      <c r="BB110" s="90"/>
      <c r="BC110" s="90">
        <v>1</v>
      </c>
      <c r="BD110" s="89" t="str">
        <f>REPLACE(INDEX(GroupVertices[Group],MATCH(Edges[[#This Row],[Vertex 1]],GroupVertices[Vertex],0)),1,1,"")</f>
        <v>2</v>
      </c>
      <c r="BE110" s="89" t="str">
        <f>REPLACE(INDEX(GroupVertices[Group],MATCH(Edges[[#This Row],[Vertex 2]],GroupVertices[Vertex],0)),1,1,"")</f>
        <v>2</v>
      </c>
      <c r="BF110" s="49">
        <v>0</v>
      </c>
      <c r="BG110" s="50">
        <v>0</v>
      </c>
      <c r="BH110" s="49">
        <v>0</v>
      </c>
      <c r="BI110" s="50">
        <v>0</v>
      </c>
      <c r="BJ110" s="49">
        <v>0</v>
      </c>
      <c r="BK110" s="50">
        <v>0</v>
      </c>
      <c r="BL110" s="49">
        <v>32</v>
      </c>
      <c r="BM110" s="50">
        <v>100</v>
      </c>
      <c r="BN110" s="49">
        <v>32</v>
      </c>
    </row>
    <row r="111" spans="1:66" ht="15">
      <c r="A111" s="66" t="s">
        <v>256</v>
      </c>
      <c r="B111" s="66" t="s">
        <v>299</v>
      </c>
      <c r="C111" s="67" t="s">
        <v>2108</v>
      </c>
      <c r="D111" s="68">
        <v>1</v>
      </c>
      <c r="E111" s="69" t="s">
        <v>132</v>
      </c>
      <c r="F111" s="70">
        <v>32</v>
      </c>
      <c r="G111" s="67" t="s">
        <v>51</v>
      </c>
      <c r="H111" s="71"/>
      <c r="I111" s="72"/>
      <c r="J111" s="72"/>
      <c r="K111" s="35" t="s">
        <v>65</v>
      </c>
      <c r="L111" s="79">
        <v>111</v>
      </c>
      <c r="M111" s="79"/>
      <c r="N111" s="74"/>
      <c r="O111" s="90" t="s">
        <v>306</v>
      </c>
      <c r="P111" s="93">
        <v>44483.39628472222</v>
      </c>
      <c r="Q111" s="90" t="s">
        <v>310</v>
      </c>
      <c r="R111" s="96" t="str">
        <f>HYPERLINK("https://talouskurssi.fi/")</f>
        <v>https://talouskurssi.fi/</v>
      </c>
      <c r="S111" s="90" t="s">
        <v>334</v>
      </c>
      <c r="T111" s="99" t="s">
        <v>338</v>
      </c>
      <c r="U111" s="96" t="str">
        <f>HYPERLINK("https://pbs.twimg.com/ext_tw_video_thumb/1448527896562348036/pu/img/0PqSbNMaXHvzKHCc.jpg")</f>
        <v>https://pbs.twimg.com/ext_tw_video_thumb/1448527896562348036/pu/img/0PqSbNMaXHvzKHCc.jpg</v>
      </c>
      <c r="V111" s="96" t="str">
        <f>HYPERLINK("https://pbs.twimg.com/ext_tw_video_thumb/1448527896562348036/pu/img/0PqSbNMaXHvzKHCc.jpg")</f>
        <v>https://pbs.twimg.com/ext_tw_video_thumb/1448527896562348036/pu/img/0PqSbNMaXHvzKHCc.jpg</v>
      </c>
      <c r="W111" s="93">
        <v>44483.39628472222</v>
      </c>
      <c r="X111" s="102">
        <v>44483</v>
      </c>
      <c r="Y111" s="99" t="s">
        <v>378</v>
      </c>
      <c r="Z111" s="96" t="str">
        <f>HYPERLINK("https://twitter.com/sakarirokkanen/status/1448582010797236225")</f>
        <v>https://twitter.com/sakarirokkanen/status/1448582010797236225</v>
      </c>
      <c r="AA111" s="90"/>
      <c r="AB111" s="90"/>
      <c r="AC111" s="99" t="s">
        <v>472</v>
      </c>
      <c r="AD111" s="90"/>
      <c r="AE111" s="90" t="b">
        <v>0</v>
      </c>
      <c r="AF111" s="90">
        <v>0</v>
      </c>
      <c r="AG111" s="99" t="s">
        <v>535</v>
      </c>
      <c r="AH111" s="90" t="b">
        <v>0</v>
      </c>
      <c r="AI111" s="90" t="s">
        <v>537</v>
      </c>
      <c r="AJ111" s="90"/>
      <c r="AK111" s="99" t="s">
        <v>535</v>
      </c>
      <c r="AL111" s="90" t="b">
        <v>0</v>
      </c>
      <c r="AM111" s="90">
        <v>52</v>
      </c>
      <c r="AN111" s="99" t="s">
        <v>526</v>
      </c>
      <c r="AO111" s="99" t="s">
        <v>543</v>
      </c>
      <c r="AP111" s="90" t="b">
        <v>0</v>
      </c>
      <c r="AQ111" s="99" t="s">
        <v>526</v>
      </c>
      <c r="AR111" s="90" t="s">
        <v>187</v>
      </c>
      <c r="AS111" s="90">
        <v>0</v>
      </c>
      <c r="AT111" s="90">
        <v>0</v>
      </c>
      <c r="AU111" s="90"/>
      <c r="AV111" s="90"/>
      <c r="AW111" s="90"/>
      <c r="AX111" s="90"/>
      <c r="AY111" s="90"/>
      <c r="AZ111" s="90"/>
      <c r="BA111" s="90"/>
      <c r="BB111" s="90"/>
      <c r="BC111" s="90">
        <v>1</v>
      </c>
      <c r="BD111" s="89" t="str">
        <f>REPLACE(INDEX(GroupVertices[Group],MATCH(Edges[[#This Row],[Vertex 1]],GroupVertices[Vertex],0)),1,1,"")</f>
        <v>1</v>
      </c>
      <c r="BE111" s="89" t="str">
        <f>REPLACE(INDEX(GroupVertices[Group],MATCH(Edges[[#This Row],[Vertex 2]],GroupVertices[Vertex],0)),1,1,"")</f>
        <v>1</v>
      </c>
      <c r="BF111" s="49"/>
      <c r="BG111" s="50"/>
      <c r="BH111" s="49"/>
      <c r="BI111" s="50"/>
      <c r="BJ111" s="49"/>
      <c r="BK111" s="50"/>
      <c r="BL111" s="49"/>
      <c r="BM111" s="50"/>
      <c r="BN111" s="49"/>
    </row>
    <row r="112" spans="1:66" ht="15">
      <c r="A112" s="66" t="s">
        <v>256</v>
      </c>
      <c r="B112" s="66" t="s">
        <v>302</v>
      </c>
      <c r="C112" s="67" t="s">
        <v>2108</v>
      </c>
      <c r="D112" s="68">
        <v>1</v>
      </c>
      <c r="E112" s="69" t="s">
        <v>132</v>
      </c>
      <c r="F112" s="70">
        <v>32</v>
      </c>
      <c r="G112" s="67" t="s">
        <v>51</v>
      </c>
      <c r="H112" s="71"/>
      <c r="I112" s="72"/>
      <c r="J112" s="72"/>
      <c r="K112" s="35" t="s">
        <v>65</v>
      </c>
      <c r="L112" s="79">
        <v>112</v>
      </c>
      <c r="M112" s="79"/>
      <c r="N112" s="74"/>
      <c r="O112" s="90" t="s">
        <v>306</v>
      </c>
      <c r="P112" s="93">
        <v>44483.39628472222</v>
      </c>
      <c r="Q112" s="90" t="s">
        <v>310</v>
      </c>
      <c r="R112" s="96" t="str">
        <f>HYPERLINK("https://talouskurssi.fi/")</f>
        <v>https://talouskurssi.fi/</v>
      </c>
      <c r="S112" s="90" t="s">
        <v>334</v>
      </c>
      <c r="T112" s="99" t="s">
        <v>338</v>
      </c>
      <c r="U112" s="96" t="str">
        <f>HYPERLINK("https://pbs.twimg.com/ext_tw_video_thumb/1448527896562348036/pu/img/0PqSbNMaXHvzKHCc.jpg")</f>
        <v>https://pbs.twimg.com/ext_tw_video_thumb/1448527896562348036/pu/img/0PqSbNMaXHvzKHCc.jpg</v>
      </c>
      <c r="V112" s="96" t="str">
        <f>HYPERLINK("https://pbs.twimg.com/ext_tw_video_thumb/1448527896562348036/pu/img/0PqSbNMaXHvzKHCc.jpg")</f>
        <v>https://pbs.twimg.com/ext_tw_video_thumb/1448527896562348036/pu/img/0PqSbNMaXHvzKHCc.jpg</v>
      </c>
      <c r="W112" s="93">
        <v>44483.39628472222</v>
      </c>
      <c r="X112" s="102">
        <v>44483</v>
      </c>
      <c r="Y112" s="99" t="s">
        <v>378</v>
      </c>
      <c r="Z112" s="96" t="str">
        <f>HYPERLINK("https://twitter.com/sakarirokkanen/status/1448582010797236225")</f>
        <v>https://twitter.com/sakarirokkanen/status/1448582010797236225</v>
      </c>
      <c r="AA112" s="90"/>
      <c r="AB112" s="90"/>
      <c r="AC112" s="99" t="s">
        <v>472</v>
      </c>
      <c r="AD112" s="90"/>
      <c r="AE112" s="90" t="b">
        <v>0</v>
      </c>
      <c r="AF112" s="90">
        <v>0</v>
      </c>
      <c r="AG112" s="99" t="s">
        <v>535</v>
      </c>
      <c r="AH112" s="90" t="b">
        <v>0</v>
      </c>
      <c r="AI112" s="90" t="s">
        <v>537</v>
      </c>
      <c r="AJ112" s="90"/>
      <c r="AK112" s="99" t="s">
        <v>535</v>
      </c>
      <c r="AL112" s="90" t="b">
        <v>0</v>
      </c>
      <c r="AM112" s="90">
        <v>52</v>
      </c>
      <c r="AN112" s="99" t="s">
        <v>526</v>
      </c>
      <c r="AO112" s="99" t="s">
        <v>543</v>
      </c>
      <c r="AP112" s="90" t="b">
        <v>0</v>
      </c>
      <c r="AQ112" s="99" t="s">
        <v>526</v>
      </c>
      <c r="AR112" s="90" t="s">
        <v>187</v>
      </c>
      <c r="AS112" s="90">
        <v>0</v>
      </c>
      <c r="AT112" s="90">
        <v>0</v>
      </c>
      <c r="AU112" s="90"/>
      <c r="AV112" s="90"/>
      <c r="AW112" s="90"/>
      <c r="AX112" s="90"/>
      <c r="AY112" s="90"/>
      <c r="AZ112" s="90"/>
      <c r="BA112" s="90"/>
      <c r="BB112" s="90"/>
      <c r="BC112" s="90">
        <v>1</v>
      </c>
      <c r="BD112" s="89" t="str">
        <f>REPLACE(INDEX(GroupVertices[Group],MATCH(Edges[[#This Row],[Vertex 1]],GroupVertices[Vertex],0)),1,1,"")</f>
        <v>1</v>
      </c>
      <c r="BE112" s="89" t="str">
        <f>REPLACE(INDEX(GroupVertices[Group],MATCH(Edges[[#This Row],[Vertex 2]],GroupVertices[Vertex],0)),1,1,"")</f>
        <v>1</v>
      </c>
      <c r="BF112" s="49"/>
      <c r="BG112" s="50"/>
      <c r="BH112" s="49"/>
      <c r="BI112" s="50"/>
      <c r="BJ112" s="49"/>
      <c r="BK112" s="50"/>
      <c r="BL112" s="49"/>
      <c r="BM112" s="50"/>
      <c r="BN112" s="49"/>
    </row>
    <row r="113" spans="1:66" ht="15">
      <c r="A113" s="66" t="s">
        <v>256</v>
      </c>
      <c r="B113" s="66" t="s">
        <v>293</v>
      </c>
      <c r="C113" s="67" t="s">
        <v>2108</v>
      </c>
      <c r="D113" s="68">
        <v>1</v>
      </c>
      <c r="E113" s="69" t="s">
        <v>132</v>
      </c>
      <c r="F113" s="70">
        <v>32</v>
      </c>
      <c r="G113" s="67" t="s">
        <v>51</v>
      </c>
      <c r="H113" s="71"/>
      <c r="I113" s="72"/>
      <c r="J113" s="72"/>
      <c r="K113" s="35" t="s">
        <v>65</v>
      </c>
      <c r="L113" s="79">
        <v>113</v>
      </c>
      <c r="M113" s="79"/>
      <c r="N113" s="74"/>
      <c r="O113" s="90" t="s">
        <v>305</v>
      </c>
      <c r="P113" s="93">
        <v>44483.39628472222</v>
      </c>
      <c r="Q113" s="90" t="s">
        <v>310</v>
      </c>
      <c r="R113" s="96" t="str">
        <f>HYPERLINK("https://talouskurssi.fi/")</f>
        <v>https://talouskurssi.fi/</v>
      </c>
      <c r="S113" s="90" t="s">
        <v>334</v>
      </c>
      <c r="T113" s="99" t="s">
        <v>338</v>
      </c>
      <c r="U113" s="96" t="str">
        <f>HYPERLINK("https://pbs.twimg.com/ext_tw_video_thumb/1448527896562348036/pu/img/0PqSbNMaXHvzKHCc.jpg")</f>
        <v>https://pbs.twimg.com/ext_tw_video_thumb/1448527896562348036/pu/img/0PqSbNMaXHvzKHCc.jpg</v>
      </c>
      <c r="V113" s="96" t="str">
        <f>HYPERLINK("https://pbs.twimg.com/ext_tw_video_thumb/1448527896562348036/pu/img/0PqSbNMaXHvzKHCc.jpg")</f>
        <v>https://pbs.twimg.com/ext_tw_video_thumb/1448527896562348036/pu/img/0PqSbNMaXHvzKHCc.jpg</v>
      </c>
      <c r="W113" s="93">
        <v>44483.39628472222</v>
      </c>
      <c r="X113" s="102">
        <v>44483</v>
      </c>
      <c r="Y113" s="99" t="s">
        <v>378</v>
      </c>
      <c r="Z113" s="96" t="str">
        <f>HYPERLINK("https://twitter.com/sakarirokkanen/status/1448582010797236225")</f>
        <v>https://twitter.com/sakarirokkanen/status/1448582010797236225</v>
      </c>
      <c r="AA113" s="90"/>
      <c r="AB113" s="90"/>
      <c r="AC113" s="99" t="s">
        <v>472</v>
      </c>
      <c r="AD113" s="90"/>
      <c r="AE113" s="90" t="b">
        <v>0</v>
      </c>
      <c r="AF113" s="90">
        <v>0</v>
      </c>
      <c r="AG113" s="99" t="s">
        <v>535</v>
      </c>
      <c r="AH113" s="90" t="b">
        <v>0</v>
      </c>
      <c r="AI113" s="90" t="s">
        <v>537</v>
      </c>
      <c r="AJ113" s="90"/>
      <c r="AK113" s="99" t="s">
        <v>535</v>
      </c>
      <c r="AL113" s="90" t="b">
        <v>0</v>
      </c>
      <c r="AM113" s="90">
        <v>52</v>
      </c>
      <c r="AN113" s="99" t="s">
        <v>526</v>
      </c>
      <c r="AO113" s="99" t="s">
        <v>543</v>
      </c>
      <c r="AP113" s="90" t="b">
        <v>0</v>
      </c>
      <c r="AQ113" s="99" t="s">
        <v>526</v>
      </c>
      <c r="AR113" s="90" t="s">
        <v>187</v>
      </c>
      <c r="AS113" s="90">
        <v>0</v>
      </c>
      <c r="AT113" s="90">
        <v>0</v>
      </c>
      <c r="AU113" s="90"/>
      <c r="AV113" s="90"/>
      <c r="AW113" s="90"/>
      <c r="AX113" s="90"/>
      <c r="AY113" s="90"/>
      <c r="AZ113" s="90"/>
      <c r="BA113" s="90"/>
      <c r="BB113" s="90"/>
      <c r="BC113" s="90">
        <v>1</v>
      </c>
      <c r="BD113" s="89" t="str">
        <f>REPLACE(INDEX(GroupVertices[Group],MATCH(Edges[[#This Row],[Vertex 1]],GroupVertices[Vertex],0)),1,1,"")</f>
        <v>1</v>
      </c>
      <c r="BE113" s="89" t="str">
        <f>REPLACE(INDEX(GroupVertices[Group],MATCH(Edges[[#This Row],[Vertex 2]],GroupVertices[Vertex],0)),1,1,"")</f>
        <v>3</v>
      </c>
      <c r="BF113" s="49">
        <v>0</v>
      </c>
      <c r="BG113" s="50">
        <v>0</v>
      </c>
      <c r="BH113" s="49">
        <v>0</v>
      </c>
      <c r="BI113" s="50">
        <v>0</v>
      </c>
      <c r="BJ113" s="49">
        <v>0</v>
      </c>
      <c r="BK113" s="50">
        <v>0</v>
      </c>
      <c r="BL113" s="49">
        <v>28</v>
      </c>
      <c r="BM113" s="50">
        <v>100</v>
      </c>
      <c r="BN113" s="49">
        <v>28</v>
      </c>
    </row>
    <row r="114" spans="1:66" ht="15">
      <c r="A114" s="66" t="s">
        <v>257</v>
      </c>
      <c r="B114" s="66" t="s">
        <v>299</v>
      </c>
      <c r="C114" s="67" t="s">
        <v>2108</v>
      </c>
      <c r="D114" s="68">
        <v>1</v>
      </c>
      <c r="E114" s="69" t="s">
        <v>132</v>
      </c>
      <c r="F114" s="70">
        <v>32</v>
      </c>
      <c r="G114" s="67" t="s">
        <v>51</v>
      </c>
      <c r="H114" s="71"/>
      <c r="I114" s="72"/>
      <c r="J114" s="72"/>
      <c r="K114" s="35" t="s">
        <v>65</v>
      </c>
      <c r="L114" s="79">
        <v>114</v>
      </c>
      <c r="M114" s="79"/>
      <c r="N114" s="74"/>
      <c r="O114" s="90" t="s">
        <v>306</v>
      </c>
      <c r="P114" s="93">
        <v>44483.400613425925</v>
      </c>
      <c r="Q114" s="90" t="s">
        <v>310</v>
      </c>
      <c r="R114" s="96" t="str">
        <f>HYPERLINK("https://talouskurssi.fi/")</f>
        <v>https://talouskurssi.fi/</v>
      </c>
      <c r="S114" s="90" t="s">
        <v>334</v>
      </c>
      <c r="T114" s="99" t="s">
        <v>338</v>
      </c>
      <c r="U114" s="96" t="str">
        <f>HYPERLINK("https://pbs.twimg.com/ext_tw_video_thumb/1448527896562348036/pu/img/0PqSbNMaXHvzKHCc.jpg")</f>
        <v>https://pbs.twimg.com/ext_tw_video_thumb/1448527896562348036/pu/img/0PqSbNMaXHvzKHCc.jpg</v>
      </c>
      <c r="V114" s="96" t="str">
        <f>HYPERLINK("https://pbs.twimg.com/ext_tw_video_thumb/1448527896562348036/pu/img/0PqSbNMaXHvzKHCc.jpg")</f>
        <v>https://pbs.twimg.com/ext_tw_video_thumb/1448527896562348036/pu/img/0PqSbNMaXHvzKHCc.jpg</v>
      </c>
      <c r="W114" s="93">
        <v>44483.400613425925</v>
      </c>
      <c r="X114" s="102">
        <v>44483</v>
      </c>
      <c r="Y114" s="99" t="s">
        <v>379</v>
      </c>
      <c r="Z114" s="96" t="str">
        <f>HYPERLINK("https://twitter.com/inkanokso/status/1448583578531553286")</f>
        <v>https://twitter.com/inkanokso/status/1448583578531553286</v>
      </c>
      <c r="AA114" s="90"/>
      <c r="AB114" s="90"/>
      <c r="AC114" s="99" t="s">
        <v>473</v>
      </c>
      <c r="AD114" s="90"/>
      <c r="AE114" s="90" t="b">
        <v>0</v>
      </c>
      <c r="AF114" s="90">
        <v>0</v>
      </c>
      <c r="AG114" s="99" t="s">
        <v>535</v>
      </c>
      <c r="AH114" s="90" t="b">
        <v>0</v>
      </c>
      <c r="AI114" s="90" t="s">
        <v>537</v>
      </c>
      <c r="AJ114" s="90"/>
      <c r="AK114" s="99" t="s">
        <v>535</v>
      </c>
      <c r="AL114" s="90" t="b">
        <v>0</v>
      </c>
      <c r="AM114" s="90">
        <v>52</v>
      </c>
      <c r="AN114" s="99" t="s">
        <v>526</v>
      </c>
      <c r="AO114" s="99" t="s">
        <v>545</v>
      </c>
      <c r="AP114" s="90" t="b">
        <v>0</v>
      </c>
      <c r="AQ114" s="99" t="s">
        <v>526</v>
      </c>
      <c r="AR114" s="90" t="s">
        <v>187</v>
      </c>
      <c r="AS114" s="90">
        <v>0</v>
      </c>
      <c r="AT114" s="90">
        <v>0</v>
      </c>
      <c r="AU114" s="90"/>
      <c r="AV114" s="90"/>
      <c r="AW114" s="90"/>
      <c r="AX114" s="90"/>
      <c r="AY114" s="90"/>
      <c r="AZ114" s="90"/>
      <c r="BA114" s="90"/>
      <c r="BB114" s="90"/>
      <c r="BC114" s="90">
        <v>1</v>
      </c>
      <c r="BD114" s="89" t="str">
        <f>REPLACE(INDEX(GroupVertices[Group],MATCH(Edges[[#This Row],[Vertex 1]],GroupVertices[Vertex],0)),1,1,"")</f>
        <v>1</v>
      </c>
      <c r="BE114" s="89" t="str">
        <f>REPLACE(INDEX(GroupVertices[Group],MATCH(Edges[[#This Row],[Vertex 2]],GroupVertices[Vertex],0)),1,1,"")</f>
        <v>1</v>
      </c>
      <c r="BF114" s="49"/>
      <c r="BG114" s="50"/>
      <c r="BH114" s="49"/>
      <c r="BI114" s="50"/>
      <c r="BJ114" s="49"/>
      <c r="BK114" s="50"/>
      <c r="BL114" s="49"/>
      <c r="BM114" s="50"/>
      <c r="BN114" s="49"/>
    </row>
    <row r="115" spans="1:66" ht="15">
      <c r="A115" s="66" t="s">
        <v>257</v>
      </c>
      <c r="B115" s="66" t="s">
        <v>302</v>
      </c>
      <c r="C115" s="67" t="s">
        <v>2108</v>
      </c>
      <c r="D115" s="68">
        <v>1</v>
      </c>
      <c r="E115" s="69" t="s">
        <v>132</v>
      </c>
      <c r="F115" s="70">
        <v>32</v>
      </c>
      <c r="G115" s="67" t="s">
        <v>51</v>
      </c>
      <c r="H115" s="71"/>
      <c r="I115" s="72"/>
      <c r="J115" s="72"/>
      <c r="K115" s="35" t="s">
        <v>65</v>
      </c>
      <c r="L115" s="79">
        <v>115</v>
      </c>
      <c r="M115" s="79"/>
      <c r="N115" s="74"/>
      <c r="O115" s="90" t="s">
        <v>306</v>
      </c>
      <c r="P115" s="93">
        <v>44483.400613425925</v>
      </c>
      <c r="Q115" s="90" t="s">
        <v>310</v>
      </c>
      <c r="R115" s="96" t="str">
        <f>HYPERLINK("https://talouskurssi.fi/")</f>
        <v>https://talouskurssi.fi/</v>
      </c>
      <c r="S115" s="90" t="s">
        <v>334</v>
      </c>
      <c r="T115" s="99" t="s">
        <v>338</v>
      </c>
      <c r="U115" s="96" t="str">
        <f>HYPERLINK("https://pbs.twimg.com/ext_tw_video_thumb/1448527896562348036/pu/img/0PqSbNMaXHvzKHCc.jpg")</f>
        <v>https://pbs.twimg.com/ext_tw_video_thumb/1448527896562348036/pu/img/0PqSbNMaXHvzKHCc.jpg</v>
      </c>
      <c r="V115" s="96" t="str">
        <f>HYPERLINK("https://pbs.twimg.com/ext_tw_video_thumb/1448527896562348036/pu/img/0PqSbNMaXHvzKHCc.jpg")</f>
        <v>https://pbs.twimg.com/ext_tw_video_thumb/1448527896562348036/pu/img/0PqSbNMaXHvzKHCc.jpg</v>
      </c>
      <c r="W115" s="93">
        <v>44483.400613425925</v>
      </c>
      <c r="X115" s="102">
        <v>44483</v>
      </c>
      <c r="Y115" s="99" t="s">
        <v>379</v>
      </c>
      <c r="Z115" s="96" t="str">
        <f>HYPERLINK("https://twitter.com/inkanokso/status/1448583578531553286")</f>
        <v>https://twitter.com/inkanokso/status/1448583578531553286</v>
      </c>
      <c r="AA115" s="90"/>
      <c r="AB115" s="90"/>
      <c r="AC115" s="99" t="s">
        <v>473</v>
      </c>
      <c r="AD115" s="90"/>
      <c r="AE115" s="90" t="b">
        <v>0</v>
      </c>
      <c r="AF115" s="90">
        <v>0</v>
      </c>
      <c r="AG115" s="99" t="s">
        <v>535</v>
      </c>
      <c r="AH115" s="90" t="b">
        <v>0</v>
      </c>
      <c r="AI115" s="90" t="s">
        <v>537</v>
      </c>
      <c r="AJ115" s="90"/>
      <c r="AK115" s="99" t="s">
        <v>535</v>
      </c>
      <c r="AL115" s="90" t="b">
        <v>0</v>
      </c>
      <c r="AM115" s="90">
        <v>52</v>
      </c>
      <c r="AN115" s="99" t="s">
        <v>526</v>
      </c>
      <c r="AO115" s="99" t="s">
        <v>545</v>
      </c>
      <c r="AP115" s="90" t="b">
        <v>0</v>
      </c>
      <c r="AQ115" s="99" t="s">
        <v>526</v>
      </c>
      <c r="AR115" s="90" t="s">
        <v>187</v>
      </c>
      <c r="AS115" s="90">
        <v>0</v>
      </c>
      <c r="AT115" s="90">
        <v>0</v>
      </c>
      <c r="AU115" s="90"/>
      <c r="AV115" s="90"/>
      <c r="AW115" s="90"/>
      <c r="AX115" s="90"/>
      <c r="AY115" s="90"/>
      <c r="AZ115" s="90"/>
      <c r="BA115" s="90"/>
      <c r="BB115" s="90"/>
      <c r="BC115" s="90">
        <v>1</v>
      </c>
      <c r="BD115" s="89" t="str">
        <f>REPLACE(INDEX(GroupVertices[Group],MATCH(Edges[[#This Row],[Vertex 1]],GroupVertices[Vertex],0)),1,1,"")</f>
        <v>1</v>
      </c>
      <c r="BE115" s="89" t="str">
        <f>REPLACE(INDEX(GroupVertices[Group],MATCH(Edges[[#This Row],[Vertex 2]],GroupVertices[Vertex],0)),1,1,"")</f>
        <v>1</v>
      </c>
      <c r="BF115" s="49"/>
      <c r="BG115" s="50"/>
      <c r="BH115" s="49"/>
      <c r="BI115" s="50"/>
      <c r="BJ115" s="49"/>
      <c r="BK115" s="50"/>
      <c r="BL115" s="49"/>
      <c r="BM115" s="50"/>
      <c r="BN115" s="49"/>
    </row>
    <row r="116" spans="1:66" ht="15">
      <c r="A116" s="66" t="s">
        <v>257</v>
      </c>
      <c r="B116" s="66" t="s">
        <v>293</v>
      </c>
      <c r="C116" s="67" t="s">
        <v>2108</v>
      </c>
      <c r="D116" s="68">
        <v>1</v>
      </c>
      <c r="E116" s="69" t="s">
        <v>132</v>
      </c>
      <c r="F116" s="70">
        <v>32</v>
      </c>
      <c r="G116" s="67" t="s">
        <v>51</v>
      </c>
      <c r="H116" s="71"/>
      <c r="I116" s="72"/>
      <c r="J116" s="72"/>
      <c r="K116" s="35" t="s">
        <v>65</v>
      </c>
      <c r="L116" s="79">
        <v>116</v>
      </c>
      <c r="M116" s="79"/>
      <c r="N116" s="74"/>
      <c r="O116" s="90" t="s">
        <v>305</v>
      </c>
      <c r="P116" s="93">
        <v>44483.400613425925</v>
      </c>
      <c r="Q116" s="90" t="s">
        <v>310</v>
      </c>
      <c r="R116" s="96" t="str">
        <f>HYPERLINK("https://talouskurssi.fi/")</f>
        <v>https://talouskurssi.fi/</v>
      </c>
      <c r="S116" s="90" t="s">
        <v>334</v>
      </c>
      <c r="T116" s="99" t="s">
        <v>338</v>
      </c>
      <c r="U116" s="96" t="str">
        <f>HYPERLINK("https://pbs.twimg.com/ext_tw_video_thumb/1448527896562348036/pu/img/0PqSbNMaXHvzKHCc.jpg")</f>
        <v>https://pbs.twimg.com/ext_tw_video_thumb/1448527896562348036/pu/img/0PqSbNMaXHvzKHCc.jpg</v>
      </c>
      <c r="V116" s="96" t="str">
        <f>HYPERLINK("https://pbs.twimg.com/ext_tw_video_thumb/1448527896562348036/pu/img/0PqSbNMaXHvzKHCc.jpg")</f>
        <v>https://pbs.twimg.com/ext_tw_video_thumb/1448527896562348036/pu/img/0PqSbNMaXHvzKHCc.jpg</v>
      </c>
      <c r="W116" s="93">
        <v>44483.400613425925</v>
      </c>
      <c r="X116" s="102">
        <v>44483</v>
      </c>
      <c r="Y116" s="99" t="s">
        <v>379</v>
      </c>
      <c r="Z116" s="96" t="str">
        <f>HYPERLINK("https://twitter.com/inkanokso/status/1448583578531553286")</f>
        <v>https://twitter.com/inkanokso/status/1448583578531553286</v>
      </c>
      <c r="AA116" s="90"/>
      <c r="AB116" s="90"/>
      <c r="AC116" s="99" t="s">
        <v>473</v>
      </c>
      <c r="AD116" s="90"/>
      <c r="AE116" s="90" t="b">
        <v>0</v>
      </c>
      <c r="AF116" s="90">
        <v>0</v>
      </c>
      <c r="AG116" s="99" t="s">
        <v>535</v>
      </c>
      <c r="AH116" s="90" t="b">
        <v>0</v>
      </c>
      <c r="AI116" s="90" t="s">
        <v>537</v>
      </c>
      <c r="AJ116" s="90"/>
      <c r="AK116" s="99" t="s">
        <v>535</v>
      </c>
      <c r="AL116" s="90" t="b">
        <v>0</v>
      </c>
      <c r="AM116" s="90">
        <v>52</v>
      </c>
      <c r="AN116" s="99" t="s">
        <v>526</v>
      </c>
      <c r="AO116" s="99" t="s">
        <v>545</v>
      </c>
      <c r="AP116" s="90" t="b">
        <v>0</v>
      </c>
      <c r="AQ116" s="99" t="s">
        <v>526</v>
      </c>
      <c r="AR116" s="90" t="s">
        <v>187</v>
      </c>
      <c r="AS116" s="90">
        <v>0</v>
      </c>
      <c r="AT116" s="90">
        <v>0</v>
      </c>
      <c r="AU116" s="90"/>
      <c r="AV116" s="90"/>
      <c r="AW116" s="90"/>
      <c r="AX116" s="90"/>
      <c r="AY116" s="90"/>
      <c r="AZ116" s="90"/>
      <c r="BA116" s="90"/>
      <c r="BB116" s="90"/>
      <c r="BC116" s="90">
        <v>1</v>
      </c>
      <c r="BD116" s="89" t="str">
        <f>REPLACE(INDEX(GroupVertices[Group],MATCH(Edges[[#This Row],[Vertex 1]],GroupVertices[Vertex],0)),1,1,"")</f>
        <v>1</v>
      </c>
      <c r="BE116" s="89" t="str">
        <f>REPLACE(INDEX(GroupVertices[Group],MATCH(Edges[[#This Row],[Vertex 2]],GroupVertices[Vertex],0)),1,1,"")</f>
        <v>3</v>
      </c>
      <c r="BF116" s="49">
        <v>0</v>
      </c>
      <c r="BG116" s="50">
        <v>0</v>
      </c>
      <c r="BH116" s="49">
        <v>0</v>
      </c>
      <c r="BI116" s="50">
        <v>0</v>
      </c>
      <c r="BJ116" s="49">
        <v>0</v>
      </c>
      <c r="BK116" s="50">
        <v>0</v>
      </c>
      <c r="BL116" s="49">
        <v>28</v>
      </c>
      <c r="BM116" s="50">
        <v>100</v>
      </c>
      <c r="BN116" s="49">
        <v>28</v>
      </c>
    </row>
    <row r="117" spans="1:66" ht="15">
      <c r="A117" s="66" t="s">
        <v>258</v>
      </c>
      <c r="B117" s="66" t="s">
        <v>299</v>
      </c>
      <c r="C117" s="67" t="s">
        <v>2108</v>
      </c>
      <c r="D117" s="68">
        <v>1</v>
      </c>
      <c r="E117" s="69" t="s">
        <v>132</v>
      </c>
      <c r="F117" s="70">
        <v>32</v>
      </c>
      <c r="G117" s="67" t="s">
        <v>51</v>
      </c>
      <c r="H117" s="71"/>
      <c r="I117" s="72"/>
      <c r="J117" s="72"/>
      <c r="K117" s="35" t="s">
        <v>65</v>
      </c>
      <c r="L117" s="79">
        <v>117</v>
      </c>
      <c r="M117" s="79"/>
      <c r="N117" s="74"/>
      <c r="O117" s="90" t="s">
        <v>306</v>
      </c>
      <c r="P117" s="93">
        <v>44483.40078703704</v>
      </c>
      <c r="Q117" s="90" t="s">
        <v>310</v>
      </c>
      <c r="R117" s="96" t="str">
        <f>HYPERLINK("https://talouskurssi.fi/")</f>
        <v>https://talouskurssi.fi/</v>
      </c>
      <c r="S117" s="90" t="s">
        <v>334</v>
      </c>
      <c r="T117" s="99" t="s">
        <v>338</v>
      </c>
      <c r="U117" s="96" t="str">
        <f>HYPERLINK("https://pbs.twimg.com/ext_tw_video_thumb/1448527896562348036/pu/img/0PqSbNMaXHvzKHCc.jpg")</f>
        <v>https://pbs.twimg.com/ext_tw_video_thumb/1448527896562348036/pu/img/0PqSbNMaXHvzKHCc.jpg</v>
      </c>
      <c r="V117" s="96" t="str">
        <f>HYPERLINK("https://pbs.twimg.com/ext_tw_video_thumb/1448527896562348036/pu/img/0PqSbNMaXHvzKHCc.jpg")</f>
        <v>https://pbs.twimg.com/ext_tw_video_thumb/1448527896562348036/pu/img/0PqSbNMaXHvzKHCc.jpg</v>
      </c>
      <c r="W117" s="93">
        <v>44483.40078703704</v>
      </c>
      <c r="X117" s="102">
        <v>44483</v>
      </c>
      <c r="Y117" s="99" t="s">
        <v>380</v>
      </c>
      <c r="Z117" s="96" t="str">
        <f>HYPERLINK("https://twitter.com/minnamakitalo/status/1448583644881297410")</f>
        <v>https://twitter.com/minnamakitalo/status/1448583644881297410</v>
      </c>
      <c r="AA117" s="90"/>
      <c r="AB117" s="90"/>
      <c r="AC117" s="99" t="s">
        <v>474</v>
      </c>
      <c r="AD117" s="90"/>
      <c r="AE117" s="90" t="b">
        <v>0</v>
      </c>
      <c r="AF117" s="90">
        <v>0</v>
      </c>
      <c r="AG117" s="99" t="s">
        <v>535</v>
      </c>
      <c r="AH117" s="90" t="b">
        <v>0</v>
      </c>
      <c r="AI117" s="90" t="s">
        <v>537</v>
      </c>
      <c r="AJ117" s="90"/>
      <c r="AK117" s="99" t="s">
        <v>535</v>
      </c>
      <c r="AL117" s="90" t="b">
        <v>0</v>
      </c>
      <c r="AM117" s="90">
        <v>52</v>
      </c>
      <c r="AN117" s="99" t="s">
        <v>526</v>
      </c>
      <c r="AO117" s="99" t="s">
        <v>542</v>
      </c>
      <c r="AP117" s="90" t="b">
        <v>0</v>
      </c>
      <c r="AQ117" s="99" t="s">
        <v>526</v>
      </c>
      <c r="AR117" s="90" t="s">
        <v>187</v>
      </c>
      <c r="AS117" s="90">
        <v>0</v>
      </c>
      <c r="AT117" s="90">
        <v>0</v>
      </c>
      <c r="AU117" s="90"/>
      <c r="AV117" s="90"/>
      <c r="AW117" s="90"/>
      <c r="AX117" s="90"/>
      <c r="AY117" s="90"/>
      <c r="AZ117" s="90"/>
      <c r="BA117" s="90"/>
      <c r="BB117" s="90"/>
      <c r="BC117" s="90">
        <v>1</v>
      </c>
      <c r="BD117" s="89" t="str">
        <f>REPLACE(INDEX(GroupVertices[Group],MATCH(Edges[[#This Row],[Vertex 1]],GroupVertices[Vertex],0)),1,1,"")</f>
        <v>1</v>
      </c>
      <c r="BE117" s="89" t="str">
        <f>REPLACE(INDEX(GroupVertices[Group],MATCH(Edges[[#This Row],[Vertex 2]],GroupVertices[Vertex],0)),1,1,"")</f>
        <v>1</v>
      </c>
      <c r="BF117" s="49"/>
      <c r="BG117" s="50"/>
      <c r="BH117" s="49"/>
      <c r="BI117" s="50"/>
      <c r="BJ117" s="49"/>
      <c r="BK117" s="50"/>
      <c r="BL117" s="49"/>
      <c r="BM117" s="50"/>
      <c r="BN117" s="49"/>
    </row>
    <row r="118" spans="1:66" ht="15">
      <c r="A118" s="66" t="s">
        <v>258</v>
      </c>
      <c r="B118" s="66" t="s">
        <v>302</v>
      </c>
      <c r="C118" s="67" t="s">
        <v>2108</v>
      </c>
      <c r="D118" s="68">
        <v>1</v>
      </c>
      <c r="E118" s="69" t="s">
        <v>132</v>
      </c>
      <c r="F118" s="70">
        <v>32</v>
      </c>
      <c r="G118" s="67" t="s">
        <v>51</v>
      </c>
      <c r="H118" s="71"/>
      <c r="I118" s="72"/>
      <c r="J118" s="72"/>
      <c r="K118" s="35" t="s">
        <v>65</v>
      </c>
      <c r="L118" s="79">
        <v>118</v>
      </c>
      <c r="M118" s="79"/>
      <c r="N118" s="74"/>
      <c r="O118" s="90" t="s">
        <v>306</v>
      </c>
      <c r="P118" s="93">
        <v>44483.40078703704</v>
      </c>
      <c r="Q118" s="90" t="s">
        <v>310</v>
      </c>
      <c r="R118" s="96" t="str">
        <f>HYPERLINK("https://talouskurssi.fi/")</f>
        <v>https://talouskurssi.fi/</v>
      </c>
      <c r="S118" s="90" t="s">
        <v>334</v>
      </c>
      <c r="T118" s="99" t="s">
        <v>338</v>
      </c>
      <c r="U118" s="96" t="str">
        <f>HYPERLINK("https://pbs.twimg.com/ext_tw_video_thumb/1448527896562348036/pu/img/0PqSbNMaXHvzKHCc.jpg")</f>
        <v>https://pbs.twimg.com/ext_tw_video_thumb/1448527896562348036/pu/img/0PqSbNMaXHvzKHCc.jpg</v>
      </c>
      <c r="V118" s="96" t="str">
        <f>HYPERLINK("https://pbs.twimg.com/ext_tw_video_thumb/1448527896562348036/pu/img/0PqSbNMaXHvzKHCc.jpg")</f>
        <v>https://pbs.twimg.com/ext_tw_video_thumb/1448527896562348036/pu/img/0PqSbNMaXHvzKHCc.jpg</v>
      </c>
      <c r="W118" s="93">
        <v>44483.40078703704</v>
      </c>
      <c r="X118" s="102">
        <v>44483</v>
      </c>
      <c r="Y118" s="99" t="s">
        <v>380</v>
      </c>
      <c r="Z118" s="96" t="str">
        <f>HYPERLINK("https://twitter.com/minnamakitalo/status/1448583644881297410")</f>
        <v>https://twitter.com/minnamakitalo/status/1448583644881297410</v>
      </c>
      <c r="AA118" s="90"/>
      <c r="AB118" s="90"/>
      <c r="AC118" s="99" t="s">
        <v>474</v>
      </c>
      <c r="AD118" s="90"/>
      <c r="AE118" s="90" t="b">
        <v>0</v>
      </c>
      <c r="AF118" s="90">
        <v>0</v>
      </c>
      <c r="AG118" s="99" t="s">
        <v>535</v>
      </c>
      <c r="AH118" s="90" t="b">
        <v>0</v>
      </c>
      <c r="AI118" s="90" t="s">
        <v>537</v>
      </c>
      <c r="AJ118" s="90"/>
      <c r="AK118" s="99" t="s">
        <v>535</v>
      </c>
      <c r="AL118" s="90" t="b">
        <v>0</v>
      </c>
      <c r="AM118" s="90">
        <v>52</v>
      </c>
      <c r="AN118" s="99" t="s">
        <v>526</v>
      </c>
      <c r="AO118" s="99" t="s">
        <v>542</v>
      </c>
      <c r="AP118" s="90" t="b">
        <v>0</v>
      </c>
      <c r="AQ118" s="99" t="s">
        <v>526</v>
      </c>
      <c r="AR118" s="90" t="s">
        <v>187</v>
      </c>
      <c r="AS118" s="90">
        <v>0</v>
      </c>
      <c r="AT118" s="90">
        <v>0</v>
      </c>
      <c r="AU118" s="90"/>
      <c r="AV118" s="90"/>
      <c r="AW118" s="90"/>
      <c r="AX118" s="90"/>
      <c r="AY118" s="90"/>
      <c r="AZ118" s="90"/>
      <c r="BA118" s="90"/>
      <c r="BB118" s="90"/>
      <c r="BC118" s="90">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6" t="s">
        <v>258</v>
      </c>
      <c r="B119" s="66" t="s">
        <v>293</v>
      </c>
      <c r="C119" s="67" t="s">
        <v>2108</v>
      </c>
      <c r="D119" s="68">
        <v>1</v>
      </c>
      <c r="E119" s="69" t="s">
        <v>132</v>
      </c>
      <c r="F119" s="70">
        <v>32</v>
      </c>
      <c r="G119" s="67" t="s">
        <v>51</v>
      </c>
      <c r="H119" s="71"/>
      <c r="I119" s="72"/>
      <c r="J119" s="72"/>
      <c r="K119" s="35" t="s">
        <v>65</v>
      </c>
      <c r="L119" s="79">
        <v>119</v>
      </c>
      <c r="M119" s="79"/>
      <c r="N119" s="74"/>
      <c r="O119" s="90" t="s">
        <v>305</v>
      </c>
      <c r="P119" s="93">
        <v>44483.40078703704</v>
      </c>
      <c r="Q119" s="90" t="s">
        <v>310</v>
      </c>
      <c r="R119" s="96" t="str">
        <f>HYPERLINK("https://talouskurssi.fi/")</f>
        <v>https://talouskurssi.fi/</v>
      </c>
      <c r="S119" s="90" t="s">
        <v>334</v>
      </c>
      <c r="T119" s="99" t="s">
        <v>338</v>
      </c>
      <c r="U119" s="96" t="str">
        <f>HYPERLINK("https://pbs.twimg.com/ext_tw_video_thumb/1448527896562348036/pu/img/0PqSbNMaXHvzKHCc.jpg")</f>
        <v>https://pbs.twimg.com/ext_tw_video_thumb/1448527896562348036/pu/img/0PqSbNMaXHvzKHCc.jpg</v>
      </c>
      <c r="V119" s="96" t="str">
        <f>HYPERLINK("https://pbs.twimg.com/ext_tw_video_thumb/1448527896562348036/pu/img/0PqSbNMaXHvzKHCc.jpg")</f>
        <v>https://pbs.twimg.com/ext_tw_video_thumb/1448527896562348036/pu/img/0PqSbNMaXHvzKHCc.jpg</v>
      </c>
      <c r="W119" s="93">
        <v>44483.40078703704</v>
      </c>
      <c r="X119" s="102">
        <v>44483</v>
      </c>
      <c r="Y119" s="99" t="s">
        <v>380</v>
      </c>
      <c r="Z119" s="96" t="str">
        <f>HYPERLINK("https://twitter.com/minnamakitalo/status/1448583644881297410")</f>
        <v>https://twitter.com/minnamakitalo/status/1448583644881297410</v>
      </c>
      <c r="AA119" s="90"/>
      <c r="AB119" s="90"/>
      <c r="AC119" s="99" t="s">
        <v>474</v>
      </c>
      <c r="AD119" s="90"/>
      <c r="AE119" s="90" t="b">
        <v>0</v>
      </c>
      <c r="AF119" s="90">
        <v>0</v>
      </c>
      <c r="AG119" s="99" t="s">
        <v>535</v>
      </c>
      <c r="AH119" s="90" t="b">
        <v>0</v>
      </c>
      <c r="AI119" s="90" t="s">
        <v>537</v>
      </c>
      <c r="AJ119" s="90"/>
      <c r="AK119" s="99" t="s">
        <v>535</v>
      </c>
      <c r="AL119" s="90" t="b">
        <v>0</v>
      </c>
      <c r="AM119" s="90">
        <v>52</v>
      </c>
      <c r="AN119" s="99" t="s">
        <v>526</v>
      </c>
      <c r="AO119" s="99" t="s">
        <v>542</v>
      </c>
      <c r="AP119" s="90" t="b">
        <v>0</v>
      </c>
      <c r="AQ119" s="99" t="s">
        <v>526</v>
      </c>
      <c r="AR119" s="90" t="s">
        <v>187</v>
      </c>
      <c r="AS119" s="90">
        <v>0</v>
      </c>
      <c r="AT119" s="90">
        <v>0</v>
      </c>
      <c r="AU119" s="90"/>
      <c r="AV119" s="90"/>
      <c r="AW119" s="90"/>
      <c r="AX119" s="90"/>
      <c r="AY119" s="90"/>
      <c r="AZ119" s="90"/>
      <c r="BA119" s="90"/>
      <c r="BB119" s="90"/>
      <c r="BC119" s="90">
        <v>1</v>
      </c>
      <c r="BD119" s="89" t="str">
        <f>REPLACE(INDEX(GroupVertices[Group],MATCH(Edges[[#This Row],[Vertex 1]],GroupVertices[Vertex],0)),1,1,"")</f>
        <v>1</v>
      </c>
      <c r="BE119" s="89" t="str">
        <f>REPLACE(INDEX(GroupVertices[Group],MATCH(Edges[[#This Row],[Vertex 2]],GroupVertices[Vertex],0)),1,1,"")</f>
        <v>3</v>
      </c>
      <c r="BF119" s="49">
        <v>0</v>
      </c>
      <c r="BG119" s="50">
        <v>0</v>
      </c>
      <c r="BH119" s="49">
        <v>0</v>
      </c>
      <c r="BI119" s="50">
        <v>0</v>
      </c>
      <c r="BJ119" s="49">
        <v>0</v>
      </c>
      <c r="BK119" s="50">
        <v>0</v>
      </c>
      <c r="BL119" s="49">
        <v>28</v>
      </c>
      <c r="BM119" s="50">
        <v>100</v>
      </c>
      <c r="BN119" s="49">
        <v>28</v>
      </c>
    </row>
    <row r="120" spans="1:66" ht="15">
      <c r="A120" s="66" t="s">
        <v>259</v>
      </c>
      <c r="B120" s="66" t="s">
        <v>299</v>
      </c>
      <c r="C120" s="67" t="s">
        <v>2108</v>
      </c>
      <c r="D120" s="68">
        <v>1</v>
      </c>
      <c r="E120" s="69" t="s">
        <v>132</v>
      </c>
      <c r="F120" s="70">
        <v>32</v>
      </c>
      <c r="G120" s="67" t="s">
        <v>51</v>
      </c>
      <c r="H120" s="71"/>
      <c r="I120" s="72"/>
      <c r="J120" s="72"/>
      <c r="K120" s="35" t="s">
        <v>65</v>
      </c>
      <c r="L120" s="79">
        <v>120</v>
      </c>
      <c r="M120" s="79"/>
      <c r="N120" s="74"/>
      <c r="O120" s="90" t="s">
        <v>306</v>
      </c>
      <c r="P120" s="93">
        <v>44483.412986111114</v>
      </c>
      <c r="Q120" s="90" t="s">
        <v>310</v>
      </c>
      <c r="R120" s="96" t="str">
        <f>HYPERLINK("https://talouskurssi.fi/")</f>
        <v>https://talouskurssi.fi/</v>
      </c>
      <c r="S120" s="90" t="s">
        <v>334</v>
      </c>
      <c r="T120" s="99" t="s">
        <v>338</v>
      </c>
      <c r="U120" s="96" t="str">
        <f>HYPERLINK("https://pbs.twimg.com/ext_tw_video_thumb/1448527896562348036/pu/img/0PqSbNMaXHvzKHCc.jpg")</f>
        <v>https://pbs.twimg.com/ext_tw_video_thumb/1448527896562348036/pu/img/0PqSbNMaXHvzKHCc.jpg</v>
      </c>
      <c r="V120" s="96" t="str">
        <f>HYPERLINK("https://pbs.twimg.com/ext_tw_video_thumb/1448527896562348036/pu/img/0PqSbNMaXHvzKHCc.jpg")</f>
        <v>https://pbs.twimg.com/ext_tw_video_thumb/1448527896562348036/pu/img/0PqSbNMaXHvzKHCc.jpg</v>
      </c>
      <c r="W120" s="93">
        <v>44483.412986111114</v>
      </c>
      <c r="X120" s="102">
        <v>44483</v>
      </c>
      <c r="Y120" s="99" t="s">
        <v>381</v>
      </c>
      <c r="Z120" s="96" t="str">
        <f>HYPERLINK("https://twitter.com/tuomasmatikka/status/1448588062422929413")</f>
        <v>https://twitter.com/tuomasmatikka/status/1448588062422929413</v>
      </c>
      <c r="AA120" s="90"/>
      <c r="AB120" s="90"/>
      <c r="AC120" s="99" t="s">
        <v>475</v>
      </c>
      <c r="AD120" s="90"/>
      <c r="AE120" s="90" t="b">
        <v>0</v>
      </c>
      <c r="AF120" s="90">
        <v>0</v>
      </c>
      <c r="AG120" s="99" t="s">
        <v>535</v>
      </c>
      <c r="AH120" s="90" t="b">
        <v>0</v>
      </c>
      <c r="AI120" s="90" t="s">
        <v>537</v>
      </c>
      <c r="AJ120" s="90"/>
      <c r="AK120" s="99" t="s">
        <v>535</v>
      </c>
      <c r="AL120" s="90" t="b">
        <v>0</v>
      </c>
      <c r="AM120" s="90">
        <v>52</v>
      </c>
      <c r="AN120" s="99" t="s">
        <v>526</v>
      </c>
      <c r="AO120" s="99" t="s">
        <v>542</v>
      </c>
      <c r="AP120" s="90" t="b">
        <v>0</v>
      </c>
      <c r="AQ120" s="99" t="s">
        <v>526</v>
      </c>
      <c r="AR120" s="90" t="s">
        <v>187</v>
      </c>
      <c r="AS120" s="90">
        <v>0</v>
      </c>
      <c r="AT120" s="90">
        <v>0</v>
      </c>
      <c r="AU120" s="90"/>
      <c r="AV120" s="90"/>
      <c r="AW120" s="90"/>
      <c r="AX120" s="90"/>
      <c r="AY120" s="90"/>
      <c r="AZ120" s="90"/>
      <c r="BA120" s="90"/>
      <c r="BB120" s="90"/>
      <c r="BC120" s="90">
        <v>1</v>
      </c>
      <c r="BD120" s="89" t="str">
        <f>REPLACE(INDEX(GroupVertices[Group],MATCH(Edges[[#This Row],[Vertex 1]],GroupVertices[Vertex],0)),1,1,"")</f>
        <v>1</v>
      </c>
      <c r="BE120" s="89" t="str">
        <f>REPLACE(INDEX(GroupVertices[Group],MATCH(Edges[[#This Row],[Vertex 2]],GroupVertices[Vertex],0)),1,1,"")</f>
        <v>1</v>
      </c>
      <c r="BF120" s="49"/>
      <c r="BG120" s="50"/>
      <c r="BH120" s="49"/>
      <c r="BI120" s="50"/>
      <c r="BJ120" s="49"/>
      <c r="BK120" s="50"/>
      <c r="BL120" s="49"/>
      <c r="BM120" s="50"/>
      <c r="BN120" s="49"/>
    </row>
    <row r="121" spans="1:66" ht="15">
      <c r="A121" s="66" t="s">
        <v>259</v>
      </c>
      <c r="B121" s="66" t="s">
        <v>302</v>
      </c>
      <c r="C121" s="67" t="s">
        <v>2108</v>
      </c>
      <c r="D121" s="68">
        <v>1</v>
      </c>
      <c r="E121" s="69" t="s">
        <v>132</v>
      </c>
      <c r="F121" s="70">
        <v>32</v>
      </c>
      <c r="G121" s="67" t="s">
        <v>51</v>
      </c>
      <c r="H121" s="71"/>
      <c r="I121" s="72"/>
      <c r="J121" s="72"/>
      <c r="K121" s="35" t="s">
        <v>65</v>
      </c>
      <c r="L121" s="79">
        <v>121</v>
      </c>
      <c r="M121" s="79"/>
      <c r="N121" s="74"/>
      <c r="O121" s="90" t="s">
        <v>306</v>
      </c>
      <c r="P121" s="93">
        <v>44483.412986111114</v>
      </c>
      <c r="Q121" s="90" t="s">
        <v>310</v>
      </c>
      <c r="R121" s="96" t="str">
        <f>HYPERLINK("https://talouskurssi.fi/")</f>
        <v>https://talouskurssi.fi/</v>
      </c>
      <c r="S121" s="90" t="s">
        <v>334</v>
      </c>
      <c r="T121" s="99" t="s">
        <v>338</v>
      </c>
      <c r="U121" s="96" t="str">
        <f>HYPERLINK("https://pbs.twimg.com/ext_tw_video_thumb/1448527896562348036/pu/img/0PqSbNMaXHvzKHCc.jpg")</f>
        <v>https://pbs.twimg.com/ext_tw_video_thumb/1448527896562348036/pu/img/0PqSbNMaXHvzKHCc.jpg</v>
      </c>
      <c r="V121" s="96" t="str">
        <f>HYPERLINK("https://pbs.twimg.com/ext_tw_video_thumb/1448527896562348036/pu/img/0PqSbNMaXHvzKHCc.jpg")</f>
        <v>https://pbs.twimg.com/ext_tw_video_thumb/1448527896562348036/pu/img/0PqSbNMaXHvzKHCc.jpg</v>
      </c>
      <c r="W121" s="93">
        <v>44483.412986111114</v>
      </c>
      <c r="X121" s="102">
        <v>44483</v>
      </c>
      <c r="Y121" s="99" t="s">
        <v>381</v>
      </c>
      <c r="Z121" s="96" t="str">
        <f>HYPERLINK("https://twitter.com/tuomasmatikka/status/1448588062422929413")</f>
        <v>https://twitter.com/tuomasmatikka/status/1448588062422929413</v>
      </c>
      <c r="AA121" s="90"/>
      <c r="AB121" s="90"/>
      <c r="AC121" s="99" t="s">
        <v>475</v>
      </c>
      <c r="AD121" s="90"/>
      <c r="AE121" s="90" t="b">
        <v>0</v>
      </c>
      <c r="AF121" s="90">
        <v>0</v>
      </c>
      <c r="AG121" s="99" t="s">
        <v>535</v>
      </c>
      <c r="AH121" s="90" t="b">
        <v>0</v>
      </c>
      <c r="AI121" s="90" t="s">
        <v>537</v>
      </c>
      <c r="AJ121" s="90"/>
      <c r="AK121" s="99" t="s">
        <v>535</v>
      </c>
      <c r="AL121" s="90" t="b">
        <v>0</v>
      </c>
      <c r="AM121" s="90">
        <v>52</v>
      </c>
      <c r="AN121" s="99" t="s">
        <v>526</v>
      </c>
      <c r="AO121" s="99" t="s">
        <v>542</v>
      </c>
      <c r="AP121" s="90" t="b">
        <v>0</v>
      </c>
      <c r="AQ121" s="99" t="s">
        <v>526</v>
      </c>
      <c r="AR121" s="90" t="s">
        <v>187</v>
      </c>
      <c r="AS121" s="90">
        <v>0</v>
      </c>
      <c r="AT121" s="90">
        <v>0</v>
      </c>
      <c r="AU121" s="90"/>
      <c r="AV121" s="90"/>
      <c r="AW121" s="90"/>
      <c r="AX121" s="90"/>
      <c r="AY121" s="90"/>
      <c r="AZ121" s="90"/>
      <c r="BA121" s="90"/>
      <c r="BB121" s="90"/>
      <c r="BC121" s="90">
        <v>1</v>
      </c>
      <c r="BD121" s="89" t="str">
        <f>REPLACE(INDEX(GroupVertices[Group],MATCH(Edges[[#This Row],[Vertex 1]],GroupVertices[Vertex],0)),1,1,"")</f>
        <v>1</v>
      </c>
      <c r="BE121" s="89" t="str">
        <f>REPLACE(INDEX(GroupVertices[Group],MATCH(Edges[[#This Row],[Vertex 2]],GroupVertices[Vertex],0)),1,1,"")</f>
        <v>1</v>
      </c>
      <c r="BF121" s="49"/>
      <c r="BG121" s="50"/>
      <c r="BH121" s="49"/>
      <c r="BI121" s="50"/>
      <c r="BJ121" s="49"/>
      <c r="BK121" s="50"/>
      <c r="BL121" s="49"/>
      <c r="BM121" s="50"/>
      <c r="BN121" s="49"/>
    </row>
    <row r="122" spans="1:66" ht="15">
      <c r="A122" s="66" t="s">
        <v>259</v>
      </c>
      <c r="B122" s="66" t="s">
        <v>293</v>
      </c>
      <c r="C122" s="67" t="s">
        <v>2108</v>
      </c>
      <c r="D122" s="68">
        <v>1</v>
      </c>
      <c r="E122" s="69" t="s">
        <v>132</v>
      </c>
      <c r="F122" s="70">
        <v>32</v>
      </c>
      <c r="G122" s="67" t="s">
        <v>51</v>
      </c>
      <c r="H122" s="71"/>
      <c r="I122" s="72"/>
      <c r="J122" s="72"/>
      <c r="K122" s="35" t="s">
        <v>65</v>
      </c>
      <c r="L122" s="79">
        <v>122</v>
      </c>
      <c r="M122" s="79"/>
      <c r="N122" s="74"/>
      <c r="O122" s="90" t="s">
        <v>305</v>
      </c>
      <c r="P122" s="93">
        <v>44483.412986111114</v>
      </c>
      <c r="Q122" s="90" t="s">
        <v>310</v>
      </c>
      <c r="R122" s="96" t="str">
        <f>HYPERLINK("https://talouskurssi.fi/")</f>
        <v>https://talouskurssi.fi/</v>
      </c>
      <c r="S122" s="90" t="s">
        <v>334</v>
      </c>
      <c r="T122" s="99" t="s">
        <v>338</v>
      </c>
      <c r="U122" s="96" t="str">
        <f>HYPERLINK("https://pbs.twimg.com/ext_tw_video_thumb/1448527896562348036/pu/img/0PqSbNMaXHvzKHCc.jpg")</f>
        <v>https://pbs.twimg.com/ext_tw_video_thumb/1448527896562348036/pu/img/0PqSbNMaXHvzKHCc.jpg</v>
      </c>
      <c r="V122" s="96" t="str">
        <f>HYPERLINK("https://pbs.twimg.com/ext_tw_video_thumb/1448527896562348036/pu/img/0PqSbNMaXHvzKHCc.jpg")</f>
        <v>https://pbs.twimg.com/ext_tw_video_thumb/1448527896562348036/pu/img/0PqSbNMaXHvzKHCc.jpg</v>
      </c>
      <c r="W122" s="93">
        <v>44483.412986111114</v>
      </c>
      <c r="X122" s="102">
        <v>44483</v>
      </c>
      <c r="Y122" s="99" t="s">
        <v>381</v>
      </c>
      <c r="Z122" s="96" t="str">
        <f>HYPERLINK("https://twitter.com/tuomasmatikka/status/1448588062422929413")</f>
        <v>https://twitter.com/tuomasmatikka/status/1448588062422929413</v>
      </c>
      <c r="AA122" s="90"/>
      <c r="AB122" s="90"/>
      <c r="AC122" s="99" t="s">
        <v>475</v>
      </c>
      <c r="AD122" s="90"/>
      <c r="AE122" s="90" t="b">
        <v>0</v>
      </c>
      <c r="AF122" s="90">
        <v>0</v>
      </c>
      <c r="AG122" s="99" t="s">
        <v>535</v>
      </c>
      <c r="AH122" s="90" t="b">
        <v>0</v>
      </c>
      <c r="AI122" s="90" t="s">
        <v>537</v>
      </c>
      <c r="AJ122" s="90"/>
      <c r="AK122" s="99" t="s">
        <v>535</v>
      </c>
      <c r="AL122" s="90" t="b">
        <v>0</v>
      </c>
      <c r="AM122" s="90">
        <v>52</v>
      </c>
      <c r="AN122" s="99" t="s">
        <v>526</v>
      </c>
      <c r="AO122" s="99" t="s">
        <v>542</v>
      </c>
      <c r="AP122" s="90" t="b">
        <v>0</v>
      </c>
      <c r="AQ122" s="99" t="s">
        <v>526</v>
      </c>
      <c r="AR122" s="90" t="s">
        <v>187</v>
      </c>
      <c r="AS122" s="90">
        <v>0</v>
      </c>
      <c r="AT122" s="90">
        <v>0</v>
      </c>
      <c r="AU122" s="90"/>
      <c r="AV122" s="90"/>
      <c r="AW122" s="90"/>
      <c r="AX122" s="90"/>
      <c r="AY122" s="90"/>
      <c r="AZ122" s="90"/>
      <c r="BA122" s="90"/>
      <c r="BB122" s="90"/>
      <c r="BC122" s="90">
        <v>1</v>
      </c>
      <c r="BD122" s="89" t="str">
        <f>REPLACE(INDEX(GroupVertices[Group],MATCH(Edges[[#This Row],[Vertex 1]],GroupVertices[Vertex],0)),1,1,"")</f>
        <v>1</v>
      </c>
      <c r="BE122" s="89" t="str">
        <f>REPLACE(INDEX(GroupVertices[Group],MATCH(Edges[[#This Row],[Vertex 2]],GroupVertices[Vertex],0)),1,1,"")</f>
        <v>3</v>
      </c>
      <c r="BF122" s="49">
        <v>0</v>
      </c>
      <c r="BG122" s="50">
        <v>0</v>
      </c>
      <c r="BH122" s="49">
        <v>0</v>
      </c>
      <c r="BI122" s="50">
        <v>0</v>
      </c>
      <c r="BJ122" s="49">
        <v>0</v>
      </c>
      <c r="BK122" s="50">
        <v>0</v>
      </c>
      <c r="BL122" s="49">
        <v>28</v>
      </c>
      <c r="BM122" s="50">
        <v>100</v>
      </c>
      <c r="BN122" s="49">
        <v>28</v>
      </c>
    </row>
    <row r="123" spans="1:66" ht="15">
      <c r="A123" s="66" t="s">
        <v>261</v>
      </c>
      <c r="B123" s="66" t="s">
        <v>260</v>
      </c>
      <c r="C123" s="67" t="s">
        <v>2108</v>
      </c>
      <c r="D123" s="68">
        <v>1</v>
      </c>
      <c r="E123" s="69" t="s">
        <v>132</v>
      </c>
      <c r="F123" s="70">
        <v>32</v>
      </c>
      <c r="G123" s="67" t="s">
        <v>51</v>
      </c>
      <c r="H123" s="71"/>
      <c r="I123" s="72"/>
      <c r="J123" s="72"/>
      <c r="K123" s="35" t="s">
        <v>65</v>
      </c>
      <c r="L123" s="79">
        <v>123</v>
      </c>
      <c r="M123" s="79"/>
      <c r="N123" s="74"/>
      <c r="O123" s="90" t="s">
        <v>306</v>
      </c>
      <c r="P123" s="93">
        <v>44483.41337962963</v>
      </c>
      <c r="Q123" s="90" t="s">
        <v>317</v>
      </c>
      <c r="R123" s="90" t="s">
        <v>330</v>
      </c>
      <c r="S123" s="90" t="s">
        <v>335</v>
      </c>
      <c r="T123" s="99" t="s">
        <v>338</v>
      </c>
      <c r="U123" s="90"/>
      <c r="V123" s="96" t="str">
        <f>HYPERLINK("https://pbs.twimg.com/profile_images/1331581036577382400/f97dxZh6_normal.jpg")</f>
        <v>https://pbs.twimg.com/profile_images/1331581036577382400/f97dxZh6_normal.jpg</v>
      </c>
      <c r="W123" s="93">
        <v>44483.41337962963</v>
      </c>
      <c r="X123" s="102">
        <v>44483</v>
      </c>
      <c r="Y123" s="99" t="s">
        <v>383</v>
      </c>
      <c r="Z123" s="96" t="str">
        <f>HYPERLINK("https://twitter.com/jennihellstrom/status/1448588205067063299")</f>
        <v>https://twitter.com/jennihellstrom/status/1448588205067063299</v>
      </c>
      <c r="AA123" s="90"/>
      <c r="AB123" s="90"/>
      <c r="AC123" s="99" t="s">
        <v>477</v>
      </c>
      <c r="AD123" s="90"/>
      <c r="AE123" s="90" t="b">
        <v>0</v>
      </c>
      <c r="AF123" s="90">
        <v>0</v>
      </c>
      <c r="AG123" s="99" t="s">
        <v>535</v>
      </c>
      <c r="AH123" s="90" t="b">
        <v>1</v>
      </c>
      <c r="AI123" s="90" t="s">
        <v>537</v>
      </c>
      <c r="AJ123" s="90"/>
      <c r="AK123" s="99" t="s">
        <v>526</v>
      </c>
      <c r="AL123" s="90" t="b">
        <v>0</v>
      </c>
      <c r="AM123" s="90">
        <v>1</v>
      </c>
      <c r="AN123" s="99" t="s">
        <v>476</v>
      </c>
      <c r="AO123" s="99" t="s">
        <v>543</v>
      </c>
      <c r="AP123" s="90" t="b">
        <v>0</v>
      </c>
      <c r="AQ123" s="99" t="s">
        <v>476</v>
      </c>
      <c r="AR123" s="90" t="s">
        <v>187</v>
      </c>
      <c r="AS123" s="90">
        <v>0</v>
      </c>
      <c r="AT123" s="90">
        <v>0</v>
      </c>
      <c r="AU123" s="90"/>
      <c r="AV123" s="90"/>
      <c r="AW123" s="90"/>
      <c r="AX123" s="90"/>
      <c r="AY123" s="90"/>
      <c r="AZ123" s="90"/>
      <c r="BA123" s="90"/>
      <c r="BB123" s="90"/>
      <c r="BC123" s="90">
        <v>1</v>
      </c>
      <c r="BD123" s="89" t="str">
        <f>REPLACE(INDEX(GroupVertices[Group],MATCH(Edges[[#This Row],[Vertex 1]],GroupVertices[Vertex],0)),1,1,"")</f>
        <v>3</v>
      </c>
      <c r="BE123" s="89" t="str">
        <f>REPLACE(INDEX(GroupVertices[Group],MATCH(Edges[[#This Row],[Vertex 2]],GroupVertices[Vertex],0)),1,1,"")</f>
        <v>2</v>
      </c>
      <c r="BF123" s="49"/>
      <c r="BG123" s="50"/>
      <c r="BH123" s="49"/>
      <c r="BI123" s="50"/>
      <c r="BJ123" s="49"/>
      <c r="BK123" s="50"/>
      <c r="BL123" s="49"/>
      <c r="BM123" s="50"/>
      <c r="BN123" s="49"/>
    </row>
    <row r="124" spans="1:66" ht="15">
      <c r="A124" s="66" t="s">
        <v>261</v>
      </c>
      <c r="B124" s="66" t="s">
        <v>293</v>
      </c>
      <c r="C124" s="67" t="s">
        <v>2108</v>
      </c>
      <c r="D124" s="68">
        <v>1</v>
      </c>
      <c r="E124" s="69" t="s">
        <v>132</v>
      </c>
      <c r="F124" s="70">
        <v>32</v>
      </c>
      <c r="G124" s="67" t="s">
        <v>51</v>
      </c>
      <c r="H124" s="71"/>
      <c r="I124" s="72"/>
      <c r="J124" s="72"/>
      <c r="K124" s="35" t="s">
        <v>65</v>
      </c>
      <c r="L124" s="79">
        <v>124</v>
      </c>
      <c r="M124" s="79"/>
      <c r="N124" s="74"/>
      <c r="O124" s="90" t="s">
        <v>306</v>
      </c>
      <c r="P124" s="93">
        <v>44483.41337962963</v>
      </c>
      <c r="Q124" s="90" t="s">
        <v>317</v>
      </c>
      <c r="R124" s="90" t="s">
        <v>330</v>
      </c>
      <c r="S124" s="90" t="s">
        <v>335</v>
      </c>
      <c r="T124" s="99" t="s">
        <v>338</v>
      </c>
      <c r="U124" s="90"/>
      <c r="V124" s="96" t="str">
        <f>HYPERLINK("https://pbs.twimg.com/profile_images/1331581036577382400/f97dxZh6_normal.jpg")</f>
        <v>https://pbs.twimg.com/profile_images/1331581036577382400/f97dxZh6_normal.jpg</v>
      </c>
      <c r="W124" s="93">
        <v>44483.41337962963</v>
      </c>
      <c r="X124" s="102">
        <v>44483</v>
      </c>
      <c r="Y124" s="99" t="s">
        <v>383</v>
      </c>
      <c r="Z124" s="96" t="str">
        <f>HYPERLINK("https://twitter.com/jennihellstrom/status/1448588205067063299")</f>
        <v>https://twitter.com/jennihellstrom/status/1448588205067063299</v>
      </c>
      <c r="AA124" s="90"/>
      <c r="AB124" s="90"/>
      <c r="AC124" s="99" t="s">
        <v>477</v>
      </c>
      <c r="AD124" s="90"/>
      <c r="AE124" s="90" t="b">
        <v>0</v>
      </c>
      <c r="AF124" s="90">
        <v>0</v>
      </c>
      <c r="AG124" s="99" t="s">
        <v>535</v>
      </c>
      <c r="AH124" s="90" t="b">
        <v>1</v>
      </c>
      <c r="AI124" s="90" t="s">
        <v>537</v>
      </c>
      <c r="AJ124" s="90"/>
      <c r="AK124" s="99" t="s">
        <v>526</v>
      </c>
      <c r="AL124" s="90" t="b">
        <v>0</v>
      </c>
      <c r="AM124" s="90">
        <v>1</v>
      </c>
      <c r="AN124" s="99" t="s">
        <v>476</v>
      </c>
      <c r="AO124" s="99" t="s">
        <v>543</v>
      </c>
      <c r="AP124" s="90" t="b">
        <v>0</v>
      </c>
      <c r="AQ124" s="99" t="s">
        <v>476</v>
      </c>
      <c r="AR124" s="90" t="s">
        <v>187</v>
      </c>
      <c r="AS124" s="90">
        <v>0</v>
      </c>
      <c r="AT124" s="90">
        <v>0</v>
      </c>
      <c r="AU124" s="90"/>
      <c r="AV124" s="90"/>
      <c r="AW124" s="90"/>
      <c r="AX124" s="90"/>
      <c r="AY124" s="90"/>
      <c r="AZ124" s="90"/>
      <c r="BA124" s="90"/>
      <c r="BB124" s="90"/>
      <c r="BC124" s="90">
        <v>1</v>
      </c>
      <c r="BD124" s="89" t="str">
        <f>REPLACE(INDEX(GroupVertices[Group],MATCH(Edges[[#This Row],[Vertex 1]],GroupVertices[Vertex],0)),1,1,"")</f>
        <v>3</v>
      </c>
      <c r="BE124" s="89" t="str">
        <f>REPLACE(INDEX(GroupVertices[Group],MATCH(Edges[[#This Row],[Vertex 2]],GroupVertices[Vertex],0)),1,1,"")</f>
        <v>3</v>
      </c>
      <c r="BF124" s="49"/>
      <c r="BG124" s="50"/>
      <c r="BH124" s="49"/>
      <c r="BI124" s="50"/>
      <c r="BJ124" s="49"/>
      <c r="BK124" s="50"/>
      <c r="BL124" s="49"/>
      <c r="BM124" s="50"/>
      <c r="BN124" s="49"/>
    </row>
    <row r="125" spans="1:66" ht="15">
      <c r="A125" s="66" t="s">
        <v>261</v>
      </c>
      <c r="B125" s="66" t="s">
        <v>260</v>
      </c>
      <c r="C125" s="67" t="s">
        <v>2108</v>
      </c>
      <c r="D125" s="68">
        <v>1</v>
      </c>
      <c r="E125" s="69" t="s">
        <v>132</v>
      </c>
      <c r="F125" s="70">
        <v>32</v>
      </c>
      <c r="G125" s="67" t="s">
        <v>51</v>
      </c>
      <c r="H125" s="71"/>
      <c r="I125" s="72"/>
      <c r="J125" s="72"/>
      <c r="K125" s="35" t="s">
        <v>65</v>
      </c>
      <c r="L125" s="79">
        <v>125</v>
      </c>
      <c r="M125" s="79"/>
      <c r="N125" s="74"/>
      <c r="O125" s="90" t="s">
        <v>305</v>
      </c>
      <c r="P125" s="93">
        <v>44483.41337962963</v>
      </c>
      <c r="Q125" s="90" t="s">
        <v>317</v>
      </c>
      <c r="R125" s="90" t="s">
        <v>330</v>
      </c>
      <c r="S125" s="90" t="s">
        <v>335</v>
      </c>
      <c r="T125" s="99" t="s">
        <v>338</v>
      </c>
      <c r="U125" s="90"/>
      <c r="V125" s="96" t="str">
        <f>HYPERLINK("https://pbs.twimg.com/profile_images/1331581036577382400/f97dxZh6_normal.jpg")</f>
        <v>https://pbs.twimg.com/profile_images/1331581036577382400/f97dxZh6_normal.jpg</v>
      </c>
      <c r="W125" s="93">
        <v>44483.41337962963</v>
      </c>
      <c r="X125" s="102">
        <v>44483</v>
      </c>
      <c r="Y125" s="99" t="s">
        <v>383</v>
      </c>
      <c r="Z125" s="96" t="str">
        <f>HYPERLINK("https://twitter.com/jennihellstrom/status/1448588205067063299")</f>
        <v>https://twitter.com/jennihellstrom/status/1448588205067063299</v>
      </c>
      <c r="AA125" s="90"/>
      <c r="AB125" s="90"/>
      <c r="AC125" s="99" t="s">
        <v>477</v>
      </c>
      <c r="AD125" s="90"/>
      <c r="AE125" s="90" t="b">
        <v>0</v>
      </c>
      <c r="AF125" s="90">
        <v>0</v>
      </c>
      <c r="AG125" s="99" t="s">
        <v>535</v>
      </c>
      <c r="AH125" s="90" t="b">
        <v>1</v>
      </c>
      <c r="AI125" s="90" t="s">
        <v>537</v>
      </c>
      <c r="AJ125" s="90"/>
      <c r="AK125" s="99" t="s">
        <v>526</v>
      </c>
      <c r="AL125" s="90" t="b">
        <v>0</v>
      </c>
      <c r="AM125" s="90">
        <v>1</v>
      </c>
      <c r="AN125" s="99" t="s">
        <v>476</v>
      </c>
      <c r="AO125" s="99" t="s">
        <v>543</v>
      </c>
      <c r="AP125" s="90" t="b">
        <v>0</v>
      </c>
      <c r="AQ125" s="99" t="s">
        <v>476</v>
      </c>
      <c r="AR125" s="90" t="s">
        <v>187</v>
      </c>
      <c r="AS125" s="90">
        <v>0</v>
      </c>
      <c r="AT125" s="90">
        <v>0</v>
      </c>
      <c r="AU125" s="90"/>
      <c r="AV125" s="90"/>
      <c r="AW125" s="90"/>
      <c r="AX125" s="90"/>
      <c r="AY125" s="90"/>
      <c r="AZ125" s="90"/>
      <c r="BA125" s="90"/>
      <c r="BB125" s="90"/>
      <c r="BC125" s="90">
        <v>1</v>
      </c>
      <c r="BD125" s="89" t="str">
        <f>REPLACE(INDEX(GroupVertices[Group],MATCH(Edges[[#This Row],[Vertex 1]],GroupVertices[Vertex],0)),1,1,"")</f>
        <v>3</v>
      </c>
      <c r="BE125" s="89" t="str">
        <f>REPLACE(INDEX(GroupVertices[Group],MATCH(Edges[[#This Row],[Vertex 2]],GroupVertices[Vertex],0)),1,1,"")</f>
        <v>2</v>
      </c>
      <c r="BF125" s="49">
        <v>0</v>
      </c>
      <c r="BG125" s="50">
        <v>0</v>
      </c>
      <c r="BH125" s="49">
        <v>0</v>
      </c>
      <c r="BI125" s="50">
        <v>0</v>
      </c>
      <c r="BJ125" s="49">
        <v>0</v>
      </c>
      <c r="BK125" s="50">
        <v>0</v>
      </c>
      <c r="BL125" s="49">
        <v>28</v>
      </c>
      <c r="BM125" s="50">
        <v>100</v>
      </c>
      <c r="BN125" s="49">
        <v>28</v>
      </c>
    </row>
    <row r="126" spans="1:66" ht="15">
      <c r="A126" s="66" t="s">
        <v>262</v>
      </c>
      <c r="B126" s="66" t="s">
        <v>299</v>
      </c>
      <c r="C126" s="67" t="s">
        <v>2108</v>
      </c>
      <c r="D126" s="68">
        <v>1</v>
      </c>
      <c r="E126" s="69" t="s">
        <v>132</v>
      </c>
      <c r="F126" s="70">
        <v>32</v>
      </c>
      <c r="G126" s="67" t="s">
        <v>51</v>
      </c>
      <c r="H126" s="71"/>
      <c r="I126" s="72"/>
      <c r="J126" s="72"/>
      <c r="K126" s="35" t="s">
        <v>65</v>
      </c>
      <c r="L126" s="79">
        <v>126</v>
      </c>
      <c r="M126" s="79"/>
      <c r="N126" s="74"/>
      <c r="O126" s="90" t="s">
        <v>306</v>
      </c>
      <c r="P126" s="93">
        <v>44483.41355324074</v>
      </c>
      <c r="Q126" s="90" t="s">
        <v>310</v>
      </c>
      <c r="R126" s="96" t="str">
        <f>HYPERLINK("https://talouskurssi.fi/")</f>
        <v>https://talouskurssi.fi/</v>
      </c>
      <c r="S126" s="90" t="s">
        <v>334</v>
      </c>
      <c r="T126" s="99" t="s">
        <v>338</v>
      </c>
      <c r="U126" s="96" t="str">
        <f>HYPERLINK("https://pbs.twimg.com/ext_tw_video_thumb/1448527896562348036/pu/img/0PqSbNMaXHvzKHCc.jpg")</f>
        <v>https://pbs.twimg.com/ext_tw_video_thumb/1448527896562348036/pu/img/0PqSbNMaXHvzKHCc.jpg</v>
      </c>
      <c r="V126" s="96" t="str">
        <f>HYPERLINK("https://pbs.twimg.com/ext_tw_video_thumb/1448527896562348036/pu/img/0PqSbNMaXHvzKHCc.jpg")</f>
        <v>https://pbs.twimg.com/ext_tw_video_thumb/1448527896562348036/pu/img/0PqSbNMaXHvzKHCc.jpg</v>
      </c>
      <c r="W126" s="93">
        <v>44483.41355324074</v>
      </c>
      <c r="X126" s="102">
        <v>44483</v>
      </c>
      <c r="Y126" s="99" t="s">
        <v>384</v>
      </c>
      <c r="Z126" s="96" t="str">
        <f>HYPERLINK("https://twitter.com/minisalkku2021/status/1448588269051076621")</f>
        <v>https://twitter.com/minisalkku2021/status/1448588269051076621</v>
      </c>
      <c r="AA126" s="90"/>
      <c r="AB126" s="90"/>
      <c r="AC126" s="99" t="s">
        <v>478</v>
      </c>
      <c r="AD126" s="90"/>
      <c r="AE126" s="90" t="b">
        <v>0</v>
      </c>
      <c r="AF126" s="90">
        <v>0</v>
      </c>
      <c r="AG126" s="99" t="s">
        <v>535</v>
      </c>
      <c r="AH126" s="90" t="b">
        <v>0</v>
      </c>
      <c r="AI126" s="90" t="s">
        <v>537</v>
      </c>
      <c r="AJ126" s="90"/>
      <c r="AK126" s="99" t="s">
        <v>535</v>
      </c>
      <c r="AL126" s="90" t="b">
        <v>0</v>
      </c>
      <c r="AM126" s="90">
        <v>52</v>
      </c>
      <c r="AN126" s="99" t="s">
        <v>526</v>
      </c>
      <c r="AO126" s="99" t="s">
        <v>542</v>
      </c>
      <c r="AP126" s="90" t="b">
        <v>0</v>
      </c>
      <c r="AQ126" s="99" t="s">
        <v>526</v>
      </c>
      <c r="AR126" s="90" t="s">
        <v>187</v>
      </c>
      <c r="AS126" s="90">
        <v>0</v>
      </c>
      <c r="AT126" s="90">
        <v>0</v>
      </c>
      <c r="AU126" s="90"/>
      <c r="AV126" s="90"/>
      <c r="AW126" s="90"/>
      <c r="AX126" s="90"/>
      <c r="AY126" s="90"/>
      <c r="AZ126" s="90"/>
      <c r="BA126" s="90"/>
      <c r="BB126" s="90"/>
      <c r="BC126" s="90">
        <v>1</v>
      </c>
      <c r="BD126" s="89" t="str">
        <f>REPLACE(INDEX(GroupVertices[Group],MATCH(Edges[[#This Row],[Vertex 1]],GroupVertices[Vertex],0)),1,1,"")</f>
        <v>1</v>
      </c>
      <c r="BE126" s="89" t="str">
        <f>REPLACE(INDEX(GroupVertices[Group],MATCH(Edges[[#This Row],[Vertex 2]],GroupVertices[Vertex],0)),1,1,"")</f>
        <v>1</v>
      </c>
      <c r="BF126" s="49"/>
      <c r="BG126" s="50"/>
      <c r="BH126" s="49"/>
      <c r="BI126" s="50"/>
      <c r="BJ126" s="49"/>
      <c r="BK126" s="50"/>
      <c r="BL126" s="49"/>
      <c r="BM126" s="50"/>
      <c r="BN126" s="49"/>
    </row>
    <row r="127" spans="1:66" ht="15">
      <c r="A127" s="66" t="s">
        <v>262</v>
      </c>
      <c r="B127" s="66" t="s">
        <v>302</v>
      </c>
      <c r="C127" s="67" t="s">
        <v>2108</v>
      </c>
      <c r="D127" s="68">
        <v>1</v>
      </c>
      <c r="E127" s="69" t="s">
        <v>132</v>
      </c>
      <c r="F127" s="70">
        <v>32</v>
      </c>
      <c r="G127" s="67" t="s">
        <v>51</v>
      </c>
      <c r="H127" s="71"/>
      <c r="I127" s="72"/>
      <c r="J127" s="72"/>
      <c r="K127" s="35" t="s">
        <v>65</v>
      </c>
      <c r="L127" s="79">
        <v>127</v>
      </c>
      <c r="M127" s="79"/>
      <c r="N127" s="74"/>
      <c r="O127" s="90" t="s">
        <v>306</v>
      </c>
      <c r="P127" s="93">
        <v>44483.41355324074</v>
      </c>
      <c r="Q127" s="90" t="s">
        <v>310</v>
      </c>
      <c r="R127" s="96" t="str">
        <f>HYPERLINK("https://talouskurssi.fi/")</f>
        <v>https://talouskurssi.fi/</v>
      </c>
      <c r="S127" s="90" t="s">
        <v>334</v>
      </c>
      <c r="T127" s="99" t="s">
        <v>338</v>
      </c>
      <c r="U127" s="96" t="str">
        <f>HYPERLINK("https://pbs.twimg.com/ext_tw_video_thumb/1448527896562348036/pu/img/0PqSbNMaXHvzKHCc.jpg")</f>
        <v>https://pbs.twimg.com/ext_tw_video_thumb/1448527896562348036/pu/img/0PqSbNMaXHvzKHCc.jpg</v>
      </c>
      <c r="V127" s="96" t="str">
        <f>HYPERLINK("https://pbs.twimg.com/ext_tw_video_thumb/1448527896562348036/pu/img/0PqSbNMaXHvzKHCc.jpg")</f>
        <v>https://pbs.twimg.com/ext_tw_video_thumb/1448527896562348036/pu/img/0PqSbNMaXHvzKHCc.jpg</v>
      </c>
      <c r="W127" s="93">
        <v>44483.41355324074</v>
      </c>
      <c r="X127" s="102">
        <v>44483</v>
      </c>
      <c r="Y127" s="99" t="s">
        <v>384</v>
      </c>
      <c r="Z127" s="96" t="str">
        <f>HYPERLINK("https://twitter.com/minisalkku2021/status/1448588269051076621")</f>
        <v>https://twitter.com/minisalkku2021/status/1448588269051076621</v>
      </c>
      <c r="AA127" s="90"/>
      <c r="AB127" s="90"/>
      <c r="AC127" s="99" t="s">
        <v>478</v>
      </c>
      <c r="AD127" s="90"/>
      <c r="AE127" s="90" t="b">
        <v>0</v>
      </c>
      <c r="AF127" s="90">
        <v>0</v>
      </c>
      <c r="AG127" s="99" t="s">
        <v>535</v>
      </c>
      <c r="AH127" s="90" t="b">
        <v>0</v>
      </c>
      <c r="AI127" s="90" t="s">
        <v>537</v>
      </c>
      <c r="AJ127" s="90"/>
      <c r="AK127" s="99" t="s">
        <v>535</v>
      </c>
      <c r="AL127" s="90" t="b">
        <v>0</v>
      </c>
      <c r="AM127" s="90">
        <v>52</v>
      </c>
      <c r="AN127" s="99" t="s">
        <v>526</v>
      </c>
      <c r="AO127" s="99" t="s">
        <v>542</v>
      </c>
      <c r="AP127" s="90" t="b">
        <v>0</v>
      </c>
      <c r="AQ127" s="99" t="s">
        <v>526</v>
      </c>
      <c r="AR127" s="90" t="s">
        <v>187</v>
      </c>
      <c r="AS127" s="90">
        <v>0</v>
      </c>
      <c r="AT127" s="90">
        <v>0</v>
      </c>
      <c r="AU127" s="90"/>
      <c r="AV127" s="90"/>
      <c r="AW127" s="90"/>
      <c r="AX127" s="90"/>
      <c r="AY127" s="90"/>
      <c r="AZ127" s="90"/>
      <c r="BA127" s="90"/>
      <c r="BB127" s="90"/>
      <c r="BC127" s="90">
        <v>1</v>
      </c>
      <c r="BD127" s="89" t="str">
        <f>REPLACE(INDEX(GroupVertices[Group],MATCH(Edges[[#This Row],[Vertex 1]],GroupVertices[Vertex],0)),1,1,"")</f>
        <v>1</v>
      </c>
      <c r="BE127" s="89" t="str">
        <f>REPLACE(INDEX(GroupVertices[Group],MATCH(Edges[[#This Row],[Vertex 2]],GroupVertices[Vertex],0)),1,1,"")</f>
        <v>1</v>
      </c>
      <c r="BF127" s="49"/>
      <c r="BG127" s="50"/>
      <c r="BH127" s="49"/>
      <c r="BI127" s="50"/>
      <c r="BJ127" s="49"/>
      <c r="BK127" s="50"/>
      <c r="BL127" s="49"/>
      <c r="BM127" s="50"/>
      <c r="BN127" s="49"/>
    </row>
    <row r="128" spans="1:66" ht="15">
      <c r="A128" s="66" t="s">
        <v>262</v>
      </c>
      <c r="B128" s="66" t="s">
        <v>293</v>
      </c>
      <c r="C128" s="67" t="s">
        <v>2108</v>
      </c>
      <c r="D128" s="68">
        <v>1</v>
      </c>
      <c r="E128" s="69" t="s">
        <v>132</v>
      </c>
      <c r="F128" s="70">
        <v>32</v>
      </c>
      <c r="G128" s="67" t="s">
        <v>51</v>
      </c>
      <c r="H128" s="71"/>
      <c r="I128" s="72"/>
      <c r="J128" s="72"/>
      <c r="K128" s="35" t="s">
        <v>65</v>
      </c>
      <c r="L128" s="79">
        <v>128</v>
      </c>
      <c r="M128" s="79"/>
      <c r="N128" s="74"/>
      <c r="O128" s="90" t="s">
        <v>305</v>
      </c>
      <c r="P128" s="93">
        <v>44483.41355324074</v>
      </c>
      <c r="Q128" s="90" t="s">
        <v>310</v>
      </c>
      <c r="R128" s="96" t="str">
        <f>HYPERLINK("https://talouskurssi.fi/")</f>
        <v>https://talouskurssi.fi/</v>
      </c>
      <c r="S128" s="90" t="s">
        <v>334</v>
      </c>
      <c r="T128" s="99" t="s">
        <v>338</v>
      </c>
      <c r="U128" s="96" t="str">
        <f>HYPERLINK("https://pbs.twimg.com/ext_tw_video_thumb/1448527896562348036/pu/img/0PqSbNMaXHvzKHCc.jpg")</f>
        <v>https://pbs.twimg.com/ext_tw_video_thumb/1448527896562348036/pu/img/0PqSbNMaXHvzKHCc.jpg</v>
      </c>
      <c r="V128" s="96" t="str">
        <f>HYPERLINK("https://pbs.twimg.com/ext_tw_video_thumb/1448527896562348036/pu/img/0PqSbNMaXHvzKHCc.jpg")</f>
        <v>https://pbs.twimg.com/ext_tw_video_thumb/1448527896562348036/pu/img/0PqSbNMaXHvzKHCc.jpg</v>
      </c>
      <c r="W128" s="93">
        <v>44483.41355324074</v>
      </c>
      <c r="X128" s="102">
        <v>44483</v>
      </c>
      <c r="Y128" s="99" t="s">
        <v>384</v>
      </c>
      <c r="Z128" s="96" t="str">
        <f>HYPERLINK("https://twitter.com/minisalkku2021/status/1448588269051076621")</f>
        <v>https://twitter.com/minisalkku2021/status/1448588269051076621</v>
      </c>
      <c r="AA128" s="90"/>
      <c r="AB128" s="90"/>
      <c r="AC128" s="99" t="s">
        <v>478</v>
      </c>
      <c r="AD128" s="90"/>
      <c r="AE128" s="90" t="b">
        <v>0</v>
      </c>
      <c r="AF128" s="90">
        <v>0</v>
      </c>
      <c r="AG128" s="99" t="s">
        <v>535</v>
      </c>
      <c r="AH128" s="90" t="b">
        <v>0</v>
      </c>
      <c r="AI128" s="90" t="s">
        <v>537</v>
      </c>
      <c r="AJ128" s="90"/>
      <c r="AK128" s="99" t="s">
        <v>535</v>
      </c>
      <c r="AL128" s="90" t="b">
        <v>0</v>
      </c>
      <c r="AM128" s="90">
        <v>52</v>
      </c>
      <c r="AN128" s="99" t="s">
        <v>526</v>
      </c>
      <c r="AO128" s="99" t="s">
        <v>542</v>
      </c>
      <c r="AP128" s="90" t="b">
        <v>0</v>
      </c>
      <c r="AQ128" s="99" t="s">
        <v>526</v>
      </c>
      <c r="AR128" s="90" t="s">
        <v>187</v>
      </c>
      <c r="AS128" s="90">
        <v>0</v>
      </c>
      <c r="AT128" s="90">
        <v>0</v>
      </c>
      <c r="AU128" s="90"/>
      <c r="AV128" s="90"/>
      <c r="AW128" s="90"/>
      <c r="AX128" s="90"/>
      <c r="AY128" s="90"/>
      <c r="AZ128" s="90"/>
      <c r="BA128" s="90"/>
      <c r="BB128" s="90"/>
      <c r="BC128" s="90">
        <v>1</v>
      </c>
      <c r="BD128" s="89" t="str">
        <f>REPLACE(INDEX(GroupVertices[Group],MATCH(Edges[[#This Row],[Vertex 1]],GroupVertices[Vertex],0)),1,1,"")</f>
        <v>1</v>
      </c>
      <c r="BE128" s="89" t="str">
        <f>REPLACE(INDEX(GroupVertices[Group],MATCH(Edges[[#This Row],[Vertex 2]],GroupVertices[Vertex],0)),1,1,"")</f>
        <v>3</v>
      </c>
      <c r="BF128" s="49">
        <v>0</v>
      </c>
      <c r="BG128" s="50">
        <v>0</v>
      </c>
      <c r="BH128" s="49">
        <v>0</v>
      </c>
      <c r="BI128" s="50">
        <v>0</v>
      </c>
      <c r="BJ128" s="49">
        <v>0</v>
      </c>
      <c r="BK128" s="50">
        <v>0</v>
      </c>
      <c r="BL128" s="49">
        <v>28</v>
      </c>
      <c r="BM128" s="50">
        <v>100</v>
      </c>
      <c r="BN128" s="49">
        <v>28</v>
      </c>
    </row>
    <row r="129" spans="1:66" ht="15">
      <c r="A129" s="66" t="s">
        <v>263</v>
      </c>
      <c r="B129" s="66" t="s">
        <v>299</v>
      </c>
      <c r="C129" s="67" t="s">
        <v>2108</v>
      </c>
      <c r="D129" s="68">
        <v>1</v>
      </c>
      <c r="E129" s="69" t="s">
        <v>132</v>
      </c>
      <c r="F129" s="70">
        <v>32</v>
      </c>
      <c r="G129" s="67" t="s">
        <v>51</v>
      </c>
      <c r="H129" s="71"/>
      <c r="I129" s="72"/>
      <c r="J129" s="72"/>
      <c r="K129" s="35" t="s">
        <v>65</v>
      </c>
      <c r="L129" s="79">
        <v>129</v>
      </c>
      <c r="M129" s="79"/>
      <c r="N129" s="74"/>
      <c r="O129" s="90" t="s">
        <v>306</v>
      </c>
      <c r="P129" s="93">
        <v>44483.42196759259</v>
      </c>
      <c r="Q129" s="90" t="s">
        <v>310</v>
      </c>
      <c r="R129" s="96" t="str">
        <f>HYPERLINK("https://talouskurssi.fi/")</f>
        <v>https://talouskurssi.fi/</v>
      </c>
      <c r="S129" s="90" t="s">
        <v>334</v>
      </c>
      <c r="T129" s="99" t="s">
        <v>338</v>
      </c>
      <c r="U129" s="96" t="str">
        <f>HYPERLINK("https://pbs.twimg.com/ext_tw_video_thumb/1448527896562348036/pu/img/0PqSbNMaXHvzKHCc.jpg")</f>
        <v>https://pbs.twimg.com/ext_tw_video_thumb/1448527896562348036/pu/img/0PqSbNMaXHvzKHCc.jpg</v>
      </c>
      <c r="V129" s="96" t="str">
        <f>HYPERLINK("https://pbs.twimg.com/ext_tw_video_thumb/1448527896562348036/pu/img/0PqSbNMaXHvzKHCc.jpg")</f>
        <v>https://pbs.twimg.com/ext_tw_video_thumb/1448527896562348036/pu/img/0PqSbNMaXHvzKHCc.jpg</v>
      </c>
      <c r="W129" s="93">
        <v>44483.42196759259</v>
      </c>
      <c r="X129" s="102">
        <v>44483</v>
      </c>
      <c r="Y129" s="99" t="s">
        <v>385</v>
      </c>
      <c r="Z129" s="96" t="str">
        <f>HYPERLINK("https://twitter.com/thuotila/status/1448591318884696069")</f>
        <v>https://twitter.com/thuotila/status/1448591318884696069</v>
      </c>
      <c r="AA129" s="90"/>
      <c r="AB129" s="90"/>
      <c r="AC129" s="99" t="s">
        <v>479</v>
      </c>
      <c r="AD129" s="90"/>
      <c r="AE129" s="90" t="b">
        <v>0</v>
      </c>
      <c r="AF129" s="90">
        <v>0</v>
      </c>
      <c r="AG129" s="99" t="s">
        <v>535</v>
      </c>
      <c r="AH129" s="90" t="b">
        <v>0</v>
      </c>
      <c r="AI129" s="90" t="s">
        <v>537</v>
      </c>
      <c r="AJ129" s="90"/>
      <c r="AK129" s="99" t="s">
        <v>535</v>
      </c>
      <c r="AL129" s="90" t="b">
        <v>0</v>
      </c>
      <c r="AM129" s="90">
        <v>52</v>
      </c>
      <c r="AN129" s="99" t="s">
        <v>526</v>
      </c>
      <c r="AO129" s="99" t="s">
        <v>545</v>
      </c>
      <c r="AP129" s="90" t="b">
        <v>0</v>
      </c>
      <c r="AQ129" s="99" t="s">
        <v>526</v>
      </c>
      <c r="AR129" s="90" t="s">
        <v>187</v>
      </c>
      <c r="AS129" s="90">
        <v>0</v>
      </c>
      <c r="AT129" s="90">
        <v>0</v>
      </c>
      <c r="AU129" s="90"/>
      <c r="AV129" s="90"/>
      <c r="AW129" s="90"/>
      <c r="AX129" s="90"/>
      <c r="AY129" s="90"/>
      <c r="AZ129" s="90"/>
      <c r="BA129" s="90"/>
      <c r="BB129" s="90"/>
      <c r="BC129" s="90">
        <v>1</v>
      </c>
      <c r="BD129" s="89" t="str">
        <f>REPLACE(INDEX(GroupVertices[Group],MATCH(Edges[[#This Row],[Vertex 1]],GroupVertices[Vertex],0)),1,1,"")</f>
        <v>1</v>
      </c>
      <c r="BE129" s="89" t="str">
        <f>REPLACE(INDEX(GroupVertices[Group],MATCH(Edges[[#This Row],[Vertex 2]],GroupVertices[Vertex],0)),1,1,"")</f>
        <v>1</v>
      </c>
      <c r="BF129" s="49"/>
      <c r="BG129" s="50"/>
      <c r="BH129" s="49"/>
      <c r="BI129" s="50"/>
      <c r="BJ129" s="49"/>
      <c r="BK129" s="50"/>
      <c r="BL129" s="49"/>
      <c r="BM129" s="50"/>
      <c r="BN129" s="49"/>
    </row>
    <row r="130" spans="1:66" ht="15">
      <c r="A130" s="66" t="s">
        <v>263</v>
      </c>
      <c r="B130" s="66" t="s">
        <v>302</v>
      </c>
      <c r="C130" s="67" t="s">
        <v>2108</v>
      </c>
      <c r="D130" s="68">
        <v>1</v>
      </c>
      <c r="E130" s="69" t="s">
        <v>132</v>
      </c>
      <c r="F130" s="70">
        <v>32</v>
      </c>
      <c r="G130" s="67" t="s">
        <v>51</v>
      </c>
      <c r="H130" s="71"/>
      <c r="I130" s="72"/>
      <c r="J130" s="72"/>
      <c r="K130" s="35" t="s">
        <v>65</v>
      </c>
      <c r="L130" s="79">
        <v>130</v>
      </c>
      <c r="M130" s="79"/>
      <c r="N130" s="74"/>
      <c r="O130" s="90" t="s">
        <v>306</v>
      </c>
      <c r="P130" s="93">
        <v>44483.42196759259</v>
      </c>
      <c r="Q130" s="90" t="s">
        <v>310</v>
      </c>
      <c r="R130" s="96" t="str">
        <f>HYPERLINK("https://talouskurssi.fi/")</f>
        <v>https://talouskurssi.fi/</v>
      </c>
      <c r="S130" s="90" t="s">
        <v>334</v>
      </c>
      <c r="T130" s="99" t="s">
        <v>338</v>
      </c>
      <c r="U130" s="96" t="str">
        <f>HYPERLINK("https://pbs.twimg.com/ext_tw_video_thumb/1448527896562348036/pu/img/0PqSbNMaXHvzKHCc.jpg")</f>
        <v>https://pbs.twimg.com/ext_tw_video_thumb/1448527896562348036/pu/img/0PqSbNMaXHvzKHCc.jpg</v>
      </c>
      <c r="V130" s="96" t="str">
        <f>HYPERLINK("https://pbs.twimg.com/ext_tw_video_thumb/1448527896562348036/pu/img/0PqSbNMaXHvzKHCc.jpg")</f>
        <v>https://pbs.twimg.com/ext_tw_video_thumb/1448527896562348036/pu/img/0PqSbNMaXHvzKHCc.jpg</v>
      </c>
      <c r="W130" s="93">
        <v>44483.42196759259</v>
      </c>
      <c r="X130" s="102">
        <v>44483</v>
      </c>
      <c r="Y130" s="99" t="s">
        <v>385</v>
      </c>
      <c r="Z130" s="96" t="str">
        <f>HYPERLINK("https://twitter.com/thuotila/status/1448591318884696069")</f>
        <v>https://twitter.com/thuotila/status/1448591318884696069</v>
      </c>
      <c r="AA130" s="90"/>
      <c r="AB130" s="90"/>
      <c r="AC130" s="99" t="s">
        <v>479</v>
      </c>
      <c r="AD130" s="90"/>
      <c r="AE130" s="90" t="b">
        <v>0</v>
      </c>
      <c r="AF130" s="90">
        <v>0</v>
      </c>
      <c r="AG130" s="99" t="s">
        <v>535</v>
      </c>
      <c r="AH130" s="90" t="b">
        <v>0</v>
      </c>
      <c r="AI130" s="90" t="s">
        <v>537</v>
      </c>
      <c r="AJ130" s="90"/>
      <c r="AK130" s="99" t="s">
        <v>535</v>
      </c>
      <c r="AL130" s="90" t="b">
        <v>0</v>
      </c>
      <c r="AM130" s="90">
        <v>52</v>
      </c>
      <c r="AN130" s="99" t="s">
        <v>526</v>
      </c>
      <c r="AO130" s="99" t="s">
        <v>545</v>
      </c>
      <c r="AP130" s="90" t="b">
        <v>0</v>
      </c>
      <c r="AQ130" s="99" t="s">
        <v>526</v>
      </c>
      <c r="AR130" s="90" t="s">
        <v>187</v>
      </c>
      <c r="AS130" s="90">
        <v>0</v>
      </c>
      <c r="AT130" s="90">
        <v>0</v>
      </c>
      <c r="AU130" s="90"/>
      <c r="AV130" s="90"/>
      <c r="AW130" s="90"/>
      <c r="AX130" s="90"/>
      <c r="AY130" s="90"/>
      <c r="AZ130" s="90"/>
      <c r="BA130" s="90"/>
      <c r="BB130" s="90"/>
      <c r="BC130" s="90">
        <v>1</v>
      </c>
      <c r="BD130" s="89" t="str">
        <f>REPLACE(INDEX(GroupVertices[Group],MATCH(Edges[[#This Row],[Vertex 1]],GroupVertices[Vertex],0)),1,1,"")</f>
        <v>1</v>
      </c>
      <c r="BE130" s="89" t="str">
        <f>REPLACE(INDEX(GroupVertices[Group],MATCH(Edges[[#This Row],[Vertex 2]],GroupVertices[Vertex],0)),1,1,"")</f>
        <v>1</v>
      </c>
      <c r="BF130" s="49"/>
      <c r="BG130" s="50"/>
      <c r="BH130" s="49"/>
      <c r="BI130" s="50"/>
      <c r="BJ130" s="49"/>
      <c r="BK130" s="50"/>
      <c r="BL130" s="49"/>
      <c r="BM130" s="50"/>
      <c r="BN130" s="49"/>
    </row>
    <row r="131" spans="1:66" ht="15">
      <c r="A131" s="66" t="s">
        <v>263</v>
      </c>
      <c r="B131" s="66" t="s">
        <v>293</v>
      </c>
      <c r="C131" s="67" t="s">
        <v>2108</v>
      </c>
      <c r="D131" s="68">
        <v>1</v>
      </c>
      <c r="E131" s="69" t="s">
        <v>132</v>
      </c>
      <c r="F131" s="70">
        <v>32</v>
      </c>
      <c r="G131" s="67" t="s">
        <v>51</v>
      </c>
      <c r="H131" s="71"/>
      <c r="I131" s="72"/>
      <c r="J131" s="72"/>
      <c r="K131" s="35" t="s">
        <v>65</v>
      </c>
      <c r="L131" s="79">
        <v>131</v>
      </c>
      <c r="M131" s="79"/>
      <c r="N131" s="74"/>
      <c r="O131" s="90" t="s">
        <v>305</v>
      </c>
      <c r="P131" s="93">
        <v>44483.42196759259</v>
      </c>
      <c r="Q131" s="90" t="s">
        <v>310</v>
      </c>
      <c r="R131" s="96" t="str">
        <f>HYPERLINK("https://talouskurssi.fi/")</f>
        <v>https://talouskurssi.fi/</v>
      </c>
      <c r="S131" s="90" t="s">
        <v>334</v>
      </c>
      <c r="T131" s="99" t="s">
        <v>338</v>
      </c>
      <c r="U131" s="96" t="str">
        <f>HYPERLINK("https://pbs.twimg.com/ext_tw_video_thumb/1448527896562348036/pu/img/0PqSbNMaXHvzKHCc.jpg")</f>
        <v>https://pbs.twimg.com/ext_tw_video_thumb/1448527896562348036/pu/img/0PqSbNMaXHvzKHCc.jpg</v>
      </c>
      <c r="V131" s="96" t="str">
        <f>HYPERLINK("https://pbs.twimg.com/ext_tw_video_thumb/1448527896562348036/pu/img/0PqSbNMaXHvzKHCc.jpg")</f>
        <v>https://pbs.twimg.com/ext_tw_video_thumb/1448527896562348036/pu/img/0PqSbNMaXHvzKHCc.jpg</v>
      </c>
      <c r="W131" s="93">
        <v>44483.42196759259</v>
      </c>
      <c r="X131" s="102">
        <v>44483</v>
      </c>
      <c r="Y131" s="99" t="s">
        <v>385</v>
      </c>
      <c r="Z131" s="96" t="str">
        <f>HYPERLINK("https://twitter.com/thuotila/status/1448591318884696069")</f>
        <v>https://twitter.com/thuotila/status/1448591318884696069</v>
      </c>
      <c r="AA131" s="90"/>
      <c r="AB131" s="90"/>
      <c r="AC131" s="99" t="s">
        <v>479</v>
      </c>
      <c r="AD131" s="90"/>
      <c r="AE131" s="90" t="b">
        <v>0</v>
      </c>
      <c r="AF131" s="90">
        <v>0</v>
      </c>
      <c r="AG131" s="99" t="s">
        <v>535</v>
      </c>
      <c r="AH131" s="90" t="b">
        <v>0</v>
      </c>
      <c r="AI131" s="90" t="s">
        <v>537</v>
      </c>
      <c r="AJ131" s="90"/>
      <c r="AK131" s="99" t="s">
        <v>535</v>
      </c>
      <c r="AL131" s="90" t="b">
        <v>0</v>
      </c>
      <c r="AM131" s="90">
        <v>52</v>
      </c>
      <c r="AN131" s="99" t="s">
        <v>526</v>
      </c>
      <c r="AO131" s="99" t="s">
        <v>545</v>
      </c>
      <c r="AP131" s="90" t="b">
        <v>0</v>
      </c>
      <c r="AQ131" s="99" t="s">
        <v>526</v>
      </c>
      <c r="AR131" s="90" t="s">
        <v>187</v>
      </c>
      <c r="AS131" s="90">
        <v>0</v>
      </c>
      <c r="AT131" s="90">
        <v>0</v>
      </c>
      <c r="AU131" s="90"/>
      <c r="AV131" s="90"/>
      <c r="AW131" s="90"/>
      <c r="AX131" s="90"/>
      <c r="AY131" s="90"/>
      <c r="AZ131" s="90"/>
      <c r="BA131" s="90"/>
      <c r="BB131" s="90"/>
      <c r="BC131" s="90">
        <v>1</v>
      </c>
      <c r="BD131" s="89" t="str">
        <f>REPLACE(INDEX(GroupVertices[Group],MATCH(Edges[[#This Row],[Vertex 1]],GroupVertices[Vertex],0)),1,1,"")</f>
        <v>1</v>
      </c>
      <c r="BE131" s="89" t="str">
        <f>REPLACE(INDEX(GroupVertices[Group],MATCH(Edges[[#This Row],[Vertex 2]],GroupVertices[Vertex],0)),1,1,"")</f>
        <v>3</v>
      </c>
      <c r="BF131" s="49">
        <v>0</v>
      </c>
      <c r="BG131" s="50">
        <v>0</v>
      </c>
      <c r="BH131" s="49">
        <v>0</v>
      </c>
      <c r="BI131" s="50">
        <v>0</v>
      </c>
      <c r="BJ131" s="49">
        <v>0</v>
      </c>
      <c r="BK131" s="50">
        <v>0</v>
      </c>
      <c r="BL131" s="49">
        <v>28</v>
      </c>
      <c r="BM131" s="50">
        <v>100</v>
      </c>
      <c r="BN131" s="49">
        <v>28</v>
      </c>
    </row>
    <row r="132" spans="1:66" ht="15">
      <c r="A132" s="66" t="s">
        <v>264</v>
      </c>
      <c r="B132" s="66" t="s">
        <v>299</v>
      </c>
      <c r="C132" s="67" t="s">
        <v>2108</v>
      </c>
      <c r="D132" s="68">
        <v>1</v>
      </c>
      <c r="E132" s="69" t="s">
        <v>132</v>
      </c>
      <c r="F132" s="70">
        <v>32</v>
      </c>
      <c r="G132" s="67" t="s">
        <v>51</v>
      </c>
      <c r="H132" s="71"/>
      <c r="I132" s="72"/>
      <c r="J132" s="72"/>
      <c r="K132" s="35" t="s">
        <v>65</v>
      </c>
      <c r="L132" s="79">
        <v>132</v>
      </c>
      <c r="M132" s="79"/>
      <c r="N132" s="74"/>
      <c r="O132" s="90" t="s">
        <v>306</v>
      </c>
      <c r="P132" s="93">
        <v>44483.42616898148</v>
      </c>
      <c r="Q132" s="90" t="s">
        <v>310</v>
      </c>
      <c r="R132" s="96" t="str">
        <f>HYPERLINK("https://talouskurssi.fi/")</f>
        <v>https://talouskurssi.fi/</v>
      </c>
      <c r="S132" s="90" t="s">
        <v>334</v>
      </c>
      <c r="T132" s="99" t="s">
        <v>338</v>
      </c>
      <c r="U132" s="96" t="str">
        <f>HYPERLINK("https://pbs.twimg.com/ext_tw_video_thumb/1448527896562348036/pu/img/0PqSbNMaXHvzKHCc.jpg")</f>
        <v>https://pbs.twimg.com/ext_tw_video_thumb/1448527896562348036/pu/img/0PqSbNMaXHvzKHCc.jpg</v>
      </c>
      <c r="V132" s="96" t="str">
        <f>HYPERLINK("https://pbs.twimg.com/ext_tw_video_thumb/1448527896562348036/pu/img/0PqSbNMaXHvzKHCc.jpg")</f>
        <v>https://pbs.twimg.com/ext_tw_video_thumb/1448527896562348036/pu/img/0PqSbNMaXHvzKHCc.jpg</v>
      </c>
      <c r="W132" s="93">
        <v>44483.42616898148</v>
      </c>
      <c r="X132" s="102">
        <v>44483</v>
      </c>
      <c r="Y132" s="99" t="s">
        <v>386</v>
      </c>
      <c r="Z132" s="96" t="str">
        <f>HYPERLINK("https://twitter.com/mikakorte/status/1448592839873531907")</f>
        <v>https://twitter.com/mikakorte/status/1448592839873531907</v>
      </c>
      <c r="AA132" s="90"/>
      <c r="AB132" s="90"/>
      <c r="AC132" s="99" t="s">
        <v>480</v>
      </c>
      <c r="AD132" s="90"/>
      <c r="AE132" s="90" t="b">
        <v>0</v>
      </c>
      <c r="AF132" s="90">
        <v>0</v>
      </c>
      <c r="AG132" s="99" t="s">
        <v>535</v>
      </c>
      <c r="AH132" s="90" t="b">
        <v>0</v>
      </c>
      <c r="AI132" s="90" t="s">
        <v>537</v>
      </c>
      <c r="AJ132" s="90"/>
      <c r="AK132" s="99" t="s">
        <v>535</v>
      </c>
      <c r="AL132" s="90" t="b">
        <v>0</v>
      </c>
      <c r="AM132" s="90">
        <v>52</v>
      </c>
      <c r="AN132" s="99" t="s">
        <v>526</v>
      </c>
      <c r="AO132" s="99" t="s">
        <v>543</v>
      </c>
      <c r="AP132" s="90" t="b">
        <v>0</v>
      </c>
      <c r="AQ132" s="99" t="s">
        <v>526</v>
      </c>
      <c r="AR132" s="90" t="s">
        <v>187</v>
      </c>
      <c r="AS132" s="90">
        <v>0</v>
      </c>
      <c r="AT132" s="90">
        <v>0</v>
      </c>
      <c r="AU132" s="90"/>
      <c r="AV132" s="90"/>
      <c r="AW132" s="90"/>
      <c r="AX132" s="90"/>
      <c r="AY132" s="90"/>
      <c r="AZ132" s="90"/>
      <c r="BA132" s="90"/>
      <c r="BB132" s="90"/>
      <c r="BC132" s="90">
        <v>1</v>
      </c>
      <c r="BD132" s="89" t="str">
        <f>REPLACE(INDEX(GroupVertices[Group],MATCH(Edges[[#This Row],[Vertex 1]],GroupVertices[Vertex],0)),1,1,"")</f>
        <v>1</v>
      </c>
      <c r="BE132" s="89" t="str">
        <f>REPLACE(INDEX(GroupVertices[Group],MATCH(Edges[[#This Row],[Vertex 2]],GroupVertices[Vertex],0)),1,1,"")</f>
        <v>1</v>
      </c>
      <c r="BF132" s="49"/>
      <c r="BG132" s="50"/>
      <c r="BH132" s="49"/>
      <c r="BI132" s="50"/>
      <c r="BJ132" s="49"/>
      <c r="BK132" s="50"/>
      <c r="BL132" s="49"/>
      <c r="BM132" s="50"/>
      <c r="BN132" s="49"/>
    </row>
    <row r="133" spans="1:66" ht="15">
      <c r="A133" s="66" t="s">
        <v>264</v>
      </c>
      <c r="B133" s="66" t="s">
        <v>302</v>
      </c>
      <c r="C133" s="67" t="s">
        <v>2108</v>
      </c>
      <c r="D133" s="68">
        <v>1</v>
      </c>
      <c r="E133" s="69" t="s">
        <v>132</v>
      </c>
      <c r="F133" s="70">
        <v>32</v>
      </c>
      <c r="G133" s="67" t="s">
        <v>51</v>
      </c>
      <c r="H133" s="71"/>
      <c r="I133" s="72"/>
      <c r="J133" s="72"/>
      <c r="K133" s="35" t="s">
        <v>65</v>
      </c>
      <c r="L133" s="79">
        <v>133</v>
      </c>
      <c r="M133" s="79"/>
      <c r="N133" s="74"/>
      <c r="O133" s="90" t="s">
        <v>306</v>
      </c>
      <c r="P133" s="93">
        <v>44483.42616898148</v>
      </c>
      <c r="Q133" s="90" t="s">
        <v>310</v>
      </c>
      <c r="R133" s="96" t="str">
        <f>HYPERLINK("https://talouskurssi.fi/")</f>
        <v>https://talouskurssi.fi/</v>
      </c>
      <c r="S133" s="90" t="s">
        <v>334</v>
      </c>
      <c r="T133" s="99" t="s">
        <v>338</v>
      </c>
      <c r="U133" s="96" t="str">
        <f>HYPERLINK("https://pbs.twimg.com/ext_tw_video_thumb/1448527896562348036/pu/img/0PqSbNMaXHvzKHCc.jpg")</f>
        <v>https://pbs.twimg.com/ext_tw_video_thumb/1448527896562348036/pu/img/0PqSbNMaXHvzKHCc.jpg</v>
      </c>
      <c r="V133" s="96" t="str">
        <f>HYPERLINK("https://pbs.twimg.com/ext_tw_video_thumb/1448527896562348036/pu/img/0PqSbNMaXHvzKHCc.jpg")</f>
        <v>https://pbs.twimg.com/ext_tw_video_thumb/1448527896562348036/pu/img/0PqSbNMaXHvzKHCc.jpg</v>
      </c>
      <c r="W133" s="93">
        <v>44483.42616898148</v>
      </c>
      <c r="X133" s="102">
        <v>44483</v>
      </c>
      <c r="Y133" s="99" t="s">
        <v>386</v>
      </c>
      <c r="Z133" s="96" t="str">
        <f>HYPERLINK("https://twitter.com/mikakorte/status/1448592839873531907")</f>
        <v>https://twitter.com/mikakorte/status/1448592839873531907</v>
      </c>
      <c r="AA133" s="90"/>
      <c r="AB133" s="90"/>
      <c r="AC133" s="99" t="s">
        <v>480</v>
      </c>
      <c r="AD133" s="90"/>
      <c r="AE133" s="90" t="b">
        <v>0</v>
      </c>
      <c r="AF133" s="90">
        <v>0</v>
      </c>
      <c r="AG133" s="99" t="s">
        <v>535</v>
      </c>
      <c r="AH133" s="90" t="b">
        <v>0</v>
      </c>
      <c r="AI133" s="90" t="s">
        <v>537</v>
      </c>
      <c r="AJ133" s="90"/>
      <c r="AK133" s="99" t="s">
        <v>535</v>
      </c>
      <c r="AL133" s="90" t="b">
        <v>0</v>
      </c>
      <c r="AM133" s="90">
        <v>52</v>
      </c>
      <c r="AN133" s="99" t="s">
        <v>526</v>
      </c>
      <c r="AO133" s="99" t="s">
        <v>543</v>
      </c>
      <c r="AP133" s="90" t="b">
        <v>0</v>
      </c>
      <c r="AQ133" s="99" t="s">
        <v>526</v>
      </c>
      <c r="AR133" s="90" t="s">
        <v>187</v>
      </c>
      <c r="AS133" s="90">
        <v>0</v>
      </c>
      <c r="AT133" s="90">
        <v>0</v>
      </c>
      <c r="AU133" s="90"/>
      <c r="AV133" s="90"/>
      <c r="AW133" s="90"/>
      <c r="AX133" s="90"/>
      <c r="AY133" s="90"/>
      <c r="AZ133" s="90"/>
      <c r="BA133" s="90"/>
      <c r="BB133" s="90"/>
      <c r="BC133" s="90">
        <v>1</v>
      </c>
      <c r="BD133" s="89" t="str">
        <f>REPLACE(INDEX(GroupVertices[Group],MATCH(Edges[[#This Row],[Vertex 1]],GroupVertices[Vertex],0)),1,1,"")</f>
        <v>1</v>
      </c>
      <c r="BE133" s="89" t="str">
        <f>REPLACE(INDEX(GroupVertices[Group],MATCH(Edges[[#This Row],[Vertex 2]],GroupVertices[Vertex],0)),1,1,"")</f>
        <v>1</v>
      </c>
      <c r="BF133" s="49"/>
      <c r="BG133" s="50"/>
      <c r="BH133" s="49"/>
      <c r="BI133" s="50"/>
      <c r="BJ133" s="49"/>
      <c r="BK133" s="50"/>
      <c r="BL133" s="49"/>
      <c r="BM133" s="50"/>
      <c r="BN133" s="49"/>
    </row>
    <row r="134" spans="1:66" ht="15">
      <c r="A134" s="66" t="s">
        <v>264</v>
      </c>
      <c r="B134" s="66" t="s">
        <v>293</v>
      </c>
      <c r="C134" s="67" t="s">
        <v>2108</v>
      </c>
      <c r="D134" s="68">
        <v>1</v>
      </c>
      <c r="E134" s="69" t="s">
        <v>132</v>
      </c>
      <c r="F134" s="70">
        <v>32</v>
      </c>
      <c r="G134" s="67" t="s">
        <v>51</v>
      </c>
      <c r="H134" s="71"/>
      <c r="I134" s="72"/>
      <c r="J134" s="72"/>
      <c r="K134" s="35" t="s">
        <v>65</v>
      </c>
      <c r="L134" s="79">
        <v>134</v>
      </c>
      <c r="M134" s="79"/>
      <c r="N134" s="74"/>
      <c r="O134" s="90" t="s">
        <v>305</v>
      </c>
      <c r="P134" s="93">
        <v>44483.42616898148</v>
      </c>
      <c r="Q134" s="90" t="s">
        <v>310</v>
      </c>
      <c r="R134" s="96" t="str">
        <f>HYPERLINK("https://talouskurssi.fi/")</f>
        <v>https://talouskurssi.fi/</v>
      </c>
      <c r="S134" s="90" t="s">
        <v>334</v>
      </c>
      <c r="T134" s="99" t="s">
        <v>338</v>
      </c>
      <c r="U134" s="96" t="str">
        <f>HYPERLINK("https://pbs.twimg.com/ext_tw_video_thumb/1448527896562348036/pu/img/0PqSbNMaXHvzKHCc.jpg")</f>
        <v>https://pbs.twimg.com/ext_tw_video_thumb/1448527896562348036/pu/img/0PqSbNMaXHvzKHCc.jpg</v>
      </c>
      <c r="V134" s="96" t="str">
        <f>HYPERLINK("https://pbs.twimg.com/ext_tw_video_thumb/1448527896562348036/pu/img/0PqSbNMaXHvzKHCc.jpg")</f>
        <v>https://pbs.twimg.com/ext_tw_video_thumb/1448527896562348036/pu/img/0PqSbNMaXHvzKHCc.jpg</v>
      </c>
      <c r="W134" s="93">
        <v>44483.42616898148</v>
      </c>
      <c r="X134" s="102">
        <v>44483</v>
      </c>
      <c r="Y134" s="99" t="s">
        <v>386</v>
      </c>
      <c r="Z134" s="96" t="str">
        <f>HYPERLINK("https://twitter.com/mikakorte/status/1448592839873531907")</f>
        <v>https://twitter.com/mikakorte/status/1448592839873531907</v>
      </c>
      <c r="AA134" s="90"/>
      <c r="AB134" s="90"/>
      <c r="AC134" s="99" t="s">
        <v>480</v>
      </c>
      <c r="AD134" s="90"/>
      <c r="AE134" s="90" t="b">
        <v>0</v>
      </c>
      <c r="AF134" s="90">
        <v>0</v>
      </c>
      <c r="AG134" s="99" t="s">
        <v>535</v>
      </c>
      <c r="AH134" s="90" t="b">
        <v>0</v>
      </c>
      <c r="AI134" s="90" t="s">
        <v>537</v>
      </c>
      <c r="AJ134" s="90"/>
      <c r="AK134" s="99" t="s">
        <v>535</v>
      </c>
      <c r="AL134" s="90" t="b">
        <v>0</v>
      </c>
      <c r="AM134" s="90">
        <v>52</v>
      </c>
      <c r="AN134" s="99" t="s">
        <v>526</v>
      </c>
      <c r="AO134" s="99" t="s">
        <v>543</v>
      </c>
      <c r="AP134" s="90" t="b">
        <v>0</v>
      </c>
      <c r="AQ134" s="99" t="s">
        <v>526</v>
      </c>
      <c r="AR134" s="90" t="s">
        <v>187</v>
      </c>
      <c r="AS134" s="90">
        <v>0</v>
      </c>
      <c r="AT134" s="90">
        <v>0</v>
      </c>
      <c r="AU134" s="90"/>
      <c r="AV134" s="90"/>
      <c r="AW134" s="90"/>
      <c r="AX134" s="90"/>
      <c r="AY134" s="90"/>
      <c r="AZ134" s="90"/>
      <c r="BA134" s="90"/>
      <c r="BB134" s="90"/>
      <c r="BC134" s="90">
        <v>1</v>
      </c>
      <c r="BD134" s="89" t="str">
        <f>REPLACE(INDEX(GroupVertices[Group],MATCH(Edges[[#This Row],[Vertex 1]],GroupVertices[Vertex],0)),1,1,"")</f>
        <v>1</v>
      </c>
      <c r="BE134" s="89" t="str">
        <f>REPLACE(INDEX(GroupVertices[Group],MATCH(Edges[[#This Row],[Vertex 2]],GroupVertices[Vertex],0)),1,1,"")</f>
        <v>3</v>
      </c>
      <c r="BF134" s="49">
        <v>0</v>
      </c>
      <c r="BG134" s="50">
        <v>0</v>
      </c>
      <c r="BH134" s="49">
        <v>0</v>
      </c>
      <c r="BI134" s="50">
        <v>0</v>
      </c>
      <c r="BJ134" s="49">
        <v>0</v>
      </c>
      <c r="BK134" s="50">
        <v>0</v>
      </c>
      <c r="BL134" s="49">
        <v>28</v>
      </c>
      <c r="BM134" s="50">
        <v>100</v>
      </c>
      <c r="BN134" s="49">
        <v>28</v>
      </c>
    </row>
    <row r="135" spans="1:66" ht="15">
      <c r="A135" s="66" t="s">
        <v>265</v>
      </c>
      <c r="B135" s="66" t="s">
        <v>299</v>
      </c>
      <c r="C135" s="67" t="s">
        <v>2108</v>
      </c>
      <c r="D135" s="68">
        <v>1</v>
      </c>
      <c r="E135" s="69" t="s">
        <v>132</v>
      </c>
      <c r="F135" s="70">
        <v>32</v>
      </c>
      <c r="G135" s="67" t="s">
        <v>51</v>
      </c>
      <c r="H135" s="71"/>
      <c r="I135" s="72"/>
      <c r="J135" s="72"/>
      <c r="K135" s="35" t="s">
        <v>65</v>
      </c>
      <c r="L135" s="79">
        <v>135</v>
      </c>
      <c r="M135" s="79"/>
      <c r="N135" s="74"/>
      <c r="O135" s="90" t="s">
        <v>306</v>
      </c>
      <c r="P135" s="93">
        <v>44483.42842592593</v>
      </c>
      <c r="Q135" s="90" t="s">
        <v>318</v>
      </c>
      <c r="R135" s="96" t="str">
        <f>HYPERLINK("https://twitter.com/HelsinkiGSE/status/1448530102837514240")</f>
        <v>https://twitter.com/HelsinkiGSE/status/1448530102837514240</v>
      </c>
      <c r="S135" s="90" t="s">
        <v>333</v>
      </c>
      <c r="T135" s="99" t="s">
        <v>341</v>
      </c>
      <c r="U135" s="90"/>
      <c r="V135" s="96" t="str">
        <f>HYPERLINK("https://pbs.twimg.com/profile_images/1404408541574832132/Sin2omv1_normal.jpg")</f>
        <v>https://pbs.twimg.com/profile_images/1404408541574832132/Sin2omv1_normal.jpg</v>
      </c>
      <c r="W135" s="93">
        <v>44483.42842592593</v>
      </c>
      <c r="X135" s="102">
        <v>44483</v>
      </c>
      <c r="Y135" s="99" t="s">
        <v>387</v>
      </c>
      <c r="Z135" s="96" t="str">
        <f>HYPERLINK("https://twitter.com/korhonenmla/status/1448593659440545797")</f>
        <v>https://twitter.com/korhonenmla/status/1448593659440545797</v>
      </c>
      <c r="AA135" s="90"/>
      <c r="AB135" s="90"/>
      <c r="AC135" s="99" t="s">
        <v>481</v>
      </c>
      <c r="AD135" s="90"/>
      <c r="AE135" s="90" t="b">
        <v>0</v>
      </c>
      <c r="AF135" s="90">
        <v>0</v>
      </c>
      <c r="AG135" s="99" t="s">
        <v>535</v>
      </c>
      <c r="AH135" s="90" t="b">
        <v>1</v>
      </c>
      <c r="AI135" s="90" t="s">
        <v>537</v>
      </c>
      <c r="AJ135" s="90"/>
      <c r="AK135" s="99" t="s">
        <v>526</v>
      </c>
      <c r="AL135" s="90" t="b">
        <v>0</v>
      </c>
      <c r="AM135" s="90">
        <v>3</v>
      </c>
      <c r="AN135" s="99" t="s">
        <v>491</v>
      </c>
      <c r="AO135" s="99" t="s">
        <v>542</v>
      </c>
      <c r="AP135" s="90" t="b">
        <v>0</v>
      </c>
      <c r="AQ135" s="99" t="s">
        <v>491</v>
      </c>
      <c r="AR135" s="90" t="s">
        <v>187</v>
      </c>
      <c r="AS135" s="90">
        <v>0</v>
      </c>
      <c r="AT135" s="90">
        <v>0</v>
      </c>
      <c r="AU135" s="90"/>
      <c r="AV135" s="90"/>
      <c r="AW135" s="90"/>
      <c r="AX135" s="90"/>
      <c r="AY135" s="90"/>
      <c r="AZ135" s="90"/>
      <c r="BA135" s="90"/>
      <c r="BB135" s="90"/>
      <c r="BC135" s="90">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6" t="s">
        <v>265</v>
      </c>
      <c r="B136" s="66" t="s">
        <v>302</v>
      </c>
      <c r="C136" s="67" t="s">
        <v>2108</v>
      </c>
      <c r="D136" s="68">
        <v>1</v>
      </c>
      <c r="E136" s="69" t="s">
        <v>132</v>
      </c>
      <c r="F136" s="70">
        <v>32</v>
      </c>
      <c r="G136" s="67" t="s">
        <v>51</v>
      </c>
      <c r="H136" s="71"/>
      <c r="I136" s="72"/>
      <c r="J136" s="72"/>
      <c r="K136" s="35" t="s">
        <v>65</v>
      </c>
      <c r="L136" s="79">
        <v>136</v>
      </c>
      <c r="M136" s="79"/>
      <c r="N136" s="74"/>
      <c r="O136" s="90" t="s">
        <v>306</v>
      </c>
      <c r="P136" s="93">
        <v>44483.42842592593</v>
      </c>
      <c r="Q136" s="90" t="s">
        <v>318</v>
      </c>
      <c r="R136" s="96" t="str">
        <f>HYPERLINK("https://twitter.com/HelsinkiGSE/status/1448530102837514240")</f>
        <v>https://twitter.com/HelsinkiGSE/status/1448530102837514240</v>
      </c>
      <c r="S136" s="90" t="s">
        <v>333</v>
      </c>
      <c r="T136" s="99" t="s">
        <v>341</v>
      </c>
      <c r="U136" s="90"/>
      <c r="V136" s="96" t="str">
        <f>HYPERLINK("https://pbs.twimg.com/profile_images/1404408541574832132/Sin2omv1_normal.jpg")</f>
        <v>https://pbs.twimg.com/profile_images/1404408541574832132/Sin2omv1_normal.jpg</v>
      </c>
      <c r="W136" s="93">
        <v>44483.42842592593</v>
      </c>
      <c r="X136" s="102">
        <v>44483</v>
      </c>
      <c r="Y136" s="99" t="s">
        <v>387</v>
      </c>
      <c r="Z136" s="96" t="str">
        <f>HYPERLINK("https://twitter.com/korhonenmla/status/1448593659440545797")</f>
        <v>https://twitter.com/korhonenmla/status/1448593659440545797</v>
      </c>
      <c r="AA136" s="90"/>
      <c r="AB136" s="90"/>
      <c r="AC136" s="99" t="s">
        <v>481</v>
      </c>
      <c r="AD136" s="90"/>
      <c r="AE136" s="90" t="b">
        <v>0</v>
      </c>
      <c r="AF136" s="90">
        <v>0</v>
      </c>
      <c r="AG136" s="99" t="s">
        <v>535</v>
      </c>
      <c r="AH136" s="90" t="b">
        <v>1</v>
      </c>
      <c r="AI136" s="90" t="s">
        <v>537</v>
      </c>
      <c r="AJ136" s="90"/>
      <c r="AK136" s="99" t="s">
        <v>526</v>
      </c>
      <c r="AL136" s="90" t="b">
        <v>0</v>
      </c>
      <c r="AM136" s="90">
        <v>3</v>
      </c>
      <c r="AN136" s="99" t="s">
        <v>491</v>
      </c>
      <c r="AO136" s="99" t="s">
        <v>542</v>
      </c>
      <c r="AP136" s="90" t="b">
        <v>0</v>
      </c>
      <c r="AQ136" s="99" t="s">
        <v>491</v>
      </c>
      <c r="AR136" s="90" t="s">
        <v>187</v>
      </c>
      <c r="AS136" s="90">
        <v>0</v>
      </c>
      <c r="AT136" s="90">
        <v>0</v>
      </c>
      <c r="AU136" s="90"/>
      <c r="AV136" s="90"/>
      <c r="AW136" s="90"/>
      <c r="AX136" s="90"/>
      <c r="AY136" s="90"/>
      <c r="AZ136" s="90"/>
      <c r="BA136" s="90"/>
      <c r="BB136" s="90"/>
      <c r="BC136" s="90">
        <v>1</v>
      </c>
      <c r="BD136" s="89" t="str">
        <f>REPLACE(INDEX(GroupVertices[Group],MATCH(Edges[[#This Row],[Vertex 1]],GroupVertices[Vertex],0)),1,1,"")</f>
        <v>1</v>
      </c>
      <c r="BE136" s="89" t="str">
        <f>REPLACE(INDEX(GroupVertices[Group],MATCH(Edges[[#This Row],[Vertex 2]],GroupVertices[Vertex],0)),1,1,"")</f>
        <v>1</v>
      </c>
      <c r="BF136" s="49"/>
      <c r="BG136" s="50"/>
      <c r="BH136" s="49"/>
      <c r="BI136" s="50"/>
      <c r="BJ136" s="49"/>
      <c r="BK136" s="50"/>
      <c r="BL136" s="49"/>
      <c r="BM136" s="50"/>
      <c r="BN136" s="49"/>
    </row>
    <row r="137" spans="1:66" ht="15">
      <c r="A137" s="66" t="s">
        <v>265</v>
      </c>
      <c r="B137" s="66" t="s">
        <v>274</v>
      </c>
      <c r="C137" s="67" t="s">
        <v>2108</v>
      </c>
      <c r="D137" s="68">
        <v>1</v>
      </c>
      <c r="E137" s="69" t="s">
        <v>132</v>
      </c>
      <c r="F137" s="70">
        <v>32</v>
      </c>
      <c r="G137" s="67" t="s">
        <v>51</v>
      </c>
      <c r="H137" s="71"/>
      <c r="I137" s="72"/>
      <c r="J137" s="72"/>
      <c r="K137" s="35" t="s">
        <v>65</v>
      </c>
      <c r="L137" s="79">
        <v>137</v>
      </c>
      <c r="M137" s="79"/>
      <c r="N137" s="74"/>
      <c r="O137" s="90" t="s">
        <v>305</v>
      </c>
      <c r="P137" s="93">
        <v>44483.42842592593</v>
      </c>
      <c r="Q137" s="90" t="s">
        <v>318</v>
      </c>
      <c r="R137" s="96" t="str">
        <f>HYPERLINK("https://twitter.com/HelsinkiGSE/status/1448530102837514240")</f>
        <v>https://twitter.com/HelsinkiGSE/status/1448530102837514240</v>
      </c>
      <c r="S137" s="90" t="s">
        <v>333</v>
      </c>
      <c r="T137" s="99" t="s">
        <v>341</v>
      </c>
      <c r="U137" s="90"/>
      <c r="V137" s="96" t="str">
        <f>HYPERLINK("https://pbs.twimg.com/profile_images/1404408541574832132/Sin2omv1_normal.jpg")</f>
        <v>https://pbs.twimg.com/profile_images/1404408541574832132/Sin2omv1_normal.jpg</v>
      </c>
      <c r="W137" s="93">
        <v>44483.42842592593</v>
      </c>
      <c r="X137" s="102">
        <v>44483</v>
      </c>
      <c r="Y137" s="99" t="s">
        <v>387</v>
      </c>
      <c r="Z137" s="96" t="str">
        <f>HYPERLINK("https://twitter.com/korhonenmla/status/1448593659440545797")</f>
        <v>https://twitter.com/korhonenmla/status/1448593659440545797</v>
      </c>
      <c r="AA137" s="90"/>
      <c r="AB137" s="90"/>
      <c r="AC137" s="99" t="s">
        <v>481</v>
      </c>
      <c r="AD137" s="90"/>
      <c r="AE137" s="90" t="b">
        <v>0</v>
      </c>
      <c r="AF137" s="90">
        <v>0</v>
      </c>
      <c r="AG137" s="99" t="s">
        <v>535</v>
      </c>
      <c r="AH137" s="90" t="b">
        <v>1</v>
      </c>
      <c r="AI137" s="90" t="s">
        <v>537</v>
      </c>
      <c r="AJ137" s="90"/>
      <c r="AK137" s="99" t="s">
        <v>526</v>
      </c>
      <c r="AL137" s="90" t="b">
        <v>0</v>
      </c>
      <c r="AM137" s="90">
        <v>3</v>
      </c>
      <c r="AN137" s="99" t="s">
        <v>491</v>
      </c>
      <c r="AO137" s="99" t="s">
        <v>542</v>
      </c>
      <c r="AP137" s="90" t="b">
        <v>0</v>
      </c>
      <c r="AQ137" s="99" t="s">
        <v>491</v>
      </c>
      <c r="AR137" s="90" t="s">
        <v>187</v>
      </c>
      <c r="AS137" s="90">
        <v>0</v>
      </c>
      <c r="AT137" s="90">
        <v>0</v>
      </c>
      <c r="AU137" s="90"/>
      <c r="AV137" s="90"/>
      <c r="AW137" s="90"/>
      <c r="AX137" s="90"/>
      <c r="AY137" s="90"/>
      <c r="AZ137" s="90"/>
      <c r="BA137" s="90"/>
      <c r="BB137" s="90"/>
      <c r="BC137" s="90">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28</v>
      </c>
      <c r="BM137" s="50">
        <v>100</v>
      </c>
      <c r="BN137" s="49">
        <v>28</v>
      </c>
    </row>
    <row r="138" spans="1:66" ht="15">
      <c r="A138" s="66" t="s">
        <v>266</v>
      </c>
      <c r="B138" s="66" t="s">
        <v>299</v>
      </c>
      <c r="C138" s="67" t="s">
        <v>2108</v>
      </c>
      <c r="D138" s="68">
        <v>1</v>
      </c>
      <c r="E138" s="69" t="s">
        <v>132</v>
      </c>
      <c r="F138" s="70">
        <v>32</v>
      </c>
      <c r="G138" s="67" t="s">
        <v>51</v>
      </c>
      <c r="H138" s="71"/>
      <c r="I138" s="72"/>
      <c r="J138" s="72"/>
      <c r="K138" s="35" t="s">
        <v>65</v>
      </c>
      <c r="L138" s="79">
        <v>138</v>
      </c>
      <c r="M138" s="79"/>
      <c r="N138" s="74"/>
      <c r="O138" s="90" t="s">
        <v>306</v>
      </c>
      <c r="P138" s="93">
        <v>44483.43565972222</v>
      </c>
      <c r="Q138" s="90" t="s">
        <v>310</v>
      </c>
      <c r="R138" s="96" t="str">
        <f>HYPERLINK("https://talouskurssi.fi/")</f>
        <v>https://talouskurssi.fi/</v>
      </c>
      <c r="S138" s="90" t="s">
        <v>334</v>
      </c>
      <c r="T138" s="99" t="s">
        <v>338</v>
      </c>
      <c r="U138" s="96" t="str">
        <f>HYPERLINK("https://pbs.twimg.com/ext_tw_video_thumb/1448527896562348036/pu/img/0PqSbNMaXHvzKHCc.jpg")</f>
        <v>https://pbs.twimg.com/ext_tw_video_thumb/1448527896562348036/pu/img/0PqSbNMaXHvzKHCc.jpg</v>
      </c>
      <c r="V138" s="96" t="str">
        <f>HYPERLINK("https://pbs.twimg.com/ext_tw_video_thumb/1448527896562348036/pu/img/0PqSbNMaXHvzKHCc.jpg")</f>
        <v>https://pbs.twimg.com/ext_tw_video_thumb/1448527896562348036/pu/img/0PqSbNMaXHvzKHCc.jpg</v>
      </c>
      <c r="W138" s="93">
        <v>44483.43565972222</v>
      </c>
      <c r="X138" s="102">
        <v>44483</v>
      </c>
      <c r="Y138" s="99" t="s">
        <v>388</v>
      </c>
      <c r="Z138" s="96" t="str">
        <f>HYPERLINK("https://twitter.com/iivoi/status/1448596278754091011")</f>
        <v>https://twitter.com/iivoi/status/1448596278754091011</v>
      </c>
      <c r="AA138" s="90"/>
      <c r="AB138" s="90"/>
      <c r="AC138" s="99" t="s">
        <v>482</v>
      </c>
      <c r="AD138" s="90"/>
      <c r="AE138" s="90" t="b">
        <v>0</v>
      </c>
      <c r="AF138" s="90">
        <v>0</v>
      </c>
      <c r="AG138" s="99" t="s">
        <v>535</v>
      </c>
      <c r="AH138" s="90" t="b">
        <v>0</v>
      </c>
      <c r="AI138" s="90" t="s">
        <v>537</v>
      </c>
      <c r="AJ138" s="90"/>
      <c r="AK138" s="99" t="s">
        <v>535</v>
      </c>
      <c r="AL138" s="90" t="b">
        <v>0</v>
      </c>
      <c r="AM138" s="90">
        <v>52</v>
      </c>
      <c r="AN138" s="99" t="s">
        <v>526</v>
      </c>
      <c r="AO138" s="99" t="s">
        <v>542</v>
      </c>
      <c r="AP138" s="90" t="b">
        <v>0</v>
      </c>
      <c r="AQ138" s="99" t="s">
        <v>526</v>
      </c>
      <c r="AR138" s="90" t="s">
        <v>187</v>
      </c>
      <c r="AS138" s="90">
        <v>0</v>
      </c>
      <c r="AT138" s="90">
        <v>0</v>
      </c>
      <c r="AU138" s="90"/>
      <c r="AV138" s="90"/>
      <c r="AW138" s="90"/>
      <c r="AX138" s="90"/>
      <c r="AY138" s="90"/>
      <c r="AZ138" s="90"/>
      <c r="BA138" s="90"/>
      <c r="BB138" s="90"/>
      <c r="BC138" s="90">
        <v>1</v>
      </c>
      <c r="BD138" s="89" t="str">
        <f>REPLACE(INDEX(GroupVertices[Group],MATCH(Edges[[#This Row],[Vertex 1]],GroupVertices[Vertex],0)),1,1,"")</f>
        <v>1</v>
      </c>
      <c r="BE138" s="89" t="str">
        <f>REPLACE(INDEX(GroupVertices[Group],MATCH(Edges[[#This Row],[Vertex 2]],GroupVertices[Vertex],0)),1,1,"")</f>
        <v>1</v>
      </c>
      <c r="BF138" s="49"/>
      <c r="BG138" s="50"/>
      <c r="BH138" s="49"/>
      <c r="BI138" s="50"/>
      <c r="BJ138" s="49"/>
      <c r="BK138" s="50"/>
      <c r="BL138" s="49"/>
      <c r="BM138" s="50"/>
      <c r="BN138" s="49"/>
    </row>
    <row r="139" spans="1:66" ht="15">
      <c r="A139" s="66" t="s">
        <v>266</v>
      </c>
      <c r="B139" s="66" t="s">
        <v>302</v>
      </c>
      <c r="C139" s="67" t="s">
        <v>2108</v>
      </c>
      <c r="D139" s="68">
        <v>1</v>
      </c>
      <c r="E139" s="69" t="s">
        <v>132</v>
      </c>
      <c r="F139" s="70">
        <v>32</v>
      </c>
      <c r="G139" s="67" t="s">
        <v>51</v>
      </c>
      <c r="H139" s="71"/>
      <c r="I139" s="72"/>
      <c r="J139" s="72"/>
      <c r="K139" s="35" t="s">
        <v>65</v>
      </c>
      <c r="L139" s="79">
        <v>139</v>
      </c>
      <c r="M139" s="79"/>
      <c r="N139" s="74"/>
      <c r="O139" s="90" t="s">
        <v>306</v>
      </c>
      <c r="P139" s="93">
        <v>44483.43565972222</v>
      </c>
      <c r="Q139" s="90" t="s">
        <v>310</v>
      </c>
      <c r="R139" s="96" t="str">
        <f>HYPERLINK("https://talouskurssi.fi/")</f>
        <v>https://talouskurssi.fi/</v>
      </c>
      <c r="S139" s="90" t="s">
        <v>334</v>
      </c>
      <c r="T139" s="99" t="s">
        <v>338</v>
      </c>
      <c r="U139" s="96" t="str">
        <f>HYPERLINK("https://pbs.twimg.com/ext_tw_video_thumb/1448527896562348036/pu/img/0PqSbNMaXHvzKHCc.jpg")</f>
        <v>https://pbs.twimg.com/ext_tw_video_thumb/1448527896562348036/pu/img/0PqSbNMaXHvzKHCc.jpg</v>
      </c>
      <c r="V139" s="96" t="str">
        <f>HYPERLINK("https://pbs.twimg.com/ext_tw_video_thumb/1448527896562348036/pu/img/0PqSbNMaXHvzKHCc.jpg")</f>
        <v>https://pbs.twimg.com/ext_tw_video_thumb/1448527896562348036/pu/img/0PqSbNMaXHvzKHCc.jpg</v>
      </c>
      <c r="W139" s="93">
        <v>44483.43565972222</v>
      </c>
      <c r="X139" s="102">
        <v>44483</v>
      </c>
      <c r="Y139" s="99" t="s">
        <v>388</v>
      </c>
      <c r="Z139" s="96" t="str">
        <f>HYPERLINK("https://twitter.com/iivoi/status/1448596278754091011")</f>
        <v>https://twitter.com/iivoi/status/1448596278754091011</v>
      </c>
      <c r="AA139" s="90"/>
      <c r="AB139" s="90"/>
      <c r="AC139" s="99" t="s">
        <v>482</v>
      </c>
      <c r="AD139" s="90"/>
      <c r="AE139" s="90" t="b">
        <v>0</v>
      </c>
      <c r="AF139" s="90">
        <v>0</v>
      </c>
      <c r="AG139" s="99" t="s">
        <v>535</v>
      </c>
      <c r="AH139" s="90" t="b">
        <v>0</v>
      </c>
      <c r="AI139" s="90" t="s">
        <v>537</v>
      </c>
      <c r="AJ139" s="90"/>
      <c r="AK139" s="99" t="s">
        <v>535</v>
      </c>
      <c r="AL139" s="90" t="b">
        <v>0</v>
      </c>
      <c r="AM139" s="90">
        <v>52</v>
      </c>
      <c r="AN139" s="99" t="s">
        <v>526</v>
      </c>
      <c r="AO139" s="99" t="s">
        <v>542</v>
      </c>
      <c r="AP139" s="90" t="b">
        <v>0</v>
      </c>
      <c r="AQ139" s="99" t="s">
        <v>526</v>
      </c>
      <c r="AR139" s="90" t="s">
        <v>187</v>
      </c>
      <c r="AS139" s="90">
        <v>0</v>
      </c>
      <c r="AT139" s="90">
        <v>0</v>
      </c>
      <c r="AU139" s="90"/>
      <c r="AV139" s="90"/>
      <c r="AW139" s="90"/>
      <c r="AX139" s="90"/>
      <c r="AY139" s="90"/>
      <c r="AZ139" s="90"/>
      <c r="BA139" s="90"/>
      <c r="BB139" s="90"/>
      <c r="BC139" s="90">
        <v>1</v>
      </c>
      <c r="BD139" s="89" t="str">
        <f>REPLACE(INDEX(GroupVertices[Group],MATCH(Edges[[#This Row],[Vertex 1]],GroupVertices[Vertex],0)),1,1,"")</f>
        <v>1</v>
      </c>
      <c r="BE139" s="89" t="str">
        <f>REPLACE(INDEX(GroupVertices[Group],MATCH(Edges[[#This Row],[Vertex 2]],GroupVertices[Vertex],0)),1,1,"")</f>
        <v>1</v>
      </c>
      <c r="BF139" s="49"/>
      <c r="BG139" s="50"/>
      <c r="BH139" s="49"/>
      <c r="BI139" s="50"/>
      <c r="BJ139" s="49"/>
      <c r="BK139" s="50"/>
      <c r="BL139" s="49"/>
      <c r="BM139" s="50"/>
      <c r="BN139" s="49"/>
    </row>
    <row r="140" spans="1:66" ht="15">
      <c r="A140" s="66" t="s">
        <v>266</v>
      </c>
      <c r="B140" s="66" t="s">
        <v>293</v>
      </c>
      <c r="C140" s="67" t="s">
        <v>2108</v>
      </c>
      <c r="D140" s="68">
        <v>1</v>
      </c>
      <c r="E140" s="69" t="s">
        <v>132</v>
      </c>
      <c r="F140" s="70">
        <v>32</v>
      </c>
      <c r="G140" s="67" t="s">
        <v>51</v>
      </c>
      <c r="H140" s="71"/>
      <c r="I140" s="72"/>
      <c r="J140" s="72"/>
      <c r="K140" s="35" t="s">
        <v>65</v>
      </c>
      <c r="L140" s="79">
        <v>140</v>
      </c>
      <c r="M140" s="79"/>
      <c r="N140" s="74"/>
      <c r="O140" s="90" t="s">
        <v>305</v>
      </c>
      <c r="P140" s="93">
        <v>44483.43565972222</v>
      </c>
      <c r="Q140" s="90" t="s">
        <v>310</v>
      </c>
      <c r="R140" s="96" t="str">
        <f>HYPERLINK("https://talouskurssi.fi/")</f>
        <v>https://talouskurssi.fi/</v>
      </c>
      <c r="S140" s="90" t="s">
        <v>334</v>
      </c>
      <c r="T140" s="99" t="s">
        <v>338</v>
      </c>
      <c r="U140" s="96" t="str">
        <f>HYPERLINK("https://pbs.twimg.com/ext_tw_video_thumb/1448527896562348036/pu/img/0PqSbNMaXHvzKHCc.jpg")</f>
        <v>https://pbs.twimg.com/ext_tw_video_thumb/1448527896562348036/pu/img/0PqSbNMaXHvzKHCc.jpg</v>
      </c>
      <c r="V140" s="96" t="str">
        <f>HYPERLINK("https://pbs.twimg.com/ext_tw_video_thumb/1448527896562348036/pu/img/0PqSbNMaXHvzKHCc.jpg")</f>
        <v>https://pbs.twimg.com/ext_tw_video_thumb/1448527896562348036/pu/img/0PqSbNMaXHvzKHCc.jpg</v>
      </c>
      <c r="W140" s="93">
        <v>44483.43565972222</v>
      </c>
      <c r="X140" s="102">
        <v>44483</v>
      </c>
      <c r="Y140" s="99" t="s">
        <v>388</v>
      </c>
      <c r="Z140" s="96" t="str">
        <f>HYPERLINK("https://twitter.com/iivoi/status/1448596278754091011")</f>
        <v>https://twitter.com/iivoi/status/1448596278754091011</v>
      </c>
      <c r="AA140" s="90"/>
      <c r="AB140" s="90"/>
      <c r="AC140" s="99" t="s">
        <v>482</v>
      </c>
      <c r="AD140" s="90"/>
      <c r="AE140" s="90" t="b">
        <v>0</v>
      </c>
      <c r="AF140" s="90">
        <v>0</v>
      </c>
      <c r="AG140" s="99" t="s">
        <v>535</v>
      </c>
      <c r="AH140" s="90" t="b">
        <v>0</v>
      </c>
      <c r="AI140" s="90" t="s">
        <v>537</v>
      </c>
      <c r="AJ140" s="90"/>
      <c r="AK140" s="99" t="s">
        <v>535</v>
      </c>
      <c r="AL140" s="90" t="b">
        <v>0</v>
      </c>
      <c r="AM140" s="90">
        <v>52</v>
      </c>
      <c r="AN140" s="99" t="s">
        <v>526</v>
      </c>
      <c r="AO140" s="99" t="s">
        <v>542</v>
      </c>
      <c r="AP140" s="90" t="b">
        <v>0</v>
      </c>
      <c r="AQ140" s="99" t="s">
        <v>526</v>
      </c>
      <c r="AR140" s="90" t="s">
        <v>187</v>
      </c>
      <c r="AS140" s="90">
        <v>0</v>
      </c>
      <c r="AT140" s="90">
        <v>0</v>
      </c>
      <c r="AU140" s="90"/>
      <c r="AV140" s="90"/>
      <c r="AW140" s="90"/>
      <c r="AX140" s="90"/>
      <c r="AY140" s="90"/>
      <c r="AZ140" s="90"/>
      <c r="BA140" s="90"/>
      <c r="BB140" s="90"/>
      <c r="BC140" s="90">
        <v>1</v>
      </c>
      <c r="BD140" s="89" t="str">
        <f>REPLACE(INDEX(GroupVertices[Group],MATCH(Edges[[#This Row],[Vertex 1]],GroupVertices[Vertex],0)),1,1,"")</f>
        <v>1</v>
      </c>
      <c r="BE140" s="89" t="str">
        <f>REPLACE(INDEX(GroupVertices[Group],MATCH(Edges[[#This Row],[Vertex 2]],GroupVertices[Vertex],0)),1,1,"")</f>
        <v>3</v>
      </c>
      <c r="BF140" s="49">
        <v>0</v>
      </c>
      <c r="BG140" s="50">
        <v>0</v>
      </c>
      <c r="BH140" s="49">
        <v>0</v>
      </c>
      <c r="BI140" s="50">
        <v>0</v>
      </c>
      <c r="BJ140" s="49">
        <v>0</v>
      </c>
      <c r="BK140" s="50">
        <v>0</v>
      </c>
      <c r="BL140" s="49">
        <v>28</v>
      </c>
      <c r="BM140" s="50">
        <v>100</v>
      </c>
      <c r="BN140" s="49">
        <v>28</v>
      </c>
    </row>
    <row r="141" spans="1:66" ht="15">
      <c r="A141" s="66" t="s">
        <v>2120</v>
      </c>
      <c r="B141" s="66" t="s">
        <v>295</v>
      </c>
      <c r="C141" s="67" t="s">
        <v>2108</v>
      </c>
      <c r="D141" s="68">
        <v>1</v>
      </c>
      <c r="E141" s="69" t="s">
        <v>132</v>
      </c>
      <c r="F141" s="70">
        <v>32</v>
      </c>
      <c r="G141" s="67" t="s">
        <v>51</v>
      </c>
      <c r="H141" s="71"/>
      <c r="I141" s="72"/>
      <c r="J141" s="72"/>
      <c r="K141" s="35" t="s">
        <v>65</v>
      </c>
      <c r="L141" s="79">
        <v>141</v>
      </c>
      <c r="M141" s="79"/>
      <c r="N141" s="74"/>
      <c r="O141" s="90" t="s">
        <v>306</v>
      </c>
      <c r="P141" s="93">
        <v>44483.44075231482</v>
      </c>
      <c r="Q141" s="90" t="s">
        <v>2139</v>
      </c>
      <c r="R141" s="96" t="str">
        <f>HYPERLINK("https://talouskurssi.fi/?fbclid=IwAR3lQxACK6cI50BBFObd0zCsOMC4Cq1tFNNNCY5sktWLRNSCs13ALYuQ2cg")</f>
        <v>https://talouskurssi.fi/?fbclid=IwAR3lQxACK6cI50BBFObd0zCsOMC4Cq1tFNNNCY5sktWLRNSCs13ALYuQ2cg</v>
      </c>
      <c r="S141" s="90" t="s">
        <v>334</v>
      </c>
      <c r="T141" s="90"/>
      <c r="U141" s="90"/>
      <c r="V141" s="96" t="str">
        <f>HYPERLINK("https://pbs.twimg.com/profile_images/378800000254454689/2003c8ff8faff52788477ee81e83f21e_normal.jpeg")</f>
        <v>https://pbs.twimg.com/profile_images/378800000254454689/2003c8ff8faff52788477ee81e83f21e_normal.jpeg</v>
      </c>
      <c r="W141" s="93">
        <v>44483.44075231482</v>
      </c>
      <c r="X141" s="102">
        <v>44483</v>
      </c>
      <c r="Y141" s="99" t="s">
        <v>2162</v>
      </c>
      <c r="Z141" s="96" t="str">
        <f>HYPERLINK("https://twitter.com/ismokainulainen/status/1448598125841731584")</f>
        <v>https://twitter.com/ismokainulainen/status/1448598125841731584</v>
      </c>
      <c r="AA141" s="90"/>
      <c r="AB141" s="90"/>
      <c r="AC141" s="99" t="s">
        <v>2208</v>
      </c>
      <c r="AD141" s="90"/>
      <c r="AE141" s="90" t="b">
        <v>0</v>
      </c>
      <c r="AF141" s="90">
        <v>0</v>
      </c>
      <c r="AG141" s="99" t="s">
        <v>535</v>
      </c>
      <c r="AH141" s="90" t="b">
        <v>0</v>
      </c>
      <c r="AI141" s="90" t="s">
        <v>537</v>
      </c>
      <c r="AJ141" s="90"/>
      <c r="AK141" s="99" t="s">
        <v>535</v>
      </c>
      <c r="AL141" s="90" t="b">
        <v>0</v>
      </c>
      <c r="AM141" s="90">
        <v>7</v>
      </c>
      <c r="AN141" s="99" t="s">
        <v>2239</v>
      </c>
      <c r="AO141" s="99" t="s">
        <v>542</v>
      </c>
      <c r="AP141" s="90" t="b">
        <v>0</v>
      </c>
      <c r="AQ141" s="99" t="s">
        <v>2239</v>
      </c>
      <c r="AR141" s="90" t="s">
        <v>187</v>
      </c>
      <c r="AS141" s="90">
        <v>0</v>
      </c>
      <c r="AT141" s="90">
        <v>0</v>
      </c>
      <c r="AU141" s="90"/>
      <c r="AV141" s="90"/>
      <c r="AW141" s="90"/>
      <c r="AX141" s="90"/>
      <c r="AY141" s="90"/>
      <c r="AZ141" s="90"/>
      <c r="BA141" s="90"/>
      <c r="BB141" s="90"/>
      <c r="BC141" s="90">
        <v>1</v>
      </c>
      <c r="BD141" s="89" t="str">
        <f>REPLACE(INDEX(GroupVertices[Group],MATCH(Edges[[#This Row],[Vertex 1]],GroupVertices[Vertex],0)),1,1,"")</f>
        <v>2</v>
      </c>
      <c r="BE141" s="89" t="str">
        <f>REPLACE(INDEX(GroupVertices[Group],MATCH(Edges[[#This Row],[Vertex 2]],GroupVertices[Vertex],0)),1,1,"")</f>
        <v>2</v>
      </c>
      <c r="BF141" s="49"/>
      <c r="BG141" s="50"/>
      <c r="BH141" s="49"/>
      <c r="BI141" s="50"/>
      <c r="BJ141" s="49"/>
      <c r="BK141" s="50"/>
      <c r="BL141" s="49"/>
      <c r="BM141" s="50"/>
      <c r="BN141" s="49"/>
    </row>
    <row r="142" spans="1:66" ht="15">
      <c r="A142" s="66" t="s">
        <v>2120</v>
      </c>
      <c r="B142" s="66" t="s">
        <v>260</v>
      </c>
      <c r="C142" s="67" t="s">
        <v>2108</v>
      </c>
      <c r="D142" s="68">
        <v>1</v>
      </c>
      <c r="E142" s="69" t="s">
        <v>132</v>
      </c>
      <c r="F142" s="70">
        <v>32</v>
      </c>
      <c r="G142" s="67" t="s">
        <v>51</v>
      </c>
      <c r="H142" s="71"/>
      <c r="I142" s="72"/>
      <c r="J142" s="72"/>
      <c r="K142" s="35" t="s">
        <v>65</v>
      </c>
      <c r="L142" s="79">
        <v>142</v>
      </c>
      <c r="M142" s="79"/>
      <c r="N142" s="74"/>
      <c r="O142" s="90" t="s">
        <v>306</v>
      </c>
      <c r="P142" s="93">
        <v>44483.44075231482</v>
      </c>
      <c r="Q142" s="90" t="s">
        <v>2139</v>
      </c>
      <c r="R142" s="96" t="str">
        <f>HYPERLINK("https://talouskurssi.fi/?fbclid=IwAR3lQxACK6cI50BBFObd0zCsOMC4Cq1tFNNNCY5sktWLRNSCs13ALYuQ2cg")</f>
        <v>https://talouskurssi.fi/?fbclid=IwAR3lQxACK6cI50BBFObd0zCsOMC4Cq1tFNNNCY5sktWLRNSCs13ALYuQ2cg</v>
      </c>
      <c r="S142" s="90" t="s">
        <v>334</v>
      </c>
      <c r="T142" s="90"/>
      <c r="U142" s="90"/>
      <c r="V142" s="96" t="str">
        <f>HYPERLINK("https://pbs.twimg.com/profile_images/378800000254454689/2003c8ff8faff52788477ee81e83f21e_normal.jpeg")</f>
        <v>https://pbs.twimg.com/profile_images/378800000254454689/2003c8ff8faff52788477ee81e83f21e_normal.jpeg</v>
      </c>
      <c r="W142" s="93">
        <v>44483.44075231482</v>
      </c>
      <c r="X142" s="102">
        <v>44483</v>
      </c>
      <c r="Y142" s="99" t="s">
        <v>2162</v>
      </c>
      <c r="Z142" s="96" t="str">
        <f>HYPERLINK("https://twitter.com/ismokainulainen/status/1448598125841731584")</f>
        <v>https://twitter.com/ismokainulainen/status/1448598125841731584</v>
      </c>
      <c r="AA142" s="90"/>
      <c r="AB142" s="90"/>
      <c r="AC142" s="99" t="s">
        <v>2208</v>
      </c>
      <c r="AD142" s="90"/>
      <c r="AE142" s="90" t="b">
        <v>0</v>
      </c>
      <c r="AF142" s="90">
        <v>0</v>
      </c>
      <c r="AG142" s="99" t="s">
        <v>535</v>
      </c>
      <c r="AH142" s="90" t="b">
        <v>0</v>
      </c>
      <c r="AI142" s="90" t="s">
        <v>537</v>
      </c>
      <c r="AJ142" s="90"/>
      <c r="AK142" s="99" t="s">
        <v>535</v>
      </c>
      <c r="AL142" s="90" t="b">
        <v>0</v>
      </c>
      <c r="AM142" s="90">
        <v>7</v>
      </c>
      <c r="AN142" s="99" t="s">
        <v>2239</v>
      </c>
      <c r="AO142" s="99" t="s">
        <v>542</v>
      </c>
      <c r="AP142" s="90" t="b">
        <v>0</v>
      </c>
      <c r="AQ142" s="99" t="s">
        <v>2239</v>
      </c>
      <c r="AR142" s="90" t="s">
        <v>187</v>
      </c>
      <c r="AS142" s="90">
        <v>0</v>
      </c>
      <c r="AT142" s="90">
        <v>0</v>
      </c>
      <c r="AU142" s="90"/>
      <c r="AV142" s="90"/>
      <c r="AW142" s="90"/>
      <c r="AX142" s="90"/>
      <c r="AY142" s="90"/>
      <c r="AZ142" s="90"/>
      <c r="BA142" s="90"/>
      <c r="BB142" s="90"/>
      <c r="BC142" s="90">
        <v>1</v>
      </c>
      <c r="BD142" s="89" t="str">
        <f>REPLACE(INDEX(GroupVertices[Group],MATCH(Edges[[#This Row],[Vertex 1]],GroupVertices[Vertex],0)),1,1,"")</f>
        <v>2</v>
      </c>
      <c r="BE142" s="89" t="str">
        <f>REPLACE(INDEX(GroupVertices[Group],MATCH(Edges[[#This Row],[Vertex 2]],GroupVertices[Vertex],0)),1,1,"")</f>
        <v>2</v>
      </c>
      <c r="BF142" s="49"/>
      <c r="BG142" s="50"/>
      <c r="BH142" s="49"/>
      <c r="BI142" s="50"/>
      <c r="BJ142" s="49"/>
      <c r="BK142" s="50"/>
      <c r="BL142" s="49"/>
      <c r="BM142" s="50"/>
      <c r="BN142" s="49"/>
    </row>
    <row r="143" spans="1:66" ht="15">
      <c r="A143" s="66" t="s">
        <v>2120</v>
      </c>
      <c r="B143" s="66" t="s">
        <v>299</v>
      </c>
      <c r="C143" s="67" t="s">
        <v>2108</v>
      </c>
      <c r="D143" s="68">
        <v>1</v>
      </c>
      <c r="E143" s="69" t="s">
        <v>132</v>
      </c>
      <c r="F143" s="70">
        <v>32</v>
      </c>
      <c r="G143" s="67" t="s">
        <v>51</v>
      </c>
      <c r="H143" s="71"/>
      <c r="I143" s="72"/>
      <c r="J143" s="72"/>
      <c r="K143" s="35" t="s">
        <v>65</v>
      </c>
      <c r="L143" s="79">
        <v>143</v>
      </c>
      <c r="M143" s="79"/>
      <c r="N143" s="74"/>
      <c r="O143" s="90" t="s">
        <v>306</v>
      </c>
      <c r="P143" s="93">
        <v>44483.44075231482</v>
      </c>
      <c r="Q143" s="90" t="s">
        <v>2139</v>
      </c>
      <c r="R143" s="96" t="str">
        <f>HYPERLINK("https://talouskurssi.fi/?fbclid=IwAR3lQxACK6cI50BBFObd0zCsOMC4Cq1tFNNNCY5sktWLRNSCs13ALYuQ2cg")</f>
        <v>https://talouskurssi.fi/?fbclid=IwAR3lQxACK6cI50BBFObd0zCsOMC4Cq1tFNNNCY5sktWLRNSCs13ALYuQ2cg</v>
      </c>
      <c r="S143" s="90" t="s">
        <v>334</v>
      </c>
      <c r="T143" s="90"/>
      <c r="U143" s="90"/>
      <c r="V143" s="96" t="str">
        <f>HYPERLINK("https://pbs.twimg.com/profile_images/378800000254454689/2003c8ff8faff52788477ee81e83f21e_normal.jpeg")</f>
        <v>https://pbs.twimg.com/profile_images/378800000254454689/2003c8ff8faff52788477ee81e83f21e_normal.jpeg</v>
      </c>
      <c r="W143" s="93">
        <v>44483.44075231482</v>
      </c>
      <c r="X143" s="102">
        <v>44483</v>
      </c>
      <c r="Y143" s="99" t="s">
        <v>2162</v>
      </c>
      <c r="Z143" s="96" t="str">
        <f>HYPERLINK("https://twitter.com/ismokainulainen/status/1448598125841731584")</f>
        <v>https://twitter.com/ismokainulainen/status/1448598125841731584</v>
      </c>
      <c r="AA143" s="90"/>
      <c r="AB143" s="90"/>
      <c r="AC143" s="99" t="s">
        <v>2208</v>
      </c>
      <c r="AD143" s="90"/>
      <c r="AE143" s="90" t="b">
        <v>0</v>
      </c>
      <c r="AF143" s="90">
        <v>0</v>
      </c>
      <c r="AG143" s="99" t="s">
        <v>535</v>
      </c>
      <c r="AH143" s="90" t="b">
        <v>0</v>
      </c>
      <c r="AI143" s="90" t="s">
        <v>537</v>
      </c>
      <c r="AJ143" s="90"/>
      <c r="AK143" s="99" t="s">
        <v>535</v>
      </c>
      <c r="AL143" s="90" t="b">
        <v>0</v>
      </c>
      <c r="AM143" s="90">
        <v>7</v>
      </c>
      <c r="AN143" s="99" t="s">
        <v>2239</v>
      </c>
      <c r="AO143" s="99" t="s">
        <v>542</v>
      </c>
      <c r="AP143" s="90" t="b">
        <v>0</v>
      </c>
      <c r="AQ143" s="99" t="s">
        <v>2239</v>
      </c>
      <c r="AR143" s="90" t="s">
        <v>187</v>
      </c>
      <c r="AS143" s="90">
        <v>0</v>
      </c>
      <c r="AT143" s="90">
        <v>0</v>
      </c>
      <c r="AU143" s="90"/>
      <c r="AV143" s="90"/>
      <c r="AW143" s="90"/>
      <c r="AX143" s="90"/>
      <c r="AY143" s="90"/>
      <c r="AZ143" s="90"/>
      <c r="BA143" s="90"/>
      <c r="BB143" s="90"/>
      <c r="BC143" s="90">
        <v>1</v>
      </c>
      <c r="BD143" s="89" t="str">
        <f>REPLACE(INDEX(GroupVertices[Group],MATCH(Edges[[#This Row],[Vertex 1]],GroupVertices[Vertex],0)),1,1,"")</f>
        <v>2</v>
      </c>
      <c r="BE143" s="89" t="str">
        <f>REPLACE(INDEX(GroupVertices[Group],MATCH(Edges[[#This Row],[Vertex 2]],GroupVertices[Vertex],0)),1,1,"")</f>
        <v>1</v>
      </c>
      <c r="BF143" s="49"/>
      <c r="BG143" s="50"/>
      <c r="BH143" s="49"/>
      <c r="BI143" s="50"/>
      <c r="BJ143" s="49"/>
      <c r="BK143" s="50"/>
      <c r="BL143" s="49"/>
      <c r="BM143" s="50"/>
      <c r="BN143" s="49"/>
    </row>
    <row r="144" spans="1:66" ht="15">
      <c r="A144" s="66" t="s">
        <v>2120</v>
      </c>
      <c r="B144" s="66" t="s">
        <v>293</v>
      </c>
      <c r="C144" s="67" t="s">
        <v>2108</v>
      </c>
      <c r="D144" s="68">
        <v>1</v>
      </c>
      <c r="E144" s="69" t="s">
        <v>132</v>
      </c>
      <c r="F144" s="70">
        <v>32</v>
      </c>
      <c r="G144" s="67" t="s">
        <v>51</v>
      </c>
      <c r="H144" s="71"/>
      <c r="I144" s="72"/>
      <c r="J144" s="72"/>
      <c r="K144" s="35" t="s">
        <v>65</v>
      </c>
      <c r="L144" s="79">
        <v>144</v>
      </c>
      <c r="M144" s="79"/>
      <c r="N144" s="74"/>
      <c r="O144" s="90" t="s">
        <v>306</v>
      </c>
      <c r="P144" s="93">
        <v>44483.44075231482</v>
      </c>
      <c r="Q144" s="90" t="s">
        <v>2139</v>
      </c>
      <c r="R144" s="96" t="str">
        <f>HYPERLINK("https://talouskurssi.fi/?fbclid=IwAR3lQxACK6cI50BBFObd0zCsOMC4Cq1tFNNNCY5sktWLRNSCs13ALYuQ2cg")</f>
        <v>https://talouskurssi.fi/?fbclid=IwAR3lQxACK6cI50BBFObd0zCsOMC4Cq1tFNNNCY5sktWLRNSCs13ALYuQ2cg</v>
      </c>
      <c r="S144" s="90" t="s">
        <v>334</v>
      </c>
      <c r="T144" s="90"/>
      <c r="U144" s="90"/>
      <c r="V144" s="96" t="str">
        <f>HYPERLINK("https://pbs.twimg.com/profile_images/378800000254454689/2003c8ff8faff52788477ee81e83f21e_normal.jpeg")</f>
        <v>https://pbs.twimg.com/profile_images/378800000254454689/2003c8ff8faff52788477ee81e83f21e_normal.jpeg</v>
      </c>
      <c r="W144" s="93">
        <v>44483.44075231482</v>
      </c>
      <c r="X144" s="102">
        <v>44483</v>
      </c>
      <c r="Y144" s="99" t="s">
        <v>2162</v>
      </c>
      <c r="Z144" s="96" t="str">
        <f>HYPERLINK("https://twitter.com/ismokainulainen/status/1448598125841731584")</f>
        <v>https://twitter.com/ismokainulainen/status/1448598125841731584</v>
      </c>
      <c r="AA144" s="90"/>
      <c r="AB144" s="90"/>
      <c r="AC144" s="99" t="s">
        <v>2208</v>
      </c>
      <c r="AD144" s="90"/>
      <c r="AE144" s="90" t="b">
        <v>0</v>
      </c>
      <c r="AF144" s="90">
        <v>0</v>
      </c>
      <c r="AG144" s="99" t="s">
        <v>535</v>
      </c>
      <c r="AH144" s="90" t="b">
        <v>0</v>
      </c>
      <c r="AI144" s="90" t="s">
        <v>537</v>
      </c>
      <c r="AJ144" s="90"/>
      <c r="AK144" s="99" t="s">
        <v>535</v>
      </c>
      <c r="AL144" s="90" t="b">
        <v>0</v>
      </c>
      <c r="AM144" s="90">
        <v>7</v>
      </c>
      <c r="AN144" s="99" t="s">
        <v>2239</v>
      </c>
      <c r="AO144" s="99" t="s">
        <v>542</v>
      </c>
      <c r="AP144" s="90" t="b">
        <v>0</v>
      </c>
      <c r="AQ144" s="99" t="s">
        <v>2239</v>
      </c>
      <c r="AR144" s="90" t="s">
        <v>187</v>
      </c>
      <c r="AS144" s="90">
        <v>0</v>
      </c>
      <c r="AT144" s="90">
        <v>0</v>
      </c>
      <c r="AU144" s="90"/>
      <c r="AV144" s="90"/>
      <c r="AW144" s="90"/>
      <c r="AX144" s="90"/>
      <c r="AY144" s="90"/>
      <c r="AZ144" s="90"/>
      <c r="BA144" s="90"/>
      <c r="BB144" s="90"/>
      <c r="BC144" s="90">
        <v>1</v>
      </c>
      <c r="BD144" s="89" t="str">
        <f>REPLACE(INDEX(GroupVertices[Group],MATCH(Edges[[#This Row],[Vertex 1]],GroupVertices[Vertex],0)),1,1,"")</f>
        <v>2</v>
      </c>
      <c r="BE144" s="89" t="str">
        <f>REPLACE(INDEX(GroupVertices[Group],MATCH(Edges[[#This Row],[Vertex 2]],GroupVertices[Vertex],0)),1,1,"")</f>
        <v>3</v>
      </c>
      <c r="BF144" s="49"/>
      <c r="BG144" s="50"/>
      <c r="BH144" s="49"/>
      <c r="BI144" s="50"/>
      <c r="BJ144" s="49"/>
      <c r="BK144" s="50"/>
      <c r="BL144" s="49"/>
      <c r="BM144" s="50"/>
      <c r="BN144" s="49"/>
    </row>
    <row r="145" spans="1:66" ht="15">
      <c r="A145" s="66" t="s">
        <v>2120</v>
      </c>
      <c r="B145" s="66" t="s">
        <v>2135</v>
      </c>
      <c r="C145" s="67" t="s">
        <v>2108</v>
      </c>
      <c r="D145" s="68">
        <v>1</v>
      </c>
      <c r="E145" s="69" t="s">
        <v>132</v>
      </c>
      <c r="F145" s="70">
        <v>32</v>
      </c>
      <c r="G145" s="67" t="s">
        <v>51</v>
      </c>
      <c r="H145" s="71"/>
      <c r="I145" s="72"/>
      <c r="J145" s="72"/>
      <c r="K145" s="35" t="s">
        <v>65</v>
      </c>
      <c r="L145" s="79">
        <v>145</v>
      </c>
      <c r="M145" s="79"/>
      <c r="N145" s="74"/>
      <c r="O145" s="90" t="s">
        <v>305</v>
      </c>
      <c r="P145" s="93">
        <v>44483.44075231482</v>
      </c>
      <c r="Q145" s="90" t="s">
        <v>2139</v>
      </c>
      <c r="R145" s="96" t="str">
        <f>HYPERLINK("https://talouskurssi.fi/?fbclid=IwAR3lQxACK6cI50BBFObd0zCsOMC4Cq1tFNNNCY5sktWLRNSCs13ALYuQ2cg")</f>
        <v>https://talouskurssi.fi/?fbclid=IwAR3lQxACK6cI50BBFObd0zCsOMC4Cq1tFNNNCY5sktWLRNSCs13ALYuQ2cg</v>
      </c>
      <c r="S145" s="90" t="s">
        <v>334</v>
      </c>
      <c r="T145" s="90"/>
      <c r="U145" s="90"/>
      <c r="V145" s="96" t="str">
        <f>HYPERLINK("https://pbs.twimg.com/profile_images/378800000254454689/2003c8ff8faff52788477ee81e83f21e_normal.jpeg")</f>
        <v>https://pbs.twimg.com/profile_images/378800000254454689/2003c8ff8faff52788477ee81e83f21e_normal.jpeg</v>
      </c>
      <c r="W145" s="93">
        <v>44483.44075231482</v>
      </c>
      <c r="X145" s="102">
        <v>44483</v>
      </c>
      <c r="Y145" s="99" t="s">
        <v>2162</v>
      </c>
      <c r="Z145" s="96" t="str">
        <f>HYPERLINK("https://twitter.com/ismokainulainen/status/1448598125841731584")</f>
        <v>https://twitter.com/ismokainulainen/status/1448598125841731584</v>
      </c>
      <c r="AA145" s="90"/>
      <c r="AB145" s="90"/>
      <c r="AC145" s="99" t="s">
        <v>2208</v>
      </c>
      <c r="AD145" s="90"/>
      <c r="AE145" s="90" t="b">
        <v>0</v>
      </c>
      <c r="AF145" s="90">
        <v>0</v>
      </c>
      <c r="AG145" s="99" t="s">
        <v>535</v>
      </c>
      <c r="AH145" s="90" t="b">
        <v>0</v>
      </c>
      <c r="AI145" s="90" t="s">
        <v>537</v>
      </c>
      <c r="AJ145" s="90"/>
      <c r="AK145" s="99" t="s">
        <v>535</v>
      </c>
      <c r="AL145" s="90" t="b">
        <v>0</v>
      </c>
      <c r="AM145" s="90">
        <v>7</v>
      </c>
      <c r="AN145" s="99" t="s">
        <v>2239</v>
      </c>
      <c r="AO145" s="99" t="s">
        <v>542</v>
      </c>
      <c r="AP145" s="90" t="b">
        <v>0</v>
      </c>
      <c r="AQ145" s="99" t="s">
        <v>2239</v>
      </c>
      <c r="AR145" s="90" t="s">
        <v>187</v>
      </c>
      <c r="AS145" s="90">
        <v>0</v>
      </c>
      <c r="AT145" s="90">
        <v>0</v>
      </c>
      <c r="AU145" s="90"/>
      <c r="AV145" s="90"/>
      <c r="AW145" s="90"/>
      <c r="AX145" s="90"/>
      <c r="AY145" s="90"/>
      <c r="AZ145" s="90"/>
      <c r="BA145" s="90"/>
      <c r="BB145" s="90"/>
      <c r="BC145" s="90">
        <v>1</v>
      </c>
      <c r="BD145" s="89" t="str">
        <f>REPLACE(INDEX(GroupVertices[Group],MATCH(Edges[[#This Row],[Vertex 1]],GroupVertices[Vertex],0)),1,1,"")</f>
        <v>2</v>
      </c>
      <c r="BE145" s="89" t="str">
        <f>REPLACE(INDEX(GroupVertices[Group],MATCH(Edges[[#This Row],[Vertex 2]],GroupVertices[Vertex],0)),1,1,"")</f>
        <v>2</v>
      </c>
      <c r="BF145" s="49">
        <v>0</v>
      </c>
      <c r="BG145" s="50">
        <v>0</v>
      </c>
      <c r="BH145" s="49">
        <v>0</v>
      </c>
      <c r="BI145" s="50">
        <v>0</v>
      </c>
      <c r="BJ145" s="49">
        <v>0</v>
      </c>
      <c r="BK145" s="50">
        <v>0</v>
      </c>
      <c r="BL145" s="49">
        <v>22</v>
      </c>
      <c r="BM145" s="50">
        <v>100</v>
      </c>
      <c r="BN145" s="49">
        <v>22</v>
      </c>
    </row>
    <row r="146" spans="1:66" ht="15">
      <c r="A146" s="66" t="s">
        <v>267</v>
      </c>
      <c r="B146" s="66" t="s">
        <v>299</v>
      </c>
      <c r="C146" s="67" t="s">
        <v>2108</v>
      </c>
      <c r="D146" s="68">
        <v>1</v>
      </c>
      <c r="E146" s="69" t="s">
        <v>132</v>
      </c>
      <c r="F146" s="70">
        <v>32</v>
      </c>
      <c r="G146" s="67" t="s">
        <v>51</v>
      </c>
      <c r="H146" s="71"/>
      <c r="I146" s="72"/>
      <c r="J146" s="72"/>
      <c r="K146" s="35" t="s">
        <v>65</v>
      </c>
      <c r="L146" s="79">
        <v>146</v>
      </c>
      <c r="M146" s="79"/>
      <c r="N146" s="74"/>
      <c r="O146" s="90" t="s">
        <v>306</v>
      </c>
      <c r="P146" s="93">
        <v>44483.444236111114</v>
      </c>
      <c r="Q146" s="90" t="s">
        <v>310</v>
      </c>
      <c r="R146" s="96" t="str">
        <f>HYPERLINK("https://talouskurssi.fi/")</f>
        <v>https://talouskurssi.fi/</v>
      </c>
      <c r="S146" s="90" t="s">
        <v>334</v>
      </c>
      <c r="T146" s="99" t="s">
        <v>338</v>
      </c>
      <c r="U146" s="96" t="str">
        <f>HYPERLINK("https://pbs.twimg.com/ext_tw_video_thumb/1448527896562348036/pu/img/0PqSbNMaXHvzKHCc.jpg")</f>
        <v>https://pbs.twimg.com/ext_tw_video_thumb/1448527896562348036/pu/img/0PqSbNMaXHvzKHCc.jpg</v>
      </c>
      <c r="V146" s="96" t="str">
        <f>HYPERLINK("https://pbs.twimg.com/ext_tw_video_thumb/1448527896562348036/pu/img/0PqSbNMaXHvzKHCc.jpg")</f>
        <v>https://pbs.twimg.com/ext_tw_video_thumb/1448527896562348036/pu/img/0PqSbNMaXHvzKHCc.jpg</v>
      </c>
      <c r="W146" s="93">
        <v>44483.444236111114</v>
      </c>
      <c r="X146" s="102">
        <v>44483</v>
      </c>
      <c r="Y146" s="99" t="s">
        <v>389</v>
      </c>
      <c r="Z146" s="96" t="str">
        <f>HYPERLINK("https://twitter.com/granlundmarkus/status/1448599387274362886")</f>
        <v>https://twitter.com/granlundmarkus/status/1448599387274362886</v>
      </c>
      <c r="AA146" s="90"/>
      <c r="AB146" s="90"/>
      <c r="AC146" s="99" t="s">
        <v>483</v>
      </c>
      <c r="AD146" s="90"/>
      <c r="AE146" s="90" t="b">
        <v>0</v>
      </c>
      <c r="AF146" s="90">
        <v>0</v>
      </c>
      <c r="AG146" s="99" t="s">
        <v>535</v>
      </c>
      <c r="AH146" s="90" t="b">
        <v>0</v>
      </c>
      <c r="AI146" s="90" t="s">
        <v>537</v>
      </c>
      <c r="AJ146" s="90"/>
      <c r="AK146" s="99" t="s">
        <v>535</v>
      </c>
      <c r="AL146" s="90" t="b">
        <v>0</v>
      </c>
      <c r="AM146" s="90">
        <v>52</v>
      </c>
      <c r="AN146" s="99" t="s">
        <v>526</v>
      </c>
      <c r="AO146" s="99" t="s">
        <v>545</v>
      </c>
      <c r="AP146" s="90" t="b">
        <v>0</v>
      </c>
      <c r="AQ146" s="99" t="s">
        <v>526</v>
      </c>
      <c r="AR146" s="90" t="s">
        <v>187</v>
      </c>
      <c r="AS146" s="90">
        <v>0</v>
      </c>
      <c r="AT146" s="90">
        <v>0</v>
      </c>
      <c r="AU146" s="90"/>
      <c r="AV146" s="90"/>
      <c r="AW146" s="90"/>
      <c r="AX146" s="90"/>
      <c r="AY146" s="90"/>
      <c r="AZ146" s="90"/>
      <c r="BA146" s="90"/>
      <c r="BB146" s="90"/>
      <c r="BC146" s="90">
        <v>1</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6" t="s">
        <v>267</v>
      </c>
      <c r="B147" s="66" t="s">
        <v>302</v>
      </c>
      <c r="C147" s="67" t="s">
        <v>2108</v>
      </c>
      <c r="D147" s="68">
        <v>1</v>
      </c>
      <c r="E147" s="69" t="s">
        <v>132</v>
      </c>
      <c r="F147" s="70">
        <v>32</v>
      </c>
      <c r="G147" s="67" t="s">
        <v>51</v>
      </c>
      <c r="H147" s="71"/>
      <c r="I147" s="72"/>
      <c r="J147" s="72"/>
      <c r="K147" s="35" t="s">
        <v>65</v>
      </c>
      <c r="L147" s="79">
        <v>147</v>
      </c>
      <c r="M147" s="79"/>
      <c r="N147" s="74"/>
      <c r="O147" s="90" t="s">
        <v>306</v>
      </c>
      <c r="P147" s="93">
        <v>44483.444236111114</v>
      </c>
      <c r="Q147" s="90" t="s">
        <v>310</v>
      </c>
      <c r="R147" s="96" t="str">
        <f>HYPERLINK("https://talouskurssi.fi/")</f>
        <v>https://talouskurssi.fi/</v>
      </c>
      <c r="S147" s="90" t="s">
        <v>334</v>
      </c>
      <c r="T147" s="99" t="s">
        <v>338</v>
      </c>
      <c r="U147" s="96" t="str">
        <f>HYPERLINK("https://pbs.twimg.com/ext_tw_video_thumb/1448527896562348036/pu/img/0PqSbNMaXHvzKHCc.jpg")</f>
        <v>https://pbs.twimg.com/ext_tw_video_thumb/1448527896562348036/pu/img/0PqSbNMaXHvzKHCc.jpg</v>
      </c>
      <c r="V147" s="96" t="str">
        <f>HYPERLINK("https://pbs.twimg.com/ext_tw_video_thumb/1448527896562348036/pu/img/0PqSbNMaXHvzKHCc.jpg")</f>
        <v>https://pbs.twimg.com/ext_tw_video_thumb/1448527896562348036/pu/img/0PqSbNMaXHvzKHCc.jpg</v>
      </c>
      <c r="W147" s="93">
        <v>44483.444236111114</v>
      </c>
      <c r="X147" s="102">
        <v>44483</v>
      </c>
      <c r="Y147" s="99" t="s">
        <v>389</v>
      </c>
      <c r="Z147" s="96" t="str">
        <f>HYPERLINK("https://twitter.com/granlundmarkus/status/1448599387274362886")</f>
        <v>https://twitter.com/granlundmarkus/status/1448599387274362886</v>
      </c>
      <c r="AA147" s="90"/>
      <c r="AB147" s="90"/>
      <c r="AC147" s="99" t="s">
        <v>483</v>
      </c>
      <c r="AD147" s="90"/>
      <c r="AE147" s="90" t="b">
        <v>0</v>
      </c>
      <c r="AF147" s="90">
        <v>0</v>
      </c>
      <c r="AG147" s="99" t="s">
        <v>535</v>
      </c>
      <c r="AH147" s="90" t="b">
        <v>0</v>
      </c>
      <c r="AI147" s="90" t="s">
        <v>537</v>
      </c>
      <c r="AJ147" s="90"/>
      <c r="AK147" s="99" t="s">
        <v>535</v>
      </c>
      <c r="AL147" s="90" t="b">
        <v>0</v>
      </c>
      <c r="AM147" s="90">
        <v>52</v>
      </c>
      <c r="AN147" s="99" t="s">
        <v>526</v>
      </c>
      <c r="AO147" s="99" t="s">
        <v>545</v>
      </c>
      <c r="AP147" s="90" t="b">
        <v>0</v>
      </c>
      <c r="AQ147" s="99" t="s">
        <v>526</v>
      </c>
      <c r="AR147" s="90" t="s">
        <v>187</v>
      </c>
      <c r="AS147" s="90">
        <v>0</v>
      </c>
      <c r="AT147" s="90">
        <v>0</v>
      </c>
      <c r="AU147" s="90"/>
      <c r="AV147" s="90"/>
      <c r="AW147" s="90"/>
      <c r="AX147" s="90"/>
      <c r="AY147" s="90"/>
      <c r="AZ147" s="90"/>
      <c r="BA147" s="90"/>
      <c r="BB147" s="90"/>
      <c r="BC147" s="90">
        <v>1</v>
      </c>
      <c r="BD147" s="89" t="str">
        <f>REPLACE(INDEX(GroupVertices[Group],MATCH(Edges[[#This Row],[Vertex 1]],GroupVertices[Vertex],0)),1,1,"")</f>
        <v>1</v>
      </c>
      <c r="BE147" s="89" t="str">
        <f>REPLACE(INDEX(GroupVertices[Group],MATCH(Edges[[#This Row],[Vertex 2]],GroupVertices[Vertex],0)),1,1,"")</f>
        <v>1</v>
      </c>
      <c r="BF147" s="49"/>
      <c r="BG147" s="50"/>
      <c r="BH147" s="49"/>
      <c r="BI147" s="50"/>
      <c r="BJ147" s="49"/>
      <c r="BK147" s="50"/>
      <c r="BL147" s="49"/>
      <c r="BM147" s="50"/>
      <c r="BN147" s="49"/>
    </row>
    <row r="148" spans="1:66" ht="15">
      <c r="A148" s="66" t="s">
        <v>267</v>
      </c>
      <c r="B148" s="66" t="s">
        <v>293</v>
      </c>
      <c r="C148" s="67" t="s">
        <v>2108</v>
      </c>
      <c r="D148" s="68">
        <v>1</v>
      </c>
      <c r="E148" s="69" t="s">
        <v>132</v>
      </c>
      <c r="F148" s="70">
        <v>32</v>
      </c>
      <c r="G148" s="67" t="s">
        <v>51</v>
      </c>
      <c r="H148" s="71"/>
      <c r="I148" s="72"/>
      <c r="J148" s="72"/>
      <c r="K148" s="35" t="s">
        <v>65</v>
      </c>
      <c r="L148" s="79">
        <v>148</v>
      </c>
      <c r="M148" s="79"/>
      <c r="N148" s="74"/>
      <c r="O148" s="90" t="s">
        <v>305</v>
      </c>
      <c r="P148" s="93">
        <v>44483.444236111114</v>
      </c>
      <c r="Q148" s="90" t="s">
        <v>310</v>
      </c>
      <c r="R148" s="96" t="str">
        <f>HYPERLINK("https://talouskurssi.fi/")</f>
        <v>https://talouskurssi.fi/</v>
      </c>
      <c r="S148" s="90" t="s">
        <v>334</v>
      </c>
      <c r="T148" s="99" t="s">
        <v>338</v>
      </c>
      <c r="U148" s="96" t="str">
        <f>HYPERLINK("https://pbs.twimg.com/ext_tw_video_thumb/1448527896562348036/pu/img/0PqSbNMaXHvzKHCc.jpg")</f>
        <v>https://pbs.twimg.com/ext_tw_video_thumb/1448527896562348036/pu/img/0PqSbNMaXHvzKHCc.jpg</v>
      </c>
      <c r="V148" s="96" t="str">
        <f>HYPERLINK("https://pbs.twimg.com/ext_tw_video_thumb/1448527896562348036/pu/img/0PqSbNMaXHvzKHCc.jpg")</f>
        <v>https://pbs.twimg.com/ext_tw_video_thumb/1448527896562348036/pu/img/0PqSbNMaXHvzKHCc.jpg</v>
      </c>
      <c r="W148" s="93">
        <v>44483.444236111114</v>
      </c>
      <c r="X148" s="102">
        <v>44483</v>
      </c>
      <c r="Y148" s="99" t="s">
        <v>389</v>
      </c>
      <c r="Z148" s="96" t="str">
        <f>HYPERLINK("https://twitter.com/granlundmarkus/status/1448599387274362886")</f>
        <v>https://twitter.com/granlundmarkus/status/1448599387274362886</v>
      </c>
      <c r="AA148" s="90"/>
      <c r="AB148" s="90"/>
      <c r="AC148" s="99" t="s">
        <v>483</v>
      </c>
      <c r="AD148" s="90"/>
      <c r="AE148" s="90" t="b">
        <v>0</v>
      </c>
      <c r="AF148" s="90">
        <v>0</v>
      </c>
      <c r="AG148" s="99" t="s">
        <v>535</v>
      </c>
      <c r="AH148" s="90" t="b">
        <v>0</v>
      </c>
      <c r="AI148" s="90" t="s">
        <v>537</v>
      </c>
      <c r="AJ148" s="90"/>
      <c r="AK148" s="99" t="s">
        <v>535</v>
      </c>
      <c r="AL148" s="90" t="b">
        <v>0</v>
      </c>
      <c r="AM148" s="90">
        <v>52</v>
      </c>
      <c r="AN148" s="99" t="s">
        <v>526</v>
      </c>
      <c r="AO148" s="99" t="s">
        <v>545</v>
      </c>
      <c r="AP148" s="90" t="b">
        <v>0</v>
      </c>
      <c r="AQ148" s="99" t="s">
        <v>526</v>
      </c>
      <c r="AR148" s="90" t="s">
        <v>187</v>
      </c>
      <c r="AS148" s="90">
        <v>0</v>
      </c>
      <c r="AT148" s="90">
        <v>0</v>
      </c>
      <c r="AU148" s="90"/>
      <c r="AV148" s="90"/>
      <c r="AW148" s="90"/>
      <c r="AX148" s="90"/>
      <c r="AY148" s="90"/>
      <c r="AZ148" s="90"/>
      <c r="BA148" s="90"/>
      <c r="BB148" s="90"/>
      <c r="BC148" s="90">
        <v>1</v>
      </c>
      <c r="BD148" s="89" t="str">
        <f>REPLACE(INDEX(GroupVertices[Group],MATCH(Edges[[#This Row],[Vertex 1]],GroupVertices[Vertex],0)),1,1,"")</f>
        <v>1</v>
      </c>
      <c r="BE148" s="89" t="str">
        <f>REPLACE(INDEX(GroupVertices[Group],MATCH(Edges[[#This Row],[Vertex 2]],GroupVertices[Vertex],0)),1,1,"")</f>
        <v>3</v>
      </c>
      <c r="BF148" s="49">
        <v>0</v>
      </c>
      <c r="BG148" s="50">
        <v>0</v>
      </c>
      <c r="BH148" s="49">
        <v>0</v>
      </c>
      <c r="BI148" s="50">
        <v>0</v>
      </c>
      <c r="BJ148" s="49">
        <v>0</v>
      </c>
      <c r="BK148" s="50">
        <v>0</v>
      </c>
      <c r="BL148" s="49">
        <v>28</v>
      </c>
      <c r="BM148" s="50">
        <v>100</v>
      </c>
      <c r="BN148" s="49">
        <v>28</v>
      </c>
    </row>
    <row r="149" spans="1:66" ht="15">
      <c r="A149" s="66" t="s">
        <v>2121</v>
      </c>
      <c r="B149" s="66" t="s">
        <v>299</v>
      </c>
      <c r="C149" s="67" t="s">
        <v>2108</v>
      </c>
      <c r="D149" s="68">
        <v>1</v>
      </c>
      <c r="E149" s="69" t="s">
        <v>132</v>
      </c>
      <c r="F149" s="70">
        <v>32</v>
      </c>
      <c r="G149" s="67" t="s">
        <v>51</v>
      </c>
      <c r="H149" s="71"/>
      <c r="I149" s="72"/>
      <c r="J149" s="72"/>
      <c r="K149" s="35" t="s">
        <v>65</v>
      </c>
      <c r="L149" s="79">
        <v>149</v>
      </c>
      <c r="M149" s="79"/>
      <c r="N149" s="74"/>
      <c r="O149" s="90" t="s">
        <v>306</v>
      </c>
      <c r="P149" s="93">
        <v>44483.44935185185</v>
      </c>
      <c r="Q149" s="90" t="s">
        <v>2142</v>
      </c>
      <c r="R149" s="96" t="str">
        <f>HYPERLINK("https://twitter.com/HelsinkiGSE/status/1448530102837514240")</f>
        <v>https://twitter.com/HelsinkiGSE/status/1448530102837514240</v>
      </c>
      <c r="S149" s="90" t="s">
        <v>333</v>
      </c>
      <c r="T149" s="90"/>
      <c r="U149" s="90"/>
      <c r="V149" s="96" t="str">
        <f>HYPERLINK("https://pbs.twimg.com/profile_images/1310936366218346498/83dRyxQ__normal.jpg")</f>
        <v>https://pbs.twimg.com/profile_images/1310936366218346498/83dRyxQ__normal.jpg</v>
      </c>
      <c r="W149" s="93">
        <v>44483.44935185185</v>
      </c>
      <c r="X149" s="102">
        <v>44483</v>
      </c>
      <c r="Y149" s="99" t="s">
        <v>2163</v>
      </c>
      <c r="Z149" s="96" t="str">
        <f>HYPERLINK("https://twitter.com/ototterman/status/1448601240502427650")</f>
        <v>https://twitter.com/ototterman/status/1448601240502427650</v>
      </c>
      <c r="AA149" s="90"/>
      <c r="AB149" s="90"/>
      <c r="AC149" s="99" t="s">
        <v>2209</v>
      </c>
      <c r="AD149" s="90"/>
      <c r="AE149" s="90" t="b">
        <v>0</v>
      </c>
      <c r="AF149" s="90">
        <v>0</v>
      </c>
      <c r="AG149" s="99" t="s">
        <v>535</v>
      </c>
      <c r="AH149" s="90" t="b">
        <v>1</v>
      </c>
      <c r="AI149" s="90" t="s">
        <v>537</v>
      </c>
      <c r="AJ149" s="90"/>
      <c r="AK149" s="99" t="s">
        <v>526</v>
      </c>
      <c r="AL149" s="90" t="b">
        <v>0</v>
      </c>
      <c r="AM149" s="90">
        <v>6</v>
      </c>
      <c r="AN149" s="99" t="s">
        <v>2233</v>
      </c>
      <c r="AO149" s="99" t="s">
        <v>545</v>
      </c>
      <c r="AP149" s="90" t="b">
        <v>0</v>
      </c>
      <c r="AQ149" s="99" t="s">
        <v>2233</v>
      </c>
      <c r="AR149" s="90" t="s">
        <v>187</v>
      </c>
      <c r="AS149" s="90">
        <v>0</v>
      </c>
      <c r="AT149" s="90">
        <v>0</v>
      </c>
      <c r="AU149" s="90"/>
      <c r="AV149" s="90"/>
      <c r="AW149" s="90"/>
      <c r="AX149" s="90"/>
      <c r="AY149" s="90"/>
      <c r="AZ149" s="90"/>
      <c r="BA149" s="90"/>
      <c r="BB149" s="90"/>
      <c r="BC149" s="90">
        <v>1</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6" t="s">
        <v>2121</v>
      </c>
      <c r="B150" s="66" t="s">
        <v>302</v>
      </c>
      <c r="C150" s="67" t="s">
        <v>2108</v>
      </c>
      <c r="D150" s="68">
        <v>1</v>
      </c>
      <c r="E150" s="69" t="s">
        <v>132</v>
      </c>
      <c r="F150" s="70">
        <v>32</v>
      </c>
      <c r="G150" s="67" t="s">
        <v>51</v>
      </c>
      <c r="H150" s="71"/>
      <c r="I150" s="72"/>
      <c r="J150" s="72"/>
      <c r="K150" s="35" t="s">
        <v>65</v>
      </c>
      <c r="L150" s="79">
        <v>150</v>
      </c>
      <c r="M150" s="79"/>
      <c r="N150" s="74"/>
      <c r="O150" s="90" t="s">
        <v>306</v>
      </c>
      <c r="P150" s="93">
        <v>44483.44935185185</v>
      </c>
      <c r="Q150" s="90" t="s">
        <v>2142</v>
      </c>
      <c r="R150" s="96" t="str">
        <f>HYPERLINK("https://twitter.com/HelsinkiGSE/status/1448530102837514240")</f>
        <v>https://twitter.com/HelsinkiGSE/status/1448530102837514240</v>
      </c>
      <c r="S150" s="90" t="s">
        <v>333</v>
      </c>
      <c r="T150" s="90"/>
      <c r="U150" s="90"/>
      <c r="V150" s="96" t="str">
        <f>HYPERLINK("https://pbs.twimg.com/profile_images/1310936366218346498/83dRyxQ__normal.jpg")</f>
        <v>https://pbs.twimg.com/profile_images/1310936366218346498/83dRyxQ__normal.jpg</v>
      </c>
      <c r="W150" s="93">
        <v>44483.44935185185</v>
      </c>
      <c r="X150" s="102">
        <v>44483</v>
      </c>
      <c r="Y150" s="99" t="s">
        <v>2163</v>
      </c>
      <c r="Z150" s="96" t="str">
        <f>HYPERLINK("https://twitter.com/ototterman/status/1448601240502427650")</f>
        <v>https://twitter.com/ototterman/status/1448601240502427650</v>
      </c>
      <c r="AA150" s="90"/>
      <c r="AB150" s="90"/>
      <c r="AC150" s="99" t="s">
        <v>2209</v>
      </c>
      <c r="AD150" s="90"/>
      <c r="AE150" s="90" t="b">
        <v>0</v>
      </c>
      <c r="AF150" s="90">
        <v>0</v>
      </c>
      <c r="AG150" s="99" t="s">
        <v>535</v>
      </c>
      <c r="AH150" s="90" t="b">
        <v>1</v>
      </c>
      <c r="AI150" s="90" t="s">
        <v>537</v>
      </c>
      <c r="AJ150" s="90"/>
      <c r="AK150" s="99" t="s">
        <v>526</v>
      </c>
      <c r="AL150" s="90" t="b">
        <v>0</v>
      </c>
      <c r="AM150" s="90">
        <v>6</v>
      </c>
      <c r="AN150" s="99" t="s">
        <v>2233</v>
      </c>
      <c r="AO150" s="99" t="s">
        <v>545</v>
      </c>
      <c r="AP150" s="90" t="b">
        <v>0</v>
      </c>
      <c r="AQ150" s="99" t="s">
        <v>2233</v>
      </c>
      <c r="AR150" s="90" t="s">
        <v>187</v>
      </c>
      <c r="AS150" s="90">
        <v>0</v>
      </c>
      <c r="AT150" s="90">
        <v>0</v>
      </c>
      <c r="AU150" s="90"/>
      <c r="AV150" s="90"/>
      <c r="AW150" s="90"/>
      <c r="AX150" s="90"/>
      <c r="AY150" s="90"/>
      <c r="AZ150" s="90"/>
      <c r="BA150" s="90"/>
      <c r="BB150" s="90"/>
      <c r="BC150" s="90">
        <v>1</v>
      </c>
      <c r="BD150" s="89" t="str">
        <f>REPLACE(INDEX(GroupVertices[Group],MATCH(Edges[[#This Row],[Vertex 1]],GroupVertices[Vertex],0)),1,1,"")</f>
        <v>1</v>
      </c>
      <c r="BE150" s="89" t="str">
        <f>REPLACE(INDEX(GroupVertices[Group],MATCH(Edges[[#This Row],[Vertex 2]],GroupVertices[Vertex],0)),1,1,"")</f>
        <v>1</v>
      </c>
      <c r="BF150" s="49"/>
      <c r="BG150" s="50"/>
      <c r="BH150" s="49"/>
      <c r="BI150" s="50"/>
      <c r="BJ150" s="49"/>
      <c r="BK150" s="50"/>
      <c r="BL150" s="49"/>
      <c r="BM150" s="50"/>
      <c r="BN150" s="49"/>
    </row>
    <row r="151" spans="1:66" ht="15">
      <c r="A151" s="66" t="s">
        <v>2121</v>
      </c>
      <c r="B151" s="66" t="s">
        <v>293</v>
      </c>
      <c r="C151" s="67" t="s">
        <v>2108</v>
      </c>
      <c r="D151" s="68">
        <v>1</v>
      </c>
      <c r="E151" s="69" t="s">
        <v>132</v>
      </c>
      <c r="F151" s="70">
        <v>32</v>
      </c>
      <c r="G151" s="67" t="s">
        <v>51</v>
      </c>
      <c r="H151" s="71"/>
      <c r="I151" s="72"/>
      <c r="J151" s="72"/>
      <c r="K151" s="35" t="s">
        <v>65</v>
      </c>
      <c r="L151" s="79">
        <v>151</v>
      </c>
      <c r="M151" s="79"/>
      <c r="N151" s="74"/>
      <c r="O151" s="90" t="s">
        <v>306</v>
      </c>
      <c r="P151" s="93">
        <v>44483.44935185185</v>
      </c>
      <c r="Q151" s="90" t="s">
        <v>2142</v>
      </c>
      <c r="R151" s="96" t="str">
        <f>HYPERLINK("https://twitter.com/HelsinkiGSE/status/1448530102837514240")</f>
        <v>https://twitter.com/HelsinkiGSE/status/1448530102837514240</v>
      </c>
      <c r="S151" s="90" t="s">
        <v>333</v>
      </c>
      <c r="T151" s="90"/>
      <c r="U151" s="90"/>
      <c r="V151" s="96" t="str">
        <f>HYPERLINK("https://pbs.twimg.com/profile_images/1310936366218346498/83dRyxQ__normal.jpg")</f>
        <v>https://pbs.twimg.com/profile_images/1310936366218346498/83dRyxQ__normal.jpg</v>
      </c>
      <c r="W151" s="93">
        <v>44483.44935185185</v>
      </c>
      <c r="X151" s="102">
        <v>44483</v>
      </c>
      <c r="Y151" s="99" t="s">
        <v>2163</v>
      </c>
      <c r="Z151" s="96" t="str">
        <f>HYPERLINK("https://twitter.com/ototterman/status/1448601240502427650")</f>
        <v>https://twitter.com/ototterman/status/1448601240502427650</v>
      </c>
      <c r="AA151" s="90"/>
      <c r="AB151" s="90"/>
      <c r="AC151" s="99" t="s">
        <v>2209</v>
      </c>
      <c r="AD151" s="90"/>
      <c r="AE151" s="90" t="b">
        <v>0</v>
      </c>
      <c r="AF151" s="90">
        <v>0</v>
      </c>
      <c r="AG151" s="99" t="s">
        <v>535</v>
      </c>
      <c r="AH151" s="90" t="b">
        <v>1</v>
      </c>
      <c r="AI151" s="90" t="s">
        <v>537</v>
      </c>
      <c r="AJ151" s="90"/>
      <c r="AK151" s="99" t="s">
        <v>526</v>
      </c>
      <c r="AL151" s="90" t="b">
        <v>0</v>
      </c>
      <c r="AM151" s="90">
        <v>6</v>
      </c>
      <c r="AN151" s="99" t="s">
        <v>2233</v>
      </c>
      <c r="AO151" s="99" t="s">
        <v>545</v>
      </c>
      <c r="AP151" s="90" t="b">
        <v>0</v>
      </c>
      <c r="AQ151" s="99" t="s">
        <v>2233</v>
      </c>
      <c r="AR151" s="90" t="s">
        <v>187</v>
      </c>
      <c r="AS151" s="90">
        <v>0</v>
      </c>
      <c r="AT151" s="90">
        <v>0</v>
      </c>
      <c r="AU151" s="90"/>
      <c r="AV151" s="90"/>
      <c r="AW151" s="90"/>
      <c r="AX151" s="90"/>
      <c r="AY151" s="90"/>
      <c r="AZ151" s="90"/>
      <c r="BA151" s="90"/>
      <c r="BB151" s="90"/>
      <c r="BC151" s="90">
        <v>1</v>
      </c>
      <c r="BD151" s="89" t="str">
        <f>REPLACE(INDEX(GroupVertices[Group],MATCH(Edges[[#This Row],[Vertex 1]],GroupVertices[Vertex],0)),1,1,"")</f>
        <v>1</v>
      </c>
      <c r="BE151" s="89" t="str">
        <f>REPLACE(INDEX(GroupVertices[Group],MATCH(Edges[[#This Row],[Vertex 2]],GroupVertices[Vertex],0)),1,1,"")</f>
        <v>3</v>
      </c>
      <c r="BF151" s="49"/>
      <c r="BG151" s="50"/>
      <c r="BH151" s="49"/>
      <c r="BI151" s="50"/>
      <c r="BJ151" s="49"/>
      <c r="BK151" s="50"/>
      <c r="BL151" s="49"/>
      <c r="BM151" s="50"/>
      <c r="BN151" s="49"/>
    </row>
    <row r="152" spans="1:66" ht="15">
      <c r="A152" s="66" t="s">
        <v>2121</v>
      </c>
      <c r="B152" s="66" t="s">
        <v>2134</v>
      </c>
      <c r="C152" s="67" t="s">
        <v>2108</v>
      </c>
      <c r="D152" s="68">
        <v>1</v>
      </c>
      <c r="E152" s="69" t="s">
        <v>132</v>
      </c>
      <c r="F152" s="70">
        <v>32</v>
      </c>
      <c r="G152" s="67" t="s">
        <v>51</v>
      </c>
      <c r="H152" s="71"/>
      <c r="I152" s="72"/>
      <c r="J152" s="72"/>
      <c r="K152" s="35" t="s">
        <v>65</v>
      </c>
      <c r="L152" s="79">
        <v>152</v>
      </c>
      <c r="M152" s="79"/>
      <c r="N152" s="74"/>
      <c r="O152" s="90" t="s">
        <v>305</v>
      </c>
      <c r="P152" s="93">
        <v>44483.44935185185</v>
      </c>
      <c r="Q152" s="90" t="s">
        <v>2142</v>
      </c>
      <c r="R152" s="96" t="str">
        <f>HYPERLINK("https://twitter.com/HelsinkiGSE/status/1448530102837514240")</f>
        <v>https://twitter.com/HelsinkiGSE/status/1448530102837514240</v>
      </c>
      <c r="S152" s="90" t="s">
        <v>333</v>
      </c>
      <c r="T152" s="90"/>
      <c r="U152" s="90"/>
      <c r="V152" s="96" t="str">
        <f>HYPERLINK("https://pbs.twimg.com/profile_images/1310936366218346498/83dRyxQ__normal.jpg")</f>
        <v>https://pbs.twimg.com/profile_images/1310936366218346498/83dRyxQ__normal.jpg</v>
      </c>
      <c r="W152" s="93">
        <v>44483.44935185185</v>
      </c>
      <c r="X152" s="102">
        <v>44483</v>
      </c>
      <c r="Y152" s="99" t="s">
        <v>2163</v>
      </c>
      <c r="Z152" s="96" t="str">
        <f>HYPERLINK("https://twitter.com/ototterman/status/1448601240502427650")</f>
        <v>https://twitter.com/ototterman/status/1448601240502427650</v>
      </c>
      <c r="AA152" s="90"/>
      <c r="AB152" s="90"/>
      <c r="AC152" s="99" t="s">
        <v>2209</v>
      </c>
      <c r="AD152" s="90"/>
      <c r="AE152" s="90" t="b">
        <v>0</v>
      </c>
      <c r="AF152" s="90">
        <v>0</v>
      </c>
      <c r="AG152" s="99" t="s">
        <v>535</v>
      </c>
      <c r="AH152" s="90" t="b">
        <v>1</v>
      </c>
      <c r="AI152" s="90" t="s">
        <v>537</v>
      </c>
      <c r="AJ152" s="90"/>
      <c r="AK152" s="99" t="s">
        <v>526</v>
      </c>
      <c r="AL152" s="90" t="b">
        <v>0</v>
      </c>
      <c r="AM152" s="90">
        <v>6</v>
      </c>
      <c r="AN152" s="99" t="s">
        <v>2233</v>
      </c>
      <c r="AO152" s="99" t="s">
        <v>545</v>
      </c>
      <c r="AP152" s="90" t="b">
        <v>0</v>
      </c>
      <c r="AQ152" s="99" t="s">
        <v>2233</v>
      </c>
      <c r="AR152" s="90" t="s">
        <v>187</v>
      </c>
      <c r="AS152" s="90">
        <v>0</v>
      </c>
      <c r="AT152" s="90">
        <v>0</v>
      </c>
      <c r="AU152" s="90"/>
      <c r="AV152" s="90"/>
      <c r="AW152" s="90"/>
      <c r="AX152" s="90"/>
      <c r="AY152" s="90"/>
      <c r="AZ152" s="90"/>
      <c r="BA152" s="90"/>
      <c r="BB152" s="90"/>
      <c r="BC152" s="90">
        <v>1</v>
      </c>
      <c r="BD152" s="89" t="str">
        <f>REPLACE(INDEX(GroupVertices[Group],MATCH(Edges[[#This Row],[Vertex 1]],GroupVertices[Vertex],0)),1,1,"")</f>
        <v>1</v>
      </c>
      <c r="BE152" s="89"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6" t="s">
        <v>2122</v>
      </c>
      <c r="B153" s="66" t="s">
        <v>299</v>
      </c>
      <c r="C153" s="67" t="s">
        <v>2108</v>
      </c>
      <c r="D153" s="68">
        <v>1</v>
      </c>
      <c r="E153" s="69" t="s">
        <v>132</v>
      </c>
      <c r="F153" s="70">
        <v>32</v>
      </c>
      <c r="G153" s="67" t="s">
        <v>51</v>
      </c>
      <c r="H153" s="71"/>
      <c r="I153" s="72"/>
      <c r="J153" s="72"/>
      <c r="K153" s="35" t="s">
        <v>65</v>
      </c>
      <c r="L153" s="79">
        <v>153</v>
      </c>
      <c r="M153" s="79"/>
      <c r="N153" s="74"/>
      <c r="O153" s="90" t="s">
        <v>306</v>
      </c>
      <c r="P153" s="93">
        <v>44483.45150462963</v>
      </c>
      <c r="Q153" s="90" t="s">
        <v>2142</v>
      </c>
      <c r="R153" s="96" t="str">
        <f>HYPERLINK("https://twitter.com/HelsinkiGSE/status/1448530102837514240")</f>
        <v>https://twitter.com/HelsinkiGSE/status/1448530102837514240</v>
      </c>
      <c r="S153" s="90" t="s">
        <v>333</v>
      </c>
      <c r="T153" s="90"/>
      <c r="U153" s="90"/>
      <c r="V153" s="96" t="str">
        <f>HYPERLINK("https://pbs.twimg.com/profile_images/1352607196081745922/0JkBzP70_normal.jpg")</f>
        <v>https://pbs.twimg.com/profile_images/1352607196081745922/0JkBzP70_normal.jpg</v>
      </c>
      <c r="W153" s="93">
        <v>44483.45150462963</v>
      </c>
      <c r="X153" s="102">
        <v>44483</v>
      </c>
      <c r="Y153" s="99" t="s">
        <v>2164</v>
      </c>
      <c r="Z153" s="96" t="str">
        <f>HYPERLINK("https://twitter.com/laurarissanen/status/1448602022933110787")</f>
        <v>https://twitter.com/laurarissanen/status/1448602022933110787</v>
      </c>
      <c r="AA153" s="90"/>
      <c r="AB153" s="90"/>
      <c r="AC153" s="99" t="s">
        <v>2210</v>
      </c>
      <c r="AD153" s="90"/>
      <c r="AE153" s="90" t="b">
        <v>0</v>
      </c>
      <c r="AF153" s="90">
        <v>0</v>
      </c>
      <c r="AG153" s="99" t="s">
        <v>535</v>
      </c>
      <c r="AH153" s="90" t="b">
        <v>1</v>
      </c>
      <c r="AI153" s="90" t="s">
        <v>537</v>
      </c>
      <c r="AJ153" s="90"/>
      <c r="AK153" s="99" t="s">
        <v>526</v>
      </c>
      <c r="AL153" s="90" t="b">
        <v>0</v>
      </c>
      <c r="AM153" s="90">
        <v>6</v>
      </c>
      <c r="AN153" s="99" t="s">
        <v>2233</v>
      </c>
      <c r="AO153" s="99" t="s">
        <v>543</v>
      </c>
      <c r="AP153" s="90" t="b">
        <v>0</v>
      </c>
      <c r="AQ153" s="99" t="s">
        <v>2233</v>
      </c>
      <c r="AR153" s="90" t="s">
        <v>187</v>
      </c>
      <c r="AS153" s="90">
        <v>0</v>
      </c>
      <c r="AT153" s="90">
        <v>0</v>
      </c>
      <c r="AU153" s="90"/>
      <c r="AV153" s="90"/>
      <c r="AW153" s="90"/>
      <c r="AX153" s="90"/>
      <c r="AY153" s="90"/>
      <c r="AZ153" s="90"/>
      <c r="BA153" s="90"/>
      <c r="BB153" s="90"/>
      <c r="BC153" s="90">
        <v>1</v>
      </c>
      <c r="BD153" s="89" t="str">
        <f>REPLACE(INDEX(GroupVertices[Group],MATCH(Edges[[#This Row],[Vertex 1]],GroupVertices[Vertex],0)),1,1,"")</f>
        <v>1</v>
      </c>
      <c r="BE153" s="89" t="str">
        <f>REPLACE(INDEX(GroupVertices[Group],MATCH(Edges[[#This Row],[Vertex 2]],GroupVertices[Vertex],0)),1,1,"")</f>
        <v>1</v>
      </c>
      <c r="BF153" s="49"/>
      <c r="BG153" s="50"/>
      <c r="BH153" s="49"/>
      <c r="BI153" s="50"/>
      <c r="BJ153" s="49"/>
      <c r="BK153" s="50"/>
      <c r="BL153" s="49"/>
      <c r="BM153" s="50"/>
      <c r="BN153" s="49"/>
    </row>
    <row r="154" spans="1:66" ht="15">
      <c r="A154" s="66" t="s">
        <v>2122</v>
      </c>
      <c r="B154" s="66" t="s">
        <v>302</v>
      </c>
      <c r="C154" s="67" t="s">
        <v>2108</v>
      </c>
      <c r="D154" s="68">
        <v>1</v>
      </c>
      <c r="E154" s="69" t="s">
        <v>132</v>
      </c>
      <c r="F154" s="70">
        <v>32</v>
      </c>
      <c r="G154" s="67" t="s">
        <v>51</v>
      </c>
      <c r="H154" s="71"/>
      <c r="I154" s="72"/>
      <c r="J154" s="72"/>
      <c r="K154" s="35" t="s">
        <v>65</v>
      </c>
      <c r="L154" s="79">
        <v>154</v>
      </c>
      <c r="M154" s="79"/>
      <c r="N154" s="74"/>
      <c r="O154" s="90" t="s">
        <v>306</v>
      </c>
      <c r="P154" s="93">
        <v>44483.45150462963</v>
      </c>
      <c r="Q154" s="90" t="s">
        <v>2142</v>
      </c>
      <c r="R154" s="96" t="str">
        <f>HYPERLINK("https://twitter.com/HelsinkiGSE/status/1448530102837514240")</f>
        <v>https://twitter.com/HelsinkiGSE/status/1448530102837514240</v>
      </c>
      <c r="S154" s="90" t="s">
        <v>333</v>
      </c>
      <c r="T154" s="90"/>
      <c r="U154" s="90"/>
      <c r="V154" s="96" t="str">
        <f>HYPERLINK("https://pbs.twimg.com/profile_images/1352607196081745922/0JkBzP70_normal.jpg")</f>
        <v>https://pbs.twimg.com/profile_images/1352607196081745922/0JkBzP70_normal.jpg</v>
      </c>
      <c r="W154" s="93">
        <v>44483.45150462963</v>
      </c>
      <c r="X154" s="102">
        <v>44483</v>
      </c>
      <c r="Y154" s="99" t="s">
        <v>2164</v>
      </c>
      <c r="Z154" s="96" t="str">
        <f>HYPERLINK("https://twitter.com/laurarissanen/status/1448602022933110787")</f>
        <v>https://twitter.com/laurarissanen/status/1448602022933110787</v>
      </c>
      <c r="AA154" s="90"/>
      <c r="AB154" s="90"/>
      <c r="AC154" s="99" t="s">
        <v>2210</v>
      </c>
      <c r="AD154" s="90"/>
      <c r="AE154" s="90" t="b">
        <v>0</v>
      </c>
      <c r="AF154" s="90">
        <v>0</v>
      </c>
      <c r="AG154" s="99" t="s">
        <v>535</v>
      </c>
      <c r="AH154" s="90" t="b">
        <v>1</v>
      </c>
      <c r="AI154" s="90" t="s">
        <v>537</v>
      </c>
      <c r="AJ154" s="90"/>
      <c r="AK154" s="99" t="s">
        <v>526</v>
      </c>
      <c r="AL154" s="90" t="b">
        <v>0</v>
      </c>
      <c r="AM154" s="90">
        <v>6</v>
      </c>
      <c r="AN154" s="99" t="s">
        <v>2233</v>
      </c>
      <c r="AO154" s="99" t="s">
        <v>543</v>
      </c>
      <c r="AP154" s="90" t="b">
        <v>0</v>
      </c>
      <c r="AQ154" s="99" t="s">
        <v>2233</v>
      </c>
      <c r="AR154" s="90" t="s">
        <v>187</v>
      </c>
      <c r="AS154" s="90">
        <v>0</v>
      </c>
      <c r="AT154" s="90">
        <v>0</v>
      </c>
      <c r="AU154" s="90"/>
      <c r="AV154" s="90"/>
      <c r="AW154" s="90"/>
      <c r="AX154" s="90"/>
      <c r="AY154" s="90"/>
      <c r="AZ154" s="90"/>
      <c r="BA154" s="90"/>
      <c r="BB154" s="90"/>
      <c r="BC154" s="90">
        <v>1</v>
      </c>
      <c r="BD154" s="89" t="str">
        <f>REPLACE(INDEX(GroupVertices[Group],MATCH(Edges[[#This Row],[Vertex 1]],GroupVertices[Vertex],0)),1,1,"")</f>
        <v>1</v>
      </c>
      <c r="BE154" s="89" t="str">
        <f>REPLACE(INDEX(GroupVertices[Group],MATCH(Edges[[#This Row],[Vertex 2]],GroupVertices[Vertex],0)),1,1,"")</f>
        <v>1</v>
      </c>
      <c r="BF154" s="49"/>
      <c r="BG154" s="50"/>
      <c r="BH154" s="49"/>
      <c r="BI154" s="50"/>
      <c r="BJ154" s="49"/>
      <c r="BK154" s="50"/>
      <c r="BL154" s="49"/>
      <c r="BM154" s="50"/>
      <c r="BN154" s="49"/>
    </row>
    <row r="155" spans="1:66" ht="15">
      <c r="A155" s="66" t="s">
        <v>2122</v>
      </c>
      <c r="B155" s="66" t="s">
        <v>293</v>
      </c>
      <c r="C155" s="67" t="s">
        <v>2108</v>
      </c>
      <c r="D155" s="68">
        <v>1</v>
      </c>
      <c r="E155" s="69" t="s">
        <v>132</v>
      </c>
      <c r="F155" s="70">
        <v>32</v>
      </c>
      <c r="G155" s="67" t="s">
        <v>51</v>
      </c>
      <c r="H155" s="71"/>
      <c r="I155" s="72"/>
      <c r="J155" s="72"/>
      <c r="K155" s="35" t="s">
        <v>65</v>
      </c>
      <c r="L155" s="79">
        <v>155</v>
      </c>
      <c r="M155" s="79"/>
      <c r="N155" s="74"/>
      <c r="O155" s="90" t="s">
        <v>306</v>
      </c>
      <c r="P155" s="93">
        <v>44483.45150462963</v>
      </c>
      <c r="Q155" s="90" t="s">
        <v>2142</v>
      </c>
      <c r="R155" s="96" t="str">
        <f>HYPERLINK("https://twitter.com/HelsinkiGSE/status/1448530102837514240")</f>
        <v>https://twitter.com/HelsinkiGSE/status/1448530102837514240</v>
      </c>
      <c r="S155" s="90" t="s">
        <v>333</v>
      </c>
      <c r="T155" s="90"/>
      <c r="U155" s="90"/>
      <c r="V155" s="96" t="str">
        <f>HYPERLINK("https://pbs.twimg.com/profile_images/1352607196081745922/0JkBzP70_normal.jpg")</f>
        <v>https://pbs.twimg.com/profile_images/1352607196081745922/0JkBzP70_normal.jpg</v>
      </c>
      <c r="W155" s="93">
        <v>44483.45150462963</v>
      </c>
      <c r="X155" s="102">
        <v>44483</v>
      </c>
      <c r="Y155" s="99" t="s">
        <v>2164</v>
      </c>
      <c r="Z155" s="96" t="str">
        <f>HYPERLINK("https://twitter.com/laurarissanen/status/1448602022933110787")</f>
        <v>https://twitter.com/laurarissanen/status/1448602022933110787</v>
      </c>
      <c r="AA155" s="90"/>
      <c r="AB155" s="90"/>
      <c r="AC155" s="99" t="s">
        <v>2210</v>
      </c>
      <c r="AD155" s="90"/>
      <c r="AE155" s="90" t="b">
        <v>0</v>
      </c>
      <c r="AF155" s="90">
        <v>0</v>
      </c>
      <c r="AG155" s="99" t="s">
        <v>535</v>
      </c>
      <c r="AH155" s="90" t="b">
        <v>1</v>
      </c>
      <c r="AI155" s="90" t="s">
        <v>537</v>
      </c>
      <c r="AJ155" s="90"/>
      <c r="AK155" s="99" t="s">
        <v>526</v>
      </c>
      <c r="AL155" s="90" t="b">
        <v>0</v>
      </c>
      <c r="AM155" s="90">
        <v>6</v>
      </c>
      <c r="AN155" s="99" t="s">
        <v>2233</v>
      </c>
      <c r="AO155" s="99" t="s">
        <v>543</v>
      </c>
      <c r="AP155" s="90" t="b">
        <v>0</v>
      </c>
      <c r="AQ155" s="99" t="s">
        <v>2233</v>
      </c>
      <c r="AR155" s="90" t="s">
        <v>187</v>
      </c>
      <c r="AS155" s="90">
        <v>0</v>
      </c>
      <c r="AT155" s="90">
        <v>0</v>
      </c>
      <c r="AU155" s="90"/>
      <c r="AV155" s="90"/>
      <c r="AW155" s="90"/>
      <c r="AX155" s="90"/>
      <c r="AY155" s="90"/>
      <c r="AZ155" s="90"/>
      <c r="BA155" s="90"/>
      <c r="BB155" s="90"/>
      <c r="BC155" s="90">
        <v>1</v>
      </c>
      <c r="BD155" s="89" t="str">
        <f>REPLACE(INDEX(GroupVertices[Group],MATCH(Edges[[#This Row],[Vertex 1]],GroupVertices[Vertex],0)),1,1,"")</f>
        <v>1</v>
      </c>
      <c r="BE155" s="89" t="str">
        <f>REPLACE(INDEX(GroupVertices[Group],MATCH(Edges[[#This Row],[Vertex 2]],GroupVertices[Vertex],0)),1,1,"")</f>
        <v>3</v>
      </c>
      <c r="BF155" s="49"/>
      <c r="BG155" s="50"/>
      <c r="BH155" s="49"/>
      <c r="BI155" s="50"/>
      <c r="BJ155" s="49"/>
      <c r="BK155" s="50"/>
      <c r="BL155" s="49"/>
      <c r="BM155" s="50"/>
      <c r="BN155" s="49"/>
    </row>
    <row r="156" spans="1:66" ht="15">
      <c r="A156" s="66" t="s">
        <v>2122</v>
      </c>
      <c r="B156" s="66" t="s">
        <v>2134</v>
      </c>
      <c r="C156" s="67" t="s">
        <v>2108</v>
      </c>
      <c r="D156" s="68">
        <v>1</v>
      </c>
      <c r="E156" s="69" t="s">
        <v>132</v>
      </c>
      <c r="F156" s="70">
        <v>32</v>
      </c>
      <c r="G156" s="67" t="s">
        <v>51</v>
      </c>
      <c r="H156" s="71"/>
      <c r="I156" s="72"/>
      <c r="J156" s="72"/>
      <c r="K156" s="35" t="s">
        <v>65</v>
      </c>
      <c r="L156" s="79">
        <v>156</v>
      </c>
      <c r="M156" s="79"/>
      <c r="N156" s="74"/>
      <c r="O156" s="90" t="s">
        <v>305</v>
      </c>
      <c r="P156" s="93">
        <v>44483.45150462963</v>
      </c>
      <c r="Q156" s="90" t="s">
        <v>2142</v>
      </c>
      <c r="R156" s="96" t="str">
        <f>HYPERLINK("https://twitter.com/HelsinkiGSE/status/1448530102837514240")</f>
        <v>https://twitter.com/HelsinkiGSE/status/1448530102837514240</v>
      </c>
      <c r="S156" s="90" t="s">
        <v>333</v>
      </c>
      <c r="T156" s="90"/>
      <c r="U156" s="90"/>
      <c r="V156" s="96" t="str">
        <f>HYPERLINK("https://pbs.twimg.com/profile_images/1352607196081745922/0JkBzP70_normal.jpg")</f>
        <v>https://pbs.twimg.com/profile_images/1352607196081745922/0JkBzP70_normal.jpg</v>
      </c>
      <c r="W156" s="93">
        <v>44483.45150462963</v>
      </c>
      <c r="X156" s="102">
        <v>44483</v>
      </c>
      <c r="Y156" s="99" t="s">
        <v>2164</v>
      </c>
      <c r="Z156" s="96" t="str">
        <f>HYPERLINK("https://twitter.com/laurarissanen/status/1448602022933110787")</f>
        <v>https://twitter.com/laurarissanen/status/1448602022933110787</v>
      </c>
      <c r="AA156" s="90"/>
      <c r="AB156" s="90"/>
      <c r="AC156" s="99" t="s">
        <v>2210</v>
      </c>
      <c r="AD156" s="90"/>
      <c r="AE156" s="90" t="b">
        <v>0</v>
      </c>
      <c r="AF156" s="90">
        <v>0</v>
      </c>
      <c r="AG156" s="99" t="s">
        <v>535</v>
      </c>
      <c r="AH156" s="90" t="b">
        <v>1</v>
      </c>
      <c r="AI156" s="90" t="s">
        <v>537</v>
      </c>
      <c r="AJ156" s="90"/>
      <c r="AK156" s="99" t="s">
        <v>526</v>
      </c>
      <c r="AL156" s="90" t="b">
        <v>0</v>
      </c>
      <c r="AM156" s="90">
        <v>6</v>
      </c>
      <c r="AN156" s="99" t="s">
        <v>2233</v>
      </c>
      <c r="AO156" s="99" t="s">
        <v>543</v>
      </c>
      <c r="AP156" s="90" t="b">
        <v>0</v>
      </c>
      <c r="AQ156" s="99" t="s">
        <v>2233</v>
      </c>
      <c r="AR156" s="90" t="s">
        <v>187</v>
      </c>
      <c r="AS156" s="90">
        <v>0</v>
      </c>
      <c r="AT156" s="90">
        <v>0</v>
      </c>
      <c r="AU156" s="90"/>
      <c r="AV156" s="90"/>
      <c r="AW156" s="90"/>
      <c r="AX156" s="90"/>
      <c r="AY156" s="90"/>
      <c r="AZ156" s="90"/>
      <c r="BA156" s="90"/>
      <c r="BB156" s="90"/>
      <c r="BC156" s="90">
        <v>1</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6" t="s">
        <v>268</v>
      </c>
      <c r="B157" s="66" t="s">
        <v>299</v>
      </c>
      <c r="C157" s="67" t="s">
        <v>2108</v>
      </c>
      <c r="D157" s="68">
        <v>1</v>
      </c>
      <c r="E157" s="69" t="s">
        <v>132</v>
      </c>
      <c r="F157" s="70">
        <v>32</v>
      </c>
      <c r="G157" s="67" t="s">
        <v>51</v>
      </c>
      <c r="H157" s="71"/>
      <c r="I157" s="72"/>
      <c r="J157" s="72"/>
      <c r="K157" s="35" t="s">
        <v>65</v>
      </c>
      <c r="L157" s="79">
        <v>157</v>
      </c>
      <c r="M157" s="79"/>
      <c r="N157" s="74"/>
      <c r="O157" s="90" t="s">
        <v>306</v>
      </c>
      <c r="P157" s="93">
        <v>44483.45699074074</v>
      </c>
      <c r="Q157" s="90" t="s">
        <v>310</v>
      </c>
      <c r="R157" s="96" t="str">
        <f>HYPERLINK("https://talouskurssi.fi/")</f>
        <v>https://talouskurssi.fi/</v>
      </c>
      <c r="S157" s="90" t="s">
        <v>334</v>
      </c>
      <c r="T157" s="99" t="s">
        <v>338</v>
      </c>
      <c r="U157" s="96" t="str">
        <f>HYPERLINK("https://pbs.twimg.com/ext_tw_video_thumb/1448527896562348036/pu/img/0PqSbNMaXHvzKHCc.jpg")</f>
        <v>https://pbs.twimg.com/ext_tw_video_thumb/1448527896562348036/pu/img/0PqSbNMaXHvzKHCc.jpg</v>
      </c>
      <c r="V157" s="96" t="str">
        <f>HYPERLINK("https://pbs.twimg.com/ext_tw_video_thumb/1448527896562348036/pu/img/0PqSbNMaXHvzKHCc.jpg")</f>
        <v>https://pbs.twimg.com/ext_tw_video_thumb/1448527896562348036/pu/img/0PqSbNMaXHvzKHCc.jpg</v>
      </c>
      <c r="W157" s="93">
        <v>44483.45699074074</v>
      </c>
      <c r="X157" s="102">
        <v>44483</v>
      </c>
      <c r="Y157" s="99" t="s">
        <v>390</v>
      </c>
      <c r="Z157" s="96" t="str">
        <f>HYPERLINK("https://twitter.com/tainac/status/1448604010395705345")</f>
        <v>https://twitter.com/tainac/status/1448604010395705345</v>
      </c>
      <c r="AA157" s="90"/>
      <c r="AB157" s="90"/>
      <c r="AC157" s="99" t="s">
        <v>484</v>
      </c>
      <c r="AD157" s="90"/>
      <c r="AE157" s="90" t="b">
        <v>0</v>
      </c>
      <c r="AF157" s="90">
        <v>0</v>
      </c>
      <c r="AG157" s="99" t="s">
        <v>535</v>
      </c>
      <c r="AH157" s="90" t="b">
        <v>0</v>
      </c>
      <c r="AI157" s="90" t="s">
        <v>537</v>
      </c>
      <c r="AJ157" s="90"/>
      <c r="AK157" s="99" t="s">
        <v>535</v>
      </c>
      <c r="AL157" s="90" t="b">
        <v>0</v>
      </c>
      <c r="AM157" s="90">
        <v>52</v>
      </c>
      <c r="AN157" s="99" t="s">
        <v>526</v>
      </c>
      <c r="AO157" s="99" t="s">
        <v>542</v>
      </c>
      <c r="AP157" s="90" t="b">
        <v>0</v>
      </c>
      <c r="AQ157" s="99" t="s">
        <v>526</v>
      </c>
      <c r="AR157" s="90" t="s">
        <v>187</v>
      </c>
      <c r="AS157" s="90">
        <v>0</v>
      </c>
      <c r="AT157" s="90">
        <v>0</v>
      </c>
      <c r="AU157" s="90"/>
      <c r="AV157" s="90"/>
      <c r="AW157" s="90"/>
      <c r="AX157" s="90"/>
      <c r="AY157" s="90"/>
      <c r="AZ157" s="90"/>
      <c r="BA157" s="90"/>
      <c r="BB157" s="90"/>
      <c r="BC157" s="90">
        <v>1</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6" t="s">
        <v>268</v>
      </c>
      <c r="B158" s="66" t="s">
        <v>302</v>
      </c>
      <c r="C158" s="67" t="s">
        <v>2108</v>
      </c>
      <c r="D158" s="68">
        <v>1</v>
      </c>
      <c r="E158" s="69" t="s">
        <v>132</v>
      </c>
      <c r="F158" s="70">
        <v>32</v>
      </c>
      <c r="G158" s="67" t="s">
        <v>51</v>
      </c>
      <c r="H158" s="71"/>
      <c r="I158" s="72"/>
      <c r="J158" s="72"/>
      <c r="K158" s="35" t="s">
        <v>65</v>
      </c>
      <c r="L158" s="79">
        <v>158</v>
      </c>
      <c r="M158" s="79"/>
      <c r="N158" s="74"/>
      <c r="O158" s="90" t="s">
        <v>306</v>
      </c>
      <c r="P158" s="93">
        <v>44483.45699074074</v>
      </c>
      <c r="Q158" s="90" t="s">
        <v>310</v>
      </c>
      <c r="R158" s="96" t="str">
        <f>HYPERLINK("https://talouskurssi.fi/")</f>
        <v>https://talouskurssi.fi/</v>
      </c>
      <c r="S158" s="90" t="s">
        <v>334</v>
      </c>
      <c r="T158" s="99" t="s">
        <v>338</v>
      </c>
      <c r="U158" s="96" t="str">
        <f>HYPERLINK("https://pbs.twimg.com/ext_tw_video_thumb/1448527896562348036/pu/img/0PqSbNMaXHvzKHCc.jpg")</f>
        <v>https://pbs.twimg.com/ext_tw_video_thumb/1448527896562348036/pu/img/0PqSbNMaXHvzKHCc.jpg</v>
      </c>
      <c r="V158" s="96" t="str">
        <f>HYPERLINK("https://pbs.twimg.com/ext_tw_video_thumb/1448527896562348036/pu/img/0PqSbNMaXHvzKHCc.jpg")</f>
        <v>https://pbs.twimg.com/ext_tw_video_thumb/1448527896562348036/pu/img/0PqSbNMaXHvzKHCc.jpg</v>
      </c>
      <c r="W158" s="93">
        <v>44483.45699074074</v>
      </c>
      <c r="X158" s="102">
        <v>44483</v>
      </c>
      <c r="Y158" s="99" t="s">
        <v>390</v>
      </c>
      <c r="Z158" s="96" t="str">
        <f>HYPERLINK("https://twitter.com/tainac/status/1448604010395705345")</f>
        <v>https://twitter.com/tainac/status/1448604010395705345</v>
      </c>
      <c r="AA158" s="90"/>
      <c r="AB158" s="90"/>
      <c r="AC158" s="99" t="s">
        <v>484</v>
      </c>
      <c r="AD158" s="90"/>
      <c r="AE158" s="90" t="b">
        <v>0</v>
      </c>
      <c r="AF158" s="90">
        <v>0</v>
      </c>
      <c r="AG158" s="99" t="s">
        <v>535</v>
      </c>
      <c r="AH158" s="90" t="b">
        <v>0</v>
      </c>
      <c r="AI158" s="90" t="s">
        <v>537</v>
      </c>
      <c r="AJ158" s="90"/>
      <c r="AK158" s="99" t="s">
        <v>535</v>
      </c>
      <c r="AL158" s="90" t="b">
        <v>0</v>
      </c>
      <c r="AM158" s="90">
        <v>52</v>
      </c>
      <c r="AN158" s="99" t="s">
        <v>526</v>
      </c>
      <c r="AO158" s="99" t="s">
        <v>542</v>
      </c>
      <c r="AP158" s="90" t="b">
        <v>0</v>
      </c>
      <c r="AQ158" s="99" t="s">
        <v>526</v>
      </c>
      <c r="AR158" s="90" t="s">
        <v>187</v>
      </c>
      <c r="AS158" s="90">
        <v>0</v>
      </c>
      <c r="AT158" s="90">
        <v>0</v>
      </c>
      <c r="AU158" s="90"/>
      <c r="AV158" s="90"/>
      <c r="AW158" s="90"/>
      <c r="AX158" s="90"/>
      <c r="AY158" s="90"/>
      <c r="AZ158" s="90"/>
      <c r="BA158" s="90"/>
      <c r="BB158" s="90"/>
      <c r="BC158" s="90">
        <v>1</v>
      </c>
      <c r="BD158" s="89" t="str">
        <f>REPLACE(INDEX(GroupVertices[Group],MATCH(Edges[[#This Row],[Vertex 1]],GroupVertices[Vertex],0)),1,1,"")</f>
        <v>1</v>
      </c>
      <c r="BE158" s="89" t="str">
        <f>REPLACE(INDEX(GroupVertices[Group],MATCH(Edges[[#This Row],[Vertex 2]],GroupVertices[Vertex],0)),1,1,"")</f>
        <v>1</v>
      </c>
      <c r="BF158" s="49"/>
      <c r="BG158" s="50"/>
      <c r="BH158" s="49"/>
      <c r="BI158" s="50"/>
      <c r="BJ158" s="49"/>
      <c r="BK158" s="50"/>
      <c r="BL158" s="49"/>
      <c r="BM158" s="50"/>
      <c r="BN158" s="49"/>
    </row>
    <row r="159" spans="1:66" ht="15">
      <c r="A159" s="66" t="s">
        <v>268</v>
      </c>
      <c r="B159" s="66" t="s">
        <v>293</v>
      </c>
      <c r="C159" s="67" t="s">
        <v>2108</v>
      </c>
      <c r="D159" s="68">
        <v>1</v>
      </c>
      <c r="E159" s="69" t="s">
        <v>132</v>
      </c>
      <c r="F159" s="70">
        <v>32</v>
      </c>
      <c r="G159" s="67" t="s">
        <v>51</v>
      </c>
      <c r="H159" s="71"/>
      <c r="I159" s="72"/>
      <c r="J159" s="72"/>
      <c r="K159" s="35" t="s">
        <v>65</v>
      </c>
      <c r="L159" s="79">
        <v>159</v>
      </c>
      <c r="M159" s="79"/>
      <c r="N159" s="74"/>
      <c r="O159" s="90" t="s">
        <v>305</v>
      </c>
      <c r="P159" s="93">
        <v>44483.45699074074</v>
      </c>
      <c r="Q159" s="90" t="s">
        <v>310</v>
      </c>
      <c r="R159" s="96" t="str">
        <f>HYPERLINK("https://talouskurssi.fi/")</f>
        <v>https://talouskurssi.fi/</v>
      </c>
      <c r="S159" s="90" t="s">
        <v>334</v>
      </c>
      <c r="T159" s="99" t="s">
        <v>338</v>
      </c>
      <c r="U159" s="96" t="str">
        <f>HYPERLINK("https://pbs.twimg.com/ext_tw_video_thumb/1448527896562348036/pu/img/0PqSbNMaXHvzKHCc.jpg")</f>
        <v>https://pbs.twimg.com/ext_tw_video_thumb/1448527896562348036/pu/img/0PqSbNMaXHvzKHCc.jpg</v>
      </c>
      <c r="V159" s="96" t="str">
        <f>HYPERLINK("https://pbs.twimg.com/ext_tw_video_thumb/1448527896562348036/pu/img/0PqSbNMaXHvzKHCc.jpg")</f>
        <v>https://pbs.twimg.com/ext_tw_video_thumb/1448527896562348036/pu/img/0PqSbNMaXHvzKHCc.jpg</v>
      </c>
      <c r="W159" s="93">
        <v>44483.45699074074</v>
      </c>
      <c r="X159" s="102">
        <v>44483</v>
      </c>
      <c r="Y159" s="99" t="s">
        <v>390</v>
      </c>
      <c r="Z159" s="96" t="str">
        <f>HYPERLINK("https://twitter.com/tainac/status/1448604010395705345")</f>
        <v>https://twitter.com/tainac/status/1448604010395705345</v>
      </c>
      <c r="AA159" s="90"/>
      <c r="AB159" s="90"/>
      <c r="AC159" s="99" t="s">
        <v>484</v>
      </c>
      <c r="AD159" s="90"/>
      <c r="AE159" s="90" t="b">
        <v>0</v>
      </c>
      <c r="AF159" s="90">
        <v>0</v>
      </c>
      <c r="AG159" s="99" t="s">
        <v>535</v>
      </c>
      <c r="AH159" s="90" t="b">
        <v>0</v>
      </c>
      <c r="AI159" s="90" t="s">
        <v>537</v>
      </c>
      <c r="AJ159" s="90"/>
      <c r="AK159" s="99" t="s">
        <v>535</v>
      </c>
      <c r="AL159" s="90" t="b">
        <v>0</v>
      </c>
      <c r="AM159" s="90">
        <v>52</v>
      </c>
      <c r="AN159" s="99" t="s">
        <v>526</v>
      </c>
      <c r="AO159" s="99" t="s">
        <v>542</v>
      </c>
      <c r="AP159" s="90" t="b">
        <v>0</v>
      </c>
      <c r="AQ159" s="99" t="s">
        <v>526</v>
      </c>
      <c r="AR159" s="90" t="s">
        <v>187</v>
      </c>
      <c r="AS159" s="90">
        <v>0</v>
      </c>
      <c r="AT159" s="90">
        <v>0</v>
      </c>
      <c r="AU159" s="90"/>
      <c r="AV159" s="90"/>
      <c r="AW159" s="90"/>
      <c r="AX159" s="90"/>
      <c r="AY159" s="90"/>
      <c r="AZ159" s="90"/>
      <c r="BA159" s="90"/>
      <c r="BB159" s="90"/>
      <c r="BC159" s="90">
        <v>1</v>
      </c>
      <c r="BD159" s="89" t="str">
        <f>REPLACE(INDEX(GroupVertices[Group],MATCH(Edges[[#This Row],[Vertex 1]],GroupVertices[Vertex],0)),1,1,"")</f>
        <v>1</v>
      </c>
      <c r="BE159" s="89" t="str">
        <f>REPLACE(INDEX(GroupVertices[Group],MATCH(Edges[[#This Row],[Vertex 2]],GroupVertices[Vertex],0)),1,1,"")</f>
        <v>3</v>
      </c>
      <c r="BF159" s="49">
        <v>0</v>
      </c>
      <c r="BG159" s="50">
        <v>0</v>
      </c>
      <c r="BH159" s="49">
        <v>0</v>
      </c>
      <c r="BI159" s="50">
        <v>0</v>
      </c>
      <c r="BJ159" s="49">
        <v>0</v>
      </c>
      <c r="BK159" s="50">
        <v>0</v>
      </c>
      <c r="BL159" s="49">
        <v>28</v>
      </c>
      <c r="BM159" s="50">
        <v>100</v>
      </c>
      <c r="BN159" s="49">
        <v>28</v>
      </c>
    </row>
    <row r="160" spans="1:66" ht="15">
      <c r="A160" s="66" t="s">
        <v>269</v>
      </c>
      <c r="B160" s="66" t="s">
        <v>299</v>
      </c>
      <c r="C160" s="67" t="s">
        <v>2108</v>
      </c>
      <c r="D160" s="68">
        <v>1</v>
      </c>
      <c r="E160" s="69" t="s">
        <v>132</v>
      </c>
      <c r="F160" s="70">
        <v>32</v>
      </c>
      <c r="G160" s="67" t="s">
        <v>51</v>
      </c>
      <c r="H160" s="71"/>
      <c r="I160" s="72"/>
      <c r="J160" s="72"/>
      <c r="K160" s="35" t="s">
        <v>65</v>
      </c>
      <c r="L160" s="79">
        <v>160</v>
      </c>
      <c r="M160" s="79"/>
      <c r="N160" s="74"/>
      <c r="O160" s="90" t="s">
        <v>306</v>
      </c>
      <c r="P160" s="93">
        <v>44483.45920138889</v>
      </c>
      <c r="Q160" s="90" t="s">
        <v>310</v>
      </c>
      <c r="R160" s="96" t="str">
        <f>HYPERLINK("https://talouskurssi.fi/")</f>
        <v>https://talouskurssi.fi/</v>
      </c>
      <c r="S160" s="90" t="s">
        <v>334</v>
      </c>
      <c r="T160" s="99" t="s">
        <v>338</v>
      </c>
      <c r="U160" s="96" t="str">
        <f>HYPERLINK("https://pbs.twimg.com/ext_tw_video_thumb/1448527896562348036/pu/img/0PqSbNMaXHvzKHCc.jpg")</f>
        <v>https://pbs.twimg.com/ext_tw_video_thumb/1448527896562348036/pu/img/0PqSbNMaXHvzKHCc.jpg</v>
      </c>
      <c r="V160" s="96" t="str">
        <f>HYPERLINK("https://pbs.twimg.com/ext_tw_video_thumb/1448527896562348036/pu/img/0PqSbNMaXHvzKHCc.jpg")</f>
        <v>https://pbs.twimg.com/ext_tw_video_thumb/1448527896562348036/pu/img/0PqSbNMaXHvzKHCc.jpg</v>
      </c>
      <c r="W160" s="93">
        <v>44483.45920138889</v>
      </c>
      <c r="X160" s="102">
        <v>44483</v>
      </c>
      <c r="Y160" s="99" t="s">
        <v>391</v>
      </c>
      <c r="Z160" s="96" t="str">
        <f>HYPERLINK("https://twitter.com/juhokauppi/status/1448604809989431299")</f>
        <v>https://twitter.com/juhokauppi/status/1448604809989431299</v>
      </c>
      <c r="AA160" s="90"/>
      <c r="AB160" s="90"/>
      <c r="AC160" s="99" t="s">
        <v>485</v>
      </c>
      <c r="AD160" s="90"/>
      <c r="AE160" s="90" t="b">
        <v>0</v>
      </c>
      <c r="AF160" s="90">
        <v>0</v>
      </c>
      <c r="AG160" s="99" t="s">
        <v>535</v>
      </c>
      <c r="AH160" s="90" t="b">
        <v>0</v>
      </c>
      <c r="AI160" s="90" t="s">
        <v>537</v>
      </c>
      <c r="AJ160" s="90"/>
      <c r="AK160" s="99" t="s">
        <v>535</v>
      </c>
      <c r="AL160" s="90" t="b">
        <v>0</v>
      </c>
      <c r="AM160" s="90">
        <v>52</v>
      </c>
      <c r="AN160" s="99" t="s">
        <v>526</v>
      </c>
      <c r="AO160" s="99" t="s">
        <v>545</v>
      </c>
      <c r="AP160" s="90" t="b">
        <v>0</v>
      </c>
      <c r="AQ160" s="99" t="s">
        <v>526</v>
      </c>
      <c r="AR160" s="90" t="s">
        <v>187</v>
      </c>
      <c r="AS160" s="90">
        <v>0</v>
      </c>
      <c r="AT160" s="90">
        <v>0</v>
      </c>
      <c r="AU160" s="90"/>
      <c r="AV160" s="90"/>
      <c r="AW160" s="90"/>
      <c r="AX160" s="90"/>
      <c r="AY160" s="90"/>
      <c r="AZ160" s="90"/>
      <c r="BA160" s="90"/>
      <c r="BB160" s="90"/>
      <c r="BC160" s="90">
        <v>1</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6" t="s">
        <v>269</v>
      </c>
      <c r="B161" s="66" t="s">
        <v>302</v>
      </c>
      <c r="C161" s="67" t="s">
        <v>2108</v>
      </c>
      <c r="D161" s="68">
        <v>1</v>
      </c>
      <c r="E161" s="69" t="s">
        <v>132</v>
      </c>
      <c r="F161" s="70">
        <v>32</v>
      </c>
      <c r="G161" s="67" t="s">
        <v>51</v>
      </c>
      <c r="H161" s="71"/>
      <c r="I161" s="72"/>
      <c r="J161" s="72"/>
      <c r="K161" s="35" t="s">
        <v>65</v>
      </c>
      <c r="L161" s="79">
        <v>161</v>
      </c>
      <c r="M161" s="79"/>
      <c r="N161" s="74"/>
      <c r="O161" s="90" t="s">
        <v>306</v>
      </c>
      <c r="P161" s="93">
        <v>44483.45920138889</v>
      </c>
      <c r="Q161" s="90" t="s">
        <v>310</v>
      </c>
      <c r="R161" s="96" t="str">
        <f>HYPERLINK("https://talouskurssi.fi/")</f>
        <v>https://talouskurssi.fi/</v>
      </c>
      <c r="S161" s="90" t="s">
        <v>334</v>
      </c>
      <c r="T161" s="99" t="s">
        <v>338</v>
      </c>
      <c r="U161" s="96" t="str">
        <f>HYPERLINK("https://pbs.twimg.com/ext_tw_video_thumb/1448527896562348036/pu/img/0PqSbNMaXHvzKHCc.jpg")</f>
        <v>https://pbs.twimg.com/ext_tw_video_thumb/1448527896562348036/pu/img/0PqSbNMaXHvzKHCc.jpg</v>
      </c>
      <c r="V161" s="96" t="str">
        <f>HYPERLINK("https://pbs.twimg.com/ext_tw_video_thumb/1448527896562348036/pu/img/0PqSbNMaXHvzKHCc.jpg")</f>
        <v>https://pbs.twimg.com/ext_tw_video_thumb/1448527896562348036/pu/img/0PqSbNMaXHvzKHCc.jpg</v>
      </c>
      <c r="W161" s="93">
        <v>44483.45920138889</v>
      </c>
      <c r="X161" s="102">
        <v>44483</v>
      </c>
      <c r="Y161" s="99" t="s">
        <v>391</v>
      </c>
      <c r="Z161" s="96" t="str">
        <f>HYPERLINK("https://twitter.com/juhokauppi/status/1448604809989431299")</f>
        <v>https://twitter.com/juhokauppi/status/1448604809989431299</v>
      </c>
      <c r="AA161" s="90"/>
      <c r="AB161" s="90"/>
      <c r="AC161" s="99" t="s">
        <v>485</v>
      </c>
      <c r="AD161" s="90"/>
      <c r="AE161" s="90" t="b">
        <v>0</v>
      </c>
      <c r="AF161" s="90">
        <v>0</v>
      </c>
      <c r="AG161" s="99" t="s">
        <v>535</v>
      </c>
      <c r="AH161" s="90" t="b">
        <v>0</v>
      </c>
      <c r="AI161" s="90" t="s">
        <v>537</v>
      </c>
      <c r="AJ161" s="90"/>
      <c r="AK161" s="99" t="s">
        <v>535</v>
      </c>
      <c r="AL161" s="90" t="b">
        <v>0</v>
      </c>
      <c r="AM161" s="90">
        <v>52</v>
      </c>
      <c r="AN161" s="99" t="s">
        <v>526</v>
      </c>
      <c r="AO161" s="99" t="s">
        <v>545</v>
      </c>
      <c r="AP161" s="90" t="b">
        <v>0</v>
      </c>
      <c r="AQ161" s="99" t="s">
        <v>526</v>
      </c>
      <c r="AR161" s="90" t="s">
        <v>187</v>
      </c>
      <c r="AS161" s="90">
        <v>0</v>
      </c>
      <c r="AT161" s="90">
        <v>0</v>
      </c>
      <c r="AU161" s="90"/>
      <c r="AV161" s="90"/>
      <c r="AW161" s="90"/>
      <c r="AX161" s="90"/>
      <c r="AY161" s="90"/>
      <c r="AZ161" s="90"/>
      <c r="BA161" s="90"/>
      <c r="BB161" s="90"/>
      <c r="BC161" s="90">
        <v>1</v>
      </c>
      <c r="BD161" s="89" t="str">
        <f>REPLACE(INDEX(GroupVertices[Group],MATCH(Edges[[#This Row],[Vertex 1]],GroupVertices[Vertex],0)),1,1,"")</f>
        <v>1</v>
      </c>
      <c r="BE161" s="89" t="str">
        <f>REPLACE(INDEX(GroupVertices[Group],MATCH(Edges[[#This Row],[Vertex 2]],GroupVertices[Vertex],0)),1,1,"")</f>
        <v>1</v>
      </c>
      <c r="BF161" s="49"/>
      <c r="BG161" s="50"/>
      <c r="BH161" s="49"/>
      <c r="BI161" s="50"/>
      <c r="BJ161" s="49"/>
      <c r="BK161" s="50"/>
      <c r="BL161" s="49"/>
      <c r="BM161" s="50"/>
      <c r="BN161" s="49"/>
    </row>
    <row r="162" spans="1:66" ht="15">
      <c r="A162" s="66" t="s">
        <v>269</v>
      </c>
      <c r="B162" s="66" t="s">
        <v>293</v>
      </c>
      <c r="C162" s="67" t="s">
        <v>2108</v>
      </c>
      <c r="D162" s="68">
        <v>1</v>
      </c>
      <c r="E162" s="69" t="s">
        <v>132</v>
      </c>
      <c r="F162" s="70">
        <v>32</v>
      </c>
      <c r="G162" s="67" t="s">
        <v>51</v>
      </c>
      <c r="H162" s="71"/>
      <c r="I162" s="72"/>
      <c r="J162" s="72"/>
      <c r="K162" s="35" t="s">
        <v>65</v>
      </c>
      <c r="L162" s="79">
        <v>162</v>
      </c>
      <c r="M162" s="79"/>
      <c r="N162" s="74"/>
      <c r="O162" s="90" t="s">
        <v>305</v>
      </c>
      <c r="P162" s="93">
        <v>44483.45920138889</v>
      </c>
      <c r="Q162" s="90" t="s">
        <v>310</v>
      </c>
      <c r="R162" s="96" t="str">
        <f>HYPERLINK("https://talouskurssi.fi/")</f>
        <v>https://talouskurssi.fi/</v>
      </c>
      <c r="S162" s="90" t="s">
        <v>334</v>
      </c>
      <c r="T162" s="99" t="s">
        <v>338</v>
      </c>
      <c r="U162" s="96" t="str">
        <f>HYPERLINK("https://pbs.twimg.com/ext_tw_video_thumb/1448527896562348036/pu/img/0PqSbNMaXHvzKHCc.jpg")</f>
        <v>https://pbs.twimg.com/ext_tw_video_thumb/1448527896562348036/pu/img/0PqSbNMaXHvzKHCc.jpg</v>
      </c>
      <c r="V162" s="96" t="str">
        <f>HYPERLINK("https://pbs.twimg.com/ext_tw_video_thumb/1448527896562348036/pu/img/0PqSbNMaXHvzKHCc.jpg")</f>
        <v>https://pbs.twimg.com/ext_tw_video_thumb/1448527896562348036/pu/img/0PqSbNMaXHvzKHCc.jpg</v>
      </c>
      <c r="W162" s="93">
        <v>44483.45920138889</v>
      </c>
      <c r="X162" s="102">
        <v>44483</v>
      </c>
      <c r="Y162" s="99" t="s">
        <v>391</v>
      </c>
      <c r="Z162" s="96" t="str">
        <f>HYPERLINK("https://twitter.com/juhokauppi/status/1448604809989431299")</f>
        <v>https://twitter.com/juhokauppi/status/1448604809989431299</v>
      </c>
      <c r="AA162" s="90"/>
      <c r="AB162" s="90"/>
      <c r="AC162" s="99" t="s">
        <v>485</v>
      </c>
      <c r="AD162" s="90"/>
      <c r="AE162" s="90" t="b">
        <v>0</v>
      </c>
      <c r="AF162" s="90">
        <v>0</v>
      </c>
      <c r="AG162" s="99" t="s">
        <v>535</v>
      </c>
      <c r="AH162" s="90" t="b">
        <v>0</v>
      </c>
      <c r="AI162" s="90" t="s">
        <v>537</v>
      </c>
      <c r="AJ162" s="90"/>
      <c r="AK162" s="99" t="s">
        <v>535</v>
      </c>
      <c r="AL162" s="90" t="b">
        <v>0</v>
      </c>
      <c r="AM162" s="90">
        <v>52</v>
      </c>
      <c r="AN162" s="99" t="s">
        <v>526</v>
      </c>
      <c r="AO162" s="99" t="s">
        <v>545</v>
      </c>
      <c r="AP162" s="90" t="b">
        <v>0</v>
      </c>
      <c r="AQ162" s="99" t="s">
        <v>526</v>
      </c>
      <c r="AR162" s="90" t="s">
        <v>187</v>
      </c>
      <c r="AS162" s="90">
        <v>0</v>
      </c>
      <c r="AT162" s="90">
        <v>0</v>
      </c>
      <c r="AU162" s="90"/>
      <c r="AV162" s="90"/>
      <c r="AW162" s="90"/>
      <c r="AX162" s="90"/>
      <c r="AY162" s="90"/>
      <c r="AZ162" s="90"/>
      <c r="BA162" s="90"/>
      <c r="BB162" s="90"/>
      <c r="BC162" s="90">
        <v>1</v>
      </c>
      <c r="BD162" s="89" t="str">
        <f>REPLACE(INDEX(GroupVertices[Group],MATCH(Edges[[#This Row],[Vertex 1]],GroupVertices[Vertex],0)),1,1,"")</f>
        <v>1</v>
      </c>
      <c r="BE162" s="89" t="str">
        <f>REPLACE(INDEX(GroupVertices[Group],MATCH(Edges[[#This Row],[Vertex 2]],GroupVertices[Vertex],0)),1,1,"")</f>
        <v>3</v>
      </c>
      <c r="BF162" s="49">
        <v>0</v>
      </c>
      <c r="BG162" s="50">
        <v>0</v>
      </c>
      <c r="BH162" s="49">
        <v>0</v>
      </c>
      <c r="BI162" s="50">
        <v>0</v>
      </c>
      <c r="BJ162" s="49">
        <v>0</v>
      </c>
      <c r="BK162" s="50">
        <v>0</v>
      </c>
      <c r="BL162" s="49">
        <v>28</v>
      </c>
      <c r="BM162" s="50">
        <v>100</v>
      </c>
      <c r="BN162" s="49">
        <v>28</v>
      </c>
    </row>
    <row r="163" spans="1:66" ht="15">
      <c r="A163" s="66" t="s">
        <v>270</v>
      </c>
      <c r="B163" s="66" t="s">
        <v>299</v>
      </c>
      <c r="C163" s="67" t="s">
        <v>2108</v>
      </c>
      <c r="D163" s="68">
        <v>1</v>
      </c>
      <c r="E163" s="69" t="s">
        <v>132</v>
      </c>
      <c r="F163" s="70">
        <v>32</v>
      </c>
      <c r="G163" s="67" t="s">
        <v>51</v>
      </c>
      <c r="H163" s="71"/>
      <c r="I163" s="72"/>
      <c r="J163" s="72"/>
      <c r="K163" s="35" t="s">
        <v>65</v>
      </c>
      <c r="L163" s="79">
        <v>163</v>
      </c>
      <c r="M163" s="79"/>
      <c r="N163" s="74"/>
      <c r="O163" s="90" t="s">
        <v>306</v>
      </c>
      <c r="P163" s="93">
        <v>44483.472592592596</v>
      </c>
      <c r="Q163" s="90" t="s">
        <v>318</v>
      </c>
      <c r="R163" s="96" t="str">
        <f>HYPERLINK("https://twitter.com/HelsinkiGSE/status/1448530102837514240")</f>
        <v>https://twitter.com/HelsinkiGSE/status/1448530102837514240</v>
      </c>
      <c r="S163" s="90" t="s">
        <v>333</v>
      </c>
      <c r="T163" s="99" t="s">
        <v>341</v>
      </c>
      <c r="U163" s="90"/>
      <c r="V163" s="96" t="str">
        <f>HYPERLINK("https://pbs.twimg.com/profile_images/1090581803910471680/mzGbomZ8_normal.jpg")</f>
        <v>https://pbs.twimg.com/profile_images/1090581803910471680/mzGbomZ8_normal.jpg</v>
      </c>
      <c r="W163" s="93">
        <v>44483.472592592596</v>
      </c>
      <c r="X163" s="102">
        <v>44483</v>
      </c>
      <c r="Y163" s="99" t="s">
        <v>392</v>
      </c>
      <c r="Z163" s="96" t="str">
        <f>HYPERLINK("https://twitter.com/christamakinen/status/1448609665139548165")</f>
        <v>https://twitter.com/christamakinen/status/1448609665139548165</v>
      </c>
      <c r="AA163" s="90"/>
      <c r="AB163" s="90"/>
      <c r="AC163" s="99" t="s">
        <v>486</v>
      </c>
      <c r="AD163" s="90"/>
      <c r="AE163" s="90" t="b">
        <v>0</v>
      </c>
      <c r="AF163" s="90">
        <v>0</v>
      </c>
      <c r="AG163" s="99" t="s">
        <v>535</v>
      </c>
      <c r="AH163" s="90" t="b">
        <v>1</v>
      </c>
      <c r="AI163" s="90" t="s">
        <v>537</v>
      </c>
      <c r="AJ163" s="90"/>
      <c r="AK163" s="99" t="s">
        <v>526</v>
      </c>
      <c r="AL163" s="90" t="b">
        <v>0</v>
      </c>
      <c r="AM163" s="90">
        <v>3</v>
      </c>
      <c r="AN163" s="99" t="s">
        <v>491</v>
      </c>
      <c r="AO163" s="99" t="s">
        <v>542</v>
      </c>
      <c r="AP163" s="90" t="b">
        <v>0</v>
      </c>
      <c r="AQ163" s="99" t="s">
        <v>491</v>
      </c>
      <c r="AR163" s="90" t="s">
        <v>187</v>
      </c>
      <c r="AS163" s="90">
        <v>0</v>
      </c>
      <c r="AT163" s="90">
        <v>0</v>
      </c>
      <c r="AU163" s="90"/>
      <c r="AV163" s="90"/>
      <c r="AW163" s="90"/>
      <c r="AX163" s="90"/>
      <c r="AY163" s="90"/>
      <c r="AZ163" s="90"/>
      <c r="BA163" s="90"/>
      <c r="BB163" s="90"/>
      <c r="BC163" s="90">
        <v>1</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6" t="s">
        <v>270</v>
      </c>
      <c r="B164" s="66" t="s">
        <v>302</v>
      </c>
      <c r="C164" s="67" t="s">
        <v>2108</v>
      </c>
      <c r="D164" s="68">
        <v>1</v>
      </c>
      <c r="E164" s="69" t="s">
        <v>132</v>
      </c>
      <c r="F164" s="70">
        <v>32</v>
      </c>
      <c r="G164" s="67" t="s">
        <v>51</v>
      </c>
      <c r="H164" s="71"/>
      <c r="I164" s="72"/>
      <c r="J164" s="72"/>
      <c r="K164" s="35" t="s">
        <v>65</v>
      </c>
      <c r="L164" s="79">
        <v>164</v>
      </c>
      <c r="M164" s="79"/>
      <c r="N164" s="74"/>
      <c r="O164" s="90" t="s">
        <v>306</v>
      </c>
      <c r="P164" s="93">
        <v>44483.472592592596</v>
      </c>
      <c r="Q164" s="90" t="s">
        <v>318</v>
      </c>
      <c r="R164" s="96" t="str">
        <f>HYPERLINK("https://twitter.com/HelsinkiGSE/status/1448530102837514240")</f>
        <v>https://twitter.com/HelsinkiGSE/status/1448530102837514240</v>
      </c>
      <c r="S164" s="90" t="s">
        <v>333</v>
      </c>
      <c r="T164" s="99" t="s">
        <v>341</v>
      </c>
      <c r="U164" s="90"/>
      <c r="V164" s="96" t="str">
        <f>HYPERLINK("https://pbs.twimg.com/profile_images/1090581803910471680/mzGbomZ8_normal.jpg")</f>
        <v>https://pbs.twimg.com/profile_images/1090581803910471680/mzGbomZ8_normal.jpg</v>
      </c>
      <c r="W164" s="93">
        <v>44483.472592592596</v>
      </c>
      <c r="X164" s="102">
        <v>44483</v>
      </c>
      <c r="Y164" s="99" t="s">
        <v>392</v>
      </c>
      <c r="Z164" s="96" t="str">
        <f>HYPERLINK("https://twitter.com/christamakinen/status/1448609665139548165")</f>
        <v>https://twitter.com/christamakinen/status/1448609665139548165</v>
      </c>
      <c r="AA164" s="90"/>
      <c r="AB164" s="90"/>
      <c r="AC164" s="99" t="s">
        <v>486</v>
      </c>
      <c r="AD164" s="90"/>
      <c r="AE164" s="90" t="b">
        <v>0</v>
      </c>
      <c r="AF164" s="90">
        <v>0</v>
      </c>
      <c r="AG164" s="99" t="s">
        <v>535</v>
      </c>
      <c r="AH164" s="90" t="b">
        <v>1</v>
      </c>
      <c r="AI164" s="90" t="s">
        <v>537</v>
      </c>
      <c r="AJ164" s="90"/>
      <c r="AK164" s="99" t="s">
        <v>526</v>
      </c>
      <c r="AL164" s="90" t="b">
        <v>0</v>
      </c>
      <c r="AM164" s="90">
        <v>3</v>
      </c>
      <c r="AN164" s="99" t="s">
        <v>491</v>
      </c>
      <c r="AO164" s="99" t="s">
        <v>542</v>
      </c>
      <c r="AP164" s="90" t="b">
        <v>0</v>
      </c>
      <c r="AQ164" s="99" t="s">
        <v>491</v>
      </c>
      <c r="AR164" s="90" t="s">
        <v>187</v>
      </c>
      <c r="AS164" s="90">
        <v>0</v>
      </c>
      <c r="AT164" s="90">
        <v>0</v>
      </c>
      <c r="AU164" s="90"/>
      <c r="AV164" s="90"/>
      <c r="AW164" s="90"/>
      <c r="AX164" s="90"/>
      <c r="AY164" s="90"/>
      <c r="AZ164" s="90"/>
      <c r="BA164" s="90"/>
      <c r="BB164" s="90"/>
      <c r="BC164" s="90">
        <v>1</v>
      </c>
      <c r="BD164" s="89" t="str">
        <f>REPLACE(INDEX(GroupVertices[Group],MATCH(Edges[[#This Row],[Vertex 1]],GroupVertices[Vertex],0)),1,1,"")</f>
        <v>1</v>
      </c>
      <c r="BE164" s="89" t="str">
        <f>REPLACE(INDEX(GroupVertices[Group],MATCH(Edges[[#This Row],[Vertex 2]],GroupVertices[Vertex],0)),1,1,"")</f>
        <v>1</v>
      </c>
      <c r="BF164" s="49"/>
      <c r="BG164" s="50"/>
      <c r="BH164" s="49"/>
      <c r="BI164" s="50"/>
      <c r="BJ164" s="49"/>
      <c r="BK164" s="50"/>
      <c r="BL164" s="49"/>
      <c r="BM164" s="50"/>
      <c r="BN164" s="49"/>
    </row>
    <row r="165" spans="1:66" ht="15">
      <c r="A165" s="66" t="s">
        <v>270</v>
      </c>
      <c r="B165" s="66" t="s">
        <v>274</v>
      </c>
      <c r="C165" s="67" t="s">
        <v>2108</v>
      </c>
      <c r="D165" s="68">
        <v>1</v>
      </c>
      <c r="E165" s="69" t="s">
        <v>132</v>
      </c>
      <c r="F165" s="70">
        <v>32</v>
      </c>
      <c r="G165" s="67" t="s">
        <v>51</v>
      </c>
      <c r="H165" s="71"/>
      <c r="I165" s="72"/>
      <c r="J165" s="72"/>
      <c r="K165" s="35" t="s">
        <v>65</v>
      </c>
      <c r="L165" s="79">
        <v>165</v>
      </c>
      <c r="M165" s="79"/>
      <c r="N165" s="74"/>
      <c r="O165" s="90" t="s">
        <v>305</v>
      </c>
      <c r="P165" s="93">
        <v>44483.472592592596</v>
      </c>
      <c r="Q165" s="90" t="s">
        <v>318</v>
      </c>
      <c r="R165" s="96" t="str">
        <f>HYPERLINK("https://twitter.com/HelsinkiGSE/status/1448530102837514240")</f>
        <v>https://twitter.com/HelsinkiGSE/status/1448530102837514240</v>
      </c>
      <c r="S165" s="90" t="s">
        <v>333</v>
      </c>
      <c r="T165" s="99" t="s">
        <v>341</v>
      </c>
      <c r="U165" s="90"/>
      <c r="V165" s="96" t="str">
        <f>HYPERLINK("https://pbs.twimg.com/profile_images/1090581803910471680/mzGbomZ8_normal.jpg")</f>
        <v>https://pbs.twimg.com/profile_images/1090581803910471680/mzGbomZ8_normal.jpg</v>
      </c>
      <c r="W165" s="93">
        <v>44483.472592592596</v>
      </c>
      <c r="X165" s="102">
        <v>44483</v>
      </c>
      <c r="Y165" s="99" t="s">
        <v>392</v>
      </c>
      <c r="Z165" s="96" t="str">
        <f>HYPERLINK("https://twitter.com/christamakinen/status/1448609665139548165")</f>
        <v>https://twitter.com/christamakinen/status/1448609665139548165</v>
      </c>
      <c r="AA165" s="90"/>
      <c r="AB165" s="90"/>
      <c r="AC165" s="99" t="s">
        <v>486</v>
      </c>
      <c r="AD165" s="90"/>
      <c r="AE165" s="90" t="b">
        <v>0</v>
      </c>
      <c r="AF165" s="90">
        <v>0</v>
      </c>
      <c r="AG165" s="99" t="s">
        <v>535</v>
      </c>
      <c r="AH165" s="90" t="b">
        <v>1</v>
      </c>
      <c r="AI165" s="90" t="s">
        <v>537</v>
      </c>
      <c r="AJ165" s="90"/>
      <c r="AK165" s="99" t="s">
        <v>526</v>
      </c>
      <c r="AL165" s="90" t="b">
        <v>0</v>
      </c>
      <c r="AM165" s="90">
        <v>3</v>
      </c>
      <c r="AN165" s="99" t="s">
        <v>491</v>
      </c>
      <c r="AO165" s="99" t="s">
        <v>542</v>
      </c>
      <c r="AP165" s="90" t="b">
        <v>0</v>
      </c>
      <c r="AQ165" s="99" t="s">
        <v>491</v>
      </c>
      <c r="AR165" s="90" t="s">
        <v>187</v>
      </c>
      <c r="AS165" s="90">
        <v>0</v>
      </c>
      <c r="AT165" s="90">
        <v>0</v>
      </c>
      <c r="AU165" s="90"/>
      <c r="AV165" s="90"/>
      <c r="AW165" s="90"/>
      <c r="AX165" s="90"/>
      <c r="AY165" s="90"/>
      <c r="AZ165" s="90"/>
      <c r="BA165" s="90"/>
      <c r="BB165" s="90"/>
      <c r="BC165" s="90">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28</v>
      </c>
      <c r="BM165" s="50">
        <v>100</v>
      </c>
      <c r="BN165" s="49">
        <v>28</v>
      </c>
    </row>
    <row r="166" spans="1:66" ht="15">
      <c r="A166" s="66" t="s">
        <v>271</v>
      </c>
      <c r="B166" s="66" t="s">
        <v>299</v>
      </c>
      <c r="C166" s="67" t="s">
        <v>2108</v>
      </c>
      <c r="D166" s="68">
        <v>1</v>
      </c>
      <c r="E166" s="69" t="s">
        <v>132</v>
      </c>
      <c r="F166" s="70">
        <v>32</v>
      </c>
      <c r="G166" s="67" t="s">
        <v>51</v>
      </c>
      <c r="H166" s="71"/>
      <c r="I166" s="72"/>
      <c r="J166" s="72"/>
      <c r="K166" s="35" t="s">
        <v>65</v>
      </c>
      <c r="L166" s="79">
        <v>166</v>
      </c>
      <c r="M166" s="79"/>
      <c r="N166" s="74"/>
      <c r="O166" s="90" t="s">
        <v>306</v>
      </c>
      <c r="P166" s="93">
        <v>44483.473125</v>
      </c>
      <c r="Q166" s="90" t="s">
        <v>310</v>
      </c>
      <c r="R166" s="96" t="str">
        <f>HYPERLINK("https://talouskurssi.fi/")</f>
        <v>https://talouskurssi.fi/</v>
      </c>
      <c r="S166" s="90" t="s">
        <v>334</v>
      </c>
      <c r="T166" s="99" t="s">
        <v>338</v>
      </c>
      <c r="U166" s="96" t="str">
        <f>HYPERLINK("https://pbs.twimg.com/ext_tw_video_thumb/1448527896562348036/pu/img/0PqSbNMaXHvzKHCc.jpg")</f>
        <v>https://pbs.twimg.com/ext_tw_video_thumb/1448527896562348036/pu/img/0PqSbNMaXHvzKHCc.jpg</v>
      </c>
      <c r="V166" s="96" t="str">
        <f>HYPERLINK("https://pbs.twimg.com/ext_tw_video_thumb/1448527896562348036/pu/img/0PqSbNMaXHvzKHCc.jpg")</f>
        <v>https://pbs.twimg.com/ext_tw_video_thumb/1448527896562348036/pu/img/0PqSbNMaXHvzKHCc.jpg</v>
      </c>
      <c r="W166" s="93">
        <v>44483.473125</v>
      </c>
      <c r="X166" s="102">
        <v>44483</v>
      </c>
      <c r="Y166" s="99" t="s">
        <v>393</v>
      </c>
      <c r="Z166" s="96" t="str">
        <f>HYPERLINK("https://twitter.com/akikangasharju/status/1448609857393893376")</f>
        <v>https://twitter.com/akikangasharju/status/1448609857393893376</v>
      </c>
      <c r="AA166" s="90"/>
      <c r="AB166" s="90"/>
      <c r="AC166" s="99" t="s">
        <v>487</v>
      </c>
      <c r="AD166" s="90"/>
      <c r="AE166" s="90" t="b">
        <v>0</v>
      </c>
      <c r="AF166" s="90">
        <v>0</v>
      </c>
      <c r="AG166" s="99" t="s">
        <v>535</v>
      </c>
      <c r="AH166" s="90" t="b">
        <v>0</v>
      </c>
      <c r="AI166" s="90" t="s">
        <v>537</v>
      </c>
      <c r="AJ166" s="90"/>
      <c r="AK166" s="99" t="s">
        <v>535</v>
      </c>
      <c r="AL166" s="90" t="b">
        <v>0</v>
      </c>
      <c r="AM166" s="90">
        <v>52</v>
      </c>
      <c r="AN166" s="99" t="s">
        <v>526</v>
      </c>
      <c r="AO166" s="99" t="s">
        <v>542</v>
      </c>
      <c r="AP166" s="90" t="b">
        <v>0</v>
      </c>
      <c r="AQ166" s="99" t="s">
        <v>526</v>
      </c>
      <c r="AR166" s="90" t="s">
        <v>187</v>
      </c>
      <c r="AS166" s="90">
        <v>0</v>
      </c>
      <c r="AT166" s="90">
        <v>0</v>
      </c>
      <c r="AU166" s="90"/>
      <c r="AV166" s="90"/>
      <c r="AW166" s="90"/>
      <c r="AX166" s="90"/>
      <c r="AY166" s="90"/>
      <c r="AZ166" s="90"/>
      <c r="BA166" s="90"/>
      <c r="BB166" s="90"/>
      <c r="BC166" s="90">
        <v>1</v>
      </c>
      <c r="BD166" s="89" t="str">
        <f>REPLACE(INDEX(GroupVertices[Group],MATCH(Edges[[#This Row],[Vertex 1]],GroupVertices[Vertex],0)),1,1,"")</f>
        <v>1</v>
      </c>
      <c r="BE166" s="89" t="str">
        <f>REPLACE(INDEX(GroupVertices[Group],MATCH(Edges[[#This Row],[Vertex 2]],GroupVertices[Vertex],0)),1,1,"")</f>
        <v>1</v>
      </c>
      <c r="BF166" s="49"/>
      <c r="BG166" s="50"/>
      <c r="BH166" s="49"/>
      <c r="BI166" s="50"/>
      <c r="BJ166" s="49"/>
      <c r="BK166" s="50"/>
      <c r="BL166" s="49"/>
      <c r="BM166" s="50"/>
      <c r="BN166" s="49"/>
    </row>
    <row r="167" spans="1:66" ht="15">
      <c r="A167" s="66" t="s">
        <v>271</v>
      </c>
      <c r="B167" s="66" t="s">
        <v>302</v>
      </c>
      <c r="C167" s="67" t="s">
        <v>2108</v>
      </c>
      <c r="D167" s="68">
        <v>1</v>
      </c>
      <c r="E167" s="69" t="s">
        <v>132</v>
      </c>
      <c r="F167" s="70">
        <v>32</v>
      </c>
      <c r="G167" s="67" t="s">
        <v>51</v>
      </c>
      <c r="H167" s="71"/>
      <c r="I167" s="72"/>
      <c r="J167" s="72"/>
      <c r="K167" s="35" t="s">
        <v>65</v>
      </c>
      <c r="L167" s="79">
        <v>167</v>
      </c>
      <c r="M167" s="79"/>
      <c r="N167" s="74"/>
      <c r="O167" s="90" t="s">
        <v>306</v>
      </c>
      <c r="P167" s="93">
        <v>44483.473125</v>
      </c>
      <c r="Q167" s="90" t="s">
        <v>310</v>
      </c>
      <c r="R167" s="96" t="str">
        <f>HYPERLINK("https://talouskurssi.fi/")</f>
        <v>https://talouskurssi.fi/</v>
      </c>
      <c r="S167" s="90" t="s">
        <v>334</v>
      </c>
      <c r="T167" s="99" t="s">
        <v>338</v>
      </c>
      <c r="U167" s="96" t="str">
        <f>HYPERLINK("https://pbs.twimg.com/ext_tw_video_thumb/1448527896562348036/pu/img/0PqSbNMaXHvzKHCc.jpg")</f>
        <v>https://pbs.twimg.com/ext_tw_video_thumb/1448527896562348036/pu/img/0PqSbNMaXHvzKHCc.jpg</v>
      </c>
      <c r="V167" s="96" t="str">
        <f>HYPERLINK("https://pbs.twimg.com/ext_tw_video_thumb/1448527896562348036/pu/img/0PqSbNMaXHvzKHCc.jpg")</f>
        <v>https://pbs.twimg.com/ext_tw_video_thumb/1448527896562348036/pu/img/0PqSbNMaXHvzKHCc.jpg</v>
      </c>
      <c r="W167" s="93">
        <v>44483.473125</v>
      </c>
      <c r="X167" s="102">
        <v>44483</v>
      </c>
      <c r="Y167" s="99" t="s">
        <v>393</v>
      </c>
      <c r="Z167" s="96" t="str">
        <f>HYPERLINK("https://twitter.com/akikangasharju/status/1448609857393893376")</f>
        <v>https://twitter.com/akikangasharju/status/1448609857393893376</v>
      </c>
      <c r="AA167" s="90"/>
      <c r="AB167" s="90"/>
      <c r="AC167" s="99" t="s">
        <v>487</v>
      </c>
      <c r="AD167" s="90"/>
      <c r="AE167" s="90" t="b">
        <v>0</v>
      </c>
      <c r="AF167" s="90">
        <v>0</v>
      </c>
      <c r="AG167" s="99" t="s">
        <v>535</v>
      </c>
      <c r="AH167" s="90" t="b">
        <v>0</v>
      </c>
      <c r="AI167" s="90" t="s">
        <v>537</v>
      </c>
      <c r="AJ167" s="90"/>
      <c r="AK167" s="99" t="s">
        <v>535</v>
      </c>
      <c r="AL167" s="90" t="b">
        <v>0</v>
      </c>
      <c r="AM167" s="90">
        <v>52</v>
      </c>
      <c r="AN167" s="99" t="s">
        <v>526</v>
      </c>
      <c r="AO167" s="99" t="s">
        <v>542</v>
      </c>
      <c r="AP167" s="90" t="b">
        <v>0</v>
      </c>
      <c r="AQ167" s="99" t="s">
        <v>526</v>
      </c>
      <c r="AR167" s="90" t="s">
        <v>187</v>
      </c>
      <c r="AS167" s="90">
        <v>0</v>
      </c>
      <c r="AT167" s="90">
        <v>0</v>
      </c>
      <c r="AU167" s="90"/>
      <c r="AV167" s="90"/>
      <c r="AW167" s="90"/>
      <c r="AX167" s="90"/>
      <c r="AY167" s="90"/>
      <c r="AZ167" s="90"/>
      <c r="BA167" s="90"/>
      <c r="BB167" s="90"/>
      <c r="BC167" s="90">
        <v>1</v>
      </c>
      <c r="BD167" s="89" t="str">
        <f>REPLACE(INDEX(GroupVertices[Group],MATCH(Edges[[#This Row],[Vertex 1]],GroupVertices[Vertex],0)),1,1,"")</f>
        <v>1</v>
      </c>
      <c r="BE167" s="89" t="str">
        <f>REPLACE(INDEX(GroupVertices[Group],MATCH(Edges[[#This Row],[Vertex 2]],GroupVertices[Vertex],0)),1,1,"")</f>
        <v>1</v>
      </c>
      <c r="BF167" s="49"/>
      <c r="BG167" s="50"/>
      <c r="BH167" s="49"/>
      <c r="BI167" s="50"/>
      <c r="BJ167" s="49"/>
      <c r="BK167" s="50"/>
      <c r="BL167" s="49"/>
      <c r="BM167" s="50"/>
      <c r="BN167" s="49"/>
    </row>
    <row r="168" spans="1:66" ht="15">
      <c r="A168" s="66" t="s">
        <v>271</v>
      </c>
      <c r="B168" s="66" t="s">
        <v>293</v>
      </c>
      <c r="C168" s="67" t="s">
        <v>2108</v>
      </c>
      <c r="D168" s="68">
        <v>1</v>
      </c>
      <c r="E168" s="69" t="s">
        <v>132</v>
      </c>
      <c r="F168" s="70">
        <v>32</v>
      </c>
      <c r="G168" s="67" t="s">
        <v>51</v>
      </c>
      <c r="H168" s="71"/>
      <c r="I168" s="72"/>
      <c r="J168" s="72"/>
      <c r="K168" s="35" t="s">
        <v>65</v>
      </c>
      <c r="L168" s="79">
        <v>168</v>
      </c>
      <c r="M168" s="79"/>
      <c r="N168" s="74"/>
      <c r="O168" s="90" t="s">
        <v>305</v>
      </c>
      <c r="P168" s="93">
        <v>44483.473125</v>
      </c>
      <c r="Q168" s="90" t="s">
        <v>310</v>
      </c>
      <c r="R168" s="96" t="str">
        <f>HYPERLINK("https://talouskurssi.fi/")</f>
        <v>https://talouskurssi.fi/</v>
      </c>
      <c r="S168" s="90" t="s">
        <v>334</v>
      </c>
      <c r="T168" s="99" t="s">
        <v>338</v>
      </c>
      <c r="U168" s="96" t="str">
        <f>HYPERLINK("https://pbs.twimg.com/ext_tw_video_thumb/1448527896562348036/pu/img/0PqSbNMaXHvzKHCc.jpg")</f>
        <v>https://pbs.twimg.com/ext_tw_video_thumb/1448527896562348036/pu/img/0PqSbNMaXHvzKHCc.jpg</v>
      </c>
      <c r="V168" s="96" t="str">
        <f>HYPERLINK("https://pbs.twimg.com/ext_tw_video_thumb/1448527896562348036/pu/img/0PqSbNMaXHvzKHCc.jpg")</f>
        <v>https://pbs.twimg.com/ext_tw_video_thumb/1448527896562348036/pu/img/0PqSbNMaXHvzKHCc.jpg</v>
      </c>
      <c r="W168" s="93">
        <v>44483.473125</v>
      </c>
      <c r="X168" s="102">
        <v>44483</v>
      </c>
      <c r="Y168" s="99" t="s">
        <v>393</v>
      </c>
      <c r="Z168" s="96" t="str">
        <f>HYPERLINK("https://twitter.com/akikangasharju/status/1448609857393893376")</f>
        <v>https://twitter.com/akikangasharju/status/1448609857393893376</v>
      </c>
      <c r="AA168" s="90"/>
      <c r="AB168" s="90"/>
      <c r="AC168" s="99" t="s">
        <v>487</v>
      </c>
      <c r="AD168" s="90"/>
      <c r="AE168" s="90" t="b">
        <v>0</v>
      </c>
      <c r="AF168" s="90">
        <v>0</v>
      </c>
      <c r="AG168" s="99" t="s">
        <v>535</v>
      </c>
      <c r="AH168" s="90" t="b">
        <v>0</v>
      </c>
      <c r="AI168" s="90" t="s">
        <v>537</v>
      </c>
      <c r="AJ168" s="90"/>
      <c r="AK168" s="99" t="s">
        <v>535</v>
      </c>
      <c r="AL168" s="90" t="b">
        <v>0</v>
      </c>
      <c r="AM168" s="90">
        <v>52</v>
      </c>
      <c r="AN168" s="99" t="s">
        <v>526</v>
      </c>
      <c r="AO168" s="99" t="s">
        <v>542</v>
      </c>
      <c r="AP168" s="90" t="b">
        <v>0</v>
      </c>
      <c r="AQ168" s="99" t="s">
        <v>526</v>
      </c>
      <c r="AR168" s="90" t="s">
        <v>187</v>
      </c>
      <c r="AS168" s="90">
        <v>0</v>
      </c>
      <c r="AT168" s="90">
        <v>0</v>
      </c>
      <c r="AU168" s="90"/>
      <c r="AV168" s="90"/>
      <c r="AW168" s="90"/>
      <c r="AX168" s="90"/>
      <c r="AY168" s="90"/>
      <c r="AZ168" s="90"/>
      <c r="BA168" s="90"/>
      <c r="BB168" s="90"/>
      <c r="BC168" s="90">
        <v>1</v>
      </c>
      <c r="BD168" s="89" t="str">
        <f>REPLACE(INDEX(GroupVertices[Group],MATCH(Edges[[#This Row],[Vertex 1]],GroupVertices[Vertex],0)),1,1,"")</f>
        <v>1</v>
      </c>
      <c r="BE168" s="89" t="str">
        <f>REPLACE(INDEX(GroupVertices[Group],MATCH(Edges[[#This Row],[Vertex 2]],GroupVertices[Vertex],0)),1,1,"")</f>
        <v>3</v>
      </c>
      <c r="BF168" s="49">
        <v>0</v>
      </c>
      <c r="BG168" s="50">
        <v>0</v>
      </c>
      <c r="BH168" s="49">
        <v>0</v>
      </c>
      <c r="BI168" s="50">
        <v>0</v>
      </c>
      <c r="BJ168" s="49">
        <v>0</v>
      </c>
      <c r="BK168" s="50">
        <v>0</v>
      </c>
      <c r="BL168" s="49">
        <v>28</v>
      </c>
      <c r="BM168" s="50">
        <v>100</v>
      </c>
      <c r="BN168" s="49">
        <v>28</v>
      </c>
    </row>
    <row r="169" spans="1:66" ht="15">
      <c r="A169" s="66" t="s">
        <v>2123</v>
      </c>
      <c r="B169" s="66" t="s">
        <v>2123</v>
      </c>
      <c r="C169" s="67" t="s">
        <v>2108</v>
      </c>
      <c r="D169" s="68">
        <v>1</v>
      </c>
      <c r="E169" s="69" t="s">
        <v>132</v>
      </c>
      <c r="F169" s="70">
        <v>32</v>
      </c>
      <c r="G169" s="67" t="s">
        <v>51</v>
      </c>
      <c r="H169" s="71"/>
      <c r="I169" s="72"/>
      <c r="J169" s="72"/>
      <c r="K169" s="35" t="s">
        <v>65</v>
      </c>
      <c r="L169" s="79">
        <v>169</v>
      </c>
      <c r="M169" s="79"/>
      <c r="N169" s="74"/>
      <c r="O169" s="90" t="s">
        <v>187</v>
      </c>
      <c r="P169" s="93">
        <v>44483.48167824074</v>
      </c>
      <c r="Q169" s="90" t="s">
        <v>2143</v>
      </c>
      <c r="R169" s="90" t="s">
        <v>2151</v>
      </c>
      <c r="S169" s="90" t="s">
        <v>335</v>
      </c>
      <c r="T169" s="90"/>
      <c r="U169" s="90"/>
      <c r="V169" s="96" t="str">
        <f>HYPERLINK("https://pbs.twimg.com/profile_images/1360590431604596738/2iSuge3F_normal.jpg")</f>
        <v>https://pbs.twimg.com/profile_images/1360590431604596738/2iSuge3F_normal.jpg</v>
      </c>
      <c r="W169" s="93">
        <v>44483.48167824074</v>
      </c>
      <c r="X169" s="102">
        <v>44483</v>
      </c>
      <c r="Y169" s="99" t="s">
        <v>2165</v>
      </c>
      <c r="Z169" s="96" t="str">
        <f>HYPERLINK("https://twitter.com/nynnyki/status/1448612955050938371")</f>
        <v>https://twitter.com/nynnyki/status/1448612955050938371</v>
      </c>
      <c r="AA169" s="90"/>
      <c r="AB169" s="90"/>
      <c r="AC169" s="99" t="s">
        <v>2211</v>
      </c>
      <c r="AD169" s="90"/>
      <c r="AE169" s="90" t="b">
        <v>0</v>
      </c>
      <c r="AF169" s="90">
        <v>3</v>
      </c>
      <c r="AG169" s="99" t="s">
        <v>535</v>
      </c>
      <c r="AH169" s="90" t="b">
        <v>1</v>
      </c>
      <c r="AI169" s="90" t="s">
        <v>537</v>
      </c>
      <c r="AJ169" s="90"/>
      <c r="AK169" s="99" t="s">
        <v>2213</v>
      </c>
      <c r="AL169" s="90" t="b">
        <v>0</v>
      </c>
      <c r="AM169" s="90">
        <v>0</v>
      </c>
      <c r="AN169" s="99" t="s">
        <v>535</v>
      </c>
      <c r="AO169" s="99" t="s">
        <v>543</v>
      </c>
      <c r="AP169" s="90" t="b">
        <v>0</v>
      </c>
      <c r="AQ169" s="99" t="s">
        <v>2211</v>
      </c>
      <c r="AR169" s="90" t="s">
        <v>187</v>
      </c>
      <c r="AS169" s="90">
        <v>0</v>
      </c>
      <c r="AT169" s="90">
        <v>0</v>
      </c>
      <c r="AU169" s="90"/>
      <c r="AV169" s="90"/>
      <c r="AW169" s="90"/>
      <c r="AX169" s="90"/>
      <c r="AY169" s="90"/>
      <c r="AZ169" s="90"/>
      <c r="BA169" s="90"/>
      <c r="BB169" s="90"/>
      <c r="BC169" s="90">
        <v>1</v>
      </c>
      <c r="BD169" s="89" t="str">
        <f>REPLACE(INDEX(GroupVertices[Group],MATCH(Edges[[#This Row],[Vertex 1]],GroupVertices[Vertex],0)),1,1,"")</f>
        <v>4</v>
      </c>
      <c r="BE169" s="89" t="str">
        <f>REPLACE(INDEX(GroupVertices[Group],MATCH(Edges[[#This Row],[Vertex 2]],GroupVertices[Vertex],0)),1,1,"")</f>
        <v>4</v>
      </c>
      <c r="BF169" s="49">
        <v>0</v>
      </c>
      <c r="BG169" s="50">
        <v>0</v>
      </c>
      <c r="BH169" s="49">
        <v>0</v>
      </c>
      <c r="BI169" s="50">
        <v>0</v>
      </c>
      <c r="BJ169" s="49">
        <v>0</v>
      </c>
      <c r="BK169" s="50">
        <v>0</v>
      </c>
      <c r="BL169" s="49">
        <v>21</v>
      </c>
      <c r="BM169" s="50">
        <v>100</v>
      </c>
      <c r="BN169" s="49">
        <v>21</v>
      </c>
    </row>
    <row r="170" spans="1:66" ht="15">
      <c r="A170" s="66" t="s">
        <v>272</v>
      </c>
      <c r="B170" s="66" t="s">
        <v>299</v>
      </c>
      <c r="C170" s="67" t="s">
        <v>2108</v>
      </c>
      <c r="D170" s="68">
        <v>1</v>
      </c>
      <c r="E170" s="69" t="s">
        <v>132</v>
      </c>
      <c r="F170" s="70">
        <v>32</v>
      </c>
      <c r="G170" s="67" t="s">
        <v>51</v>
      </c>
      <c r="H170" s="71"/>
      <c r="I170" s="72"/>
      <c r="J170" s="72"/>
      <c r="K170" s="35" t="s">
        <v>65</v>
      </c>
      <c r="L170" s="79">
        <v>170</v>
      </c>
      <c r="M170" s="79"/>
      <c r="N170" s="74"/>
      <c r="O170" s="90" t="s">
        <v>306</v>
      </c>
      <c r="P170" s="93">
        <v>44483.482569444444</v>
      </c>
      <c r="Q170" s="90" t="s">
        <v>310</v>
      </c>
      <c r="R170" s="96" t="str">
        <f>HYPERLINK("https://talouskurssi.fi/")</f>
        <v>https://talouskurssi.fi/</v>
      </c>
      <c r="S170" s="90" t="s">
        <v>334</v>
      </c>
      <c r="T170" s="99" t="s">
        <v>338</v>
      </c>
      <c r="U170" s="96" t="str">
        <f>HYPERLINK("https://pbs.twimg.com/ext_tw_video_thumb/1448527896562348036/pu/img/0PqSbNMaXHvzKHCc.jpg")</f>
        <v>https://pbs.twimg.com/ext_tw_video_thumb/1448527896562348036/pu/img/0PqSbNMaXHvzKHCc.jpg</v>
      </c>
      <c r="V170" s="96" t="str">
        <f>HYPERLINK("https://pbs.twimg.com/ext_tw_video_thumb/1448527896562348036/pu/img/0PqSbNMaXHvzKHCc.jpg")</f>
        <v>https://pbs.twimg.com/ext_tw_video_thumb/1448527896562348036/pu/img/0PqSbNMaXHvzKHCc.jpg</v>
      </c>
      <c r="W170" s="93">
        <v>44483.482569444444</v>
      </c>
      <c r="X170" s="102">
        <v>44483</v>
      </c>
      <c r="Y170" s="99" t="s">
        <v>394</v>
      </c>
      <c r="Z170" s="96" t="str">
        <f>HYPERLINK("https://twitter.com/villepeltola/status/1448613278930935811")</f>
        <v>https://twitter.com/villepeltola/status/1448613278930935811</v>
      </c>
      <c r="AA170" s="90"/>
      <c r="AB170" s="90"/>
      <c r="AC170" s="99" t="s">
        <v>488</v>
      </c>
      <c r="AD170" s="90"/>
      <c r="AE170" s="90" t="b">
        <v>0</v>
      </c>
      <c r="AF170" s="90">
        <v>0</v>
      </c>
      <c r="AG170" s="99" t="s">
        <v>535</v>
      </c>
      <c r="AH170" s="90" t="b">
        <v>0</v>
      </c>
      <c r="AI170" s="90" t="s">
        <v>537</v>
      </c>
      <c r="AJ170" s="90"/>
      <c r="AK170" s="99" t="s">
        <v>535</v>
      </c>
      <c r="AL170" s="90" t="b">
        <v>0</v>
      </c>
      <c r="AM170" s="90">
        <v>52</v>
      </c>
      <c r="AN170" s="99" t="s">
        <v>526</v>
      </c>
      <c r="AO170" s="99" t="s">
        <v>542</v>
      </c>
      <c r="AP170" s="90" t="b">
        <v>0</v>
      </c>
      <c r="AQ170" s="99" t="s">
        <v>526</v>
      </c>
      <c r="AR170" s="90" t="s">
        <v>187</v>
      </c>
      <c r="AS170" s="90">
        <v>0</v>
      </c>
      <c r="AT170" s="90">
        <v>0</v>
      </c>
      <c r="AU170" s="90"/>
      <c r="AV170" s="90"/>
      <c r="AW170" s="90"/>
      <c r="AX170" s="90"/>
      <c r="AY170" s="90"/>
      <c r="AZ170" s="90"/>
      <c r="BA170" s="90"/>
      <c r="BB170" s="90"/>
      <c r="BC170" s="90">
        <v>1</v>
      </c>
      <c r="BD170" s="89" t="str">
        <f>REPLACE(INDEX(GroupVertices[Group],MATCH(Edges[[#This Row],[Vertex 1]],GroupVertices[Vertex],0)),1,1,"")</f>
        <v>1</v>
      </c>
      <c r="BE170" s="89" t="str">
        <f>REPLACE(INDEX(GroupVertices[Group],MATCH(Edges[[#This Row],[Vertex 2]],GroupVertices[Vertex],0)),1,1,"")</f>
        <v>1</v>
      </c>
      <c r="BF170" s="49"/>
      <c r="BG170" s="50"/>
      <c r="BH170" s="49"/>
      <c r="BI170" s="50"/>
      <c r="BJ170" s="49"/>
      <c r="BK170" s="50"/>
      <c r="BL170" s="49"/>
      <c r="BM170" s="50"/>
      <c r="BN170" s="49"/>
    </row>
    <row r="171" spans="1:66" ht="15">
      <c r="A171" s="66" t="s">
        <v>272</v>
      </c>
      <c r="B171" s="66" t="s">
        <v>302</v>
      </c>
      <c r="C171" s="67" t="s">
        <v>2108</v>
      </c>
      <c r="D171" s="68">
        <v>1</v>
      </c>
      <c r="E171" s="69" t="s">
        <v>132</v>
      </c>
      <c r="F171" s="70">
        <v>32</v>
      </c>
      <c r="G171" s="67" t="s">
        <v>51</v>
      </c>
      <c r="H171" s="71"/>
      <c r="I171" s="72"/>
      <c r="J171" s="72"/>
      <c r="K171" s="35" t="s">
        <v>65</v>
      </c>
      <c r="L171" s="79">
        <v>171</v>
      </c>
      <c r="M171" s="79"/>
      <c r="N171" s="74"/>
      <c r="O171" s="90" t="s">
        <v>306</v>
      </c>
      <c r="P171" s="93">
        <v>44483.482569444444</v>
      </c>
      <c r="Q171" s="90" t="s">
        <v>310</v>
      </c>
      <c r="R171" s="96" t="str">
        <f>HYPERLINK("https://talouskurssi.fi/")</f>
        <v>https://talouskurssi.fi/</v>
      </c>
      <c r="S171" s="90" t="s">
        <v>334</v>
      </c>
      <c r="T171" s="99" t="s">
        <v>338</v>
      </c>
      <c r="U171" s="96" t="str">
        <f>HYPERLINK("https://pbs.twimg.com/ext_tw_video_thumb/1448527896562348036/pu/img/0PqSbNMaXHvzKHCc.jpg")</f>
        <v>https://pbs.twimg.com/ext_tw_video_thumb/1448527896562348036/pu/img/0PqSbNMaXHvzKHCc.jpg</v>
      </c>
      <c r="V171" s="96" t="str">
        <f>HYPERLINK("https://pbs.twimg.com/ext_tw_video_thumb/1448527896562348036/pu/img/0PqSbNMaXHvzKHCc.jpg")</f>
        <v>https://pbs.twimg.com/ext_tw_video_thumb/1448527896562348036/pu/img/0PqSbNMaXHvzKHCc.jpg</v>
      </c>
      <c r="W171" s="93">
        <v>44483.482569444444</v>
      </c>
      <c r="X171" s="102">
        <v>44483</v>
      </c>
      <c r="Y171" s="99" t="s">
        <v>394</v>
      </c>
      <c r="Z171" s="96" t="str">
        <f>HYPERLINK("https://twitter.com/villepeltola/status/1448613278930935811")</f>
        <v>https://twitter.com/villepeltola/status/1448613278930935811</v>
      </c>
      <c r="AA171" s="90"/>
      <c r="AB171" s="90"/>
      <c r="AC171" s="99" t="s">
        <v>488</v>
      </c>
      <c r="AD171" s="90"/>
      <c r="AE171" s="90" t="b">
        <v>0</v>
      </c>
      <c r="AF171" s="90">
        <v>0</v>
      </c>
      <c r="AG171" s="99" t="s">
        <v>535</v>
      </c>
      <c r="AH171" s="90" t="b">
        <v>0</v>
      </c>
      <c r="AI171" s="90" t="s">
        <v>537</v>
      </c>
      <c r="AJ171" s="90"/>
      <c r="AK171" s="99" t="s">
        <v>535</v>
      </c>
      <c r="AL171" s="90" t="b">
        <v>0</v>
      </c>
      <c r="AM171" s="90">
        <v>52</v>
      </c>
      <c r="AN171" s="99" t="s">
        <v>526</v>
      </c>
      <c r="AO171" s="99" t="s">
        <v>542</v>
      </c>
      <c r="AP171" s="90" t="b">
        <v>0</v>
      </c>
      <c r="AQ171" s="99" t="s">
        <v>526</v>
      </c>
      <c r="AR171" s="90" t="s">
        <v>187</v>
      </c>
      <c r="AS171" s="90">
        <v>0</v>
      </c>
      <c r="AT171" s="90">
        <v>0</v>
      </c>
      <c r="AU171" s="90"/>
      <c r="AV171" s="90"/>
      <c r="AW171" s="90"/>
      <c r="AX171" s="90"/>
      <c r="AY171" s="90"/>
      <c r="AZ171" s="90"/>
      <c r="BA171" s="90"/>
      <c r="BB171" s="90"/>
      <c r="BC171" s="90">
        <v>1</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6" t="s">
        <v>272</v>
      </c>
      <c r="B172" s="66" t="s">
        <v>293</v>
      </c>
      <c r="C172" s="67" t="s">
        <v>2108</v>
      </c>
      <c r="D172" s="68">
        <v>1</v>
      </c>
      <c r="E172" s="69" t="s">
        <v>132</v>
      </c>
      <c r="F172" s="70">
        <v>32</v>
      </c>
      <c r="G172" s="67" t="s">
        <v>51</v>
      </c>
      <c r="H172" s="71"/>
      <c r="I172" s="72"/>
      <c r="J172" s="72"/>
      <c r="K172" s="35" t="s">
        <v>65</v>
      </c>
      <c r="L172" s="79">
        <v>172</v>
      </c>
      <c r="M172" s="79"/>
      <c r="N172" s="74"/>
      <c r="O172" s="90" t="s">
        <v>305</v>
      </c>
      <c r="P172" s="93">
        <v>44483.482569444444</v>
      </c>
      <c r="Q172" s="90" t="s">
        <v>310</v>
      </c>
      <c r="R172" s="96" t="str">
        <f>HYPERLINK("https://talouskurssi.fi/")</f>
        <v>https://talouskurssi.fi/</v>
      </c>
      <c r="S172" s="90" t="s">
        <v>334</v>
      </c>
      <c r="T172" s="99" t="s">
        <v>338</v>
      </c>
      <c r="U172" s="96" t="str">
        <f>HYPERLINK("https://pbs.twimg.com/ext_tw_video_thumb/1448527896562348036/pu/img/0PqSbNMaXHvzKHCc.jpg")</f>
        <v>https://pbs.twimg.com/ext_tw_video_thumb/1448527896562348036/pu/img/0PqSbNMaXHvzKHCc.jpg</v>
      </c>
      <c r="V172" s="96" t="str">
        <f>HYPERLINK("https://pbs.twimg.com/ext_tw_video_thumb/1448527896562348036/pu/img/0PqSbNMaXHvzKHCc.jpg")</f>
        <v>https://pbs.twimg.com/ext_tw_video_thumb/1448527896562348036/pu/img/0PqSbNMaXHvzKHCc.jpg</v>
      </c>
      <c r="W172" s="93">
        <v>44483.482569444444</v>
      </c>
      <c r="X172" s="102">
        <v>44483</v>
      </c>
      <c r="Y172" s="99" t="s">
        <v>394</v>
      </c>
      <c r="Z172" s="96" t="str">
        <f>HYPERLINK("https://twitter.com/villepeltola/status/1448613278930935811")</f>
        <v>https://twitter.com/villepeltola/status/1448613278930935811</v>
      </c>
      <c r="AA172" s="90"/>
      <c r="AB172" s="90"/>
      <c r="AC172" s="99" t="s">
        <v>488</v>
      </c>
      <c r="AD172" s="90"/>
      <c r="AE172" s="90" t="b">
        <v>0</v>
      </c>
      <c r="AF172" s="90">
        <v>0</v>
      </c>
      <c r="AG172" s="99" t="s">
        <v>535</v>
      </c>
      <c r="AH172" s="90" t="b">
        <v>0</v>
      </c>
      <c r="AI172" s="90" t="s">
        <v>537</v>
      </c>
      <c r="AJ172" s="90"/>
      <c r="AK172" s="99" t="s">
        <v>535</v>
      </c>
      <c r="AL172" s="90" t="b">
        <v>0</v>
      </c>
      <c r="AM172" s="90">
        <v>52</v>
      </c>
      <c r="AN172" s="99" t="s">
        <v>526</v>
      </c>
      <c r="AO172" s="99" t="s">
        <v>542</v>
      </c>
      <c r="AP172" s="90" t="b">
        <v>0</v>
      </c>
      <c r="AQ172" s="99" t="s">
        <v>526</v>
      </c>
      <c r="AR172" s="90" t="s">
        <v>187</v>
      </c>
      <c r="AS172" s="90">
        <v>0</v>
      </c>
      <c r="AT172" s="90">
        <v>0</v>
      </c>
      <c r="AU172" s="90"/>
      <c r="AV172" s="90"/>
      <c r="AW172" s="90"/>
      <c r="AX172" s="90"/>
      <c r="AY172" s="90"/>
      <c r="AZ172" s="90"/>
      <c r="BA172" s="90"/>
      <c r="BB172" s="90"/>
      <c r="BC172" s="90">
        <v>1</v>
      </c>
      <c r="BD172" s="89" t="str">
        <f>REPLACE(INDEX(GroupVertices[Group],MATCH(Edges[[#This Row],[Vertex 1]],GroupVertices[Vertex],0)),1,1,"")</f>
        <v>1</v>
      </c>
      <c r="BE172" s="89" t="str">
        <f>REPLACE(INDEX(GroupVertices[Group],MATCH(Edges[[#This Row],[Vertex 2]],GroupVertices[Vertex],0)),1,1,"")</f>
        <v>3</v>
      </c>
      <c r="BF172" s="49">
        <v>0</v>
      </c>
      <c r="BG172" s="50">
        <v>0</v>
      </c>
      <c r="BH172" s="49">
        <v>0</v>
      </c>
      <c r="BI172" s="50">
        <v>0</v>
      </c>
      <c r="BJ172" s="49">
        <v>0</v>
      </c>
      <c r="BK172" s="50">
        <v>0</v>
      </c>
      <c r="BL172" s="49">
        <v>28</v>
      </c>
      <c r="BM172" s="50">
        <v>100</v>
      </c>
      <c r="BN172" s="49">
        <v>28</v>
      </c>
    </row>
    <row r="173" spans="1:66" ht="15">
      <c r="A173" s="66" t="s">
        <v>2124</v>
      </c>
      <c r="B173" s="66" t="s">
        <v>2124</v>
      </c>
      <c r="C173" s="67" t="s">
        <v>2108</v>
      </c>
      <c r="D173" s="68">
        <v>1</v>
      </c>
      <c r="E173" s="69" t="s">
        <v>132</v>
      </c>
      <c r="F173" s="70">
        <v>32</v>
      </c>
      <c r="G173" s="67" t="s">
        <v>51</v>
      </c>
      <c r="H173" s="71"/>
      <c r="I173" s="72"/>
      <c r="J173" s="72"/>
      <c r="K173" s="35" t="s">
        <v>65</v>
      </c>
      <c r="L173" s="79">
        <v>173</v>
      </c>
      <c r="M173" s="79"/>
      <c r="N173" s="74"/>
      <c r="O173" s="90" t="s">
        <v>187</v>
      </c>
      <c r="P173" s="93">
        <v>44483.48585648148</v>
      </c>
      <c r="Q173" s="90" t="s">
        <v>2144</v>
      </c>
      <c r="R173" s="96" t="str">
        <f>HYPERLINK("https://talouskurssi.fi/")</f>
        <v>https://talouskurssi.fi/</v>
      </c>
      <c r="S173" s="90" t="s">
        <v>334</v>
      </c>
      <c r="T173" s="90"/>
      <c r="U173" s="96" t="str">
        <f>HYPERLINK("https://pbs.twimg.com/ext_tw_video_thumb/1448614373367455748/pu/img/KvjOjVUkKy6A12SV.jpg")</f>
        <v>https://pbs.twimg.com/ext_tw_video_thumb/1448614373367455748/pu/img/KvjOjVUkKy6A12SV.jpg</v>
      </c>
      <c r="V173" s="96" t="str">
        <f>HYPERLINK("https://pbs.twimg.com/ext_tw_video_thumb/1448614373367455748/pu/img/KvjOjVUkKy6A12SV.jpg")</f>
        <v>https://pbs.twimg.com/ext_tw_video_thumb/1448614373367455748/pu/img/KvjOjVUkKy6A12SV.jpg</v>
      </c>
      <c r="W173" s="93">
        <v>44483.48585648148</v>
      </c>
      <c r="X173" s="102">
        <v>44483</v>
      </c>
      <c r="Y173" s="99" t="s">
        <v>2166</v>
      </c>
      <c r="Z173" s="96" t="str">
        <f>HYPERLINK("https://twitter.com/boulderd/status/1448614469278515204")</f>
        <v>https://twitter.com/boulderd/status/1448614469278515204</v>
      </c>
      <c r="AA173" s="90"/>
      <c r="AB173" s="90"/>
      <c r="AC173" s="99" t="s">
        <v>2212</v>
      </c>
      <c r="AD173" s="90"/>
      <c r="AE173" s="90" t="b">
        <v>0</v>
      </c>
      <c r="AF173" s="90">
        <v>1</v>
      </c>
      <c r="AG173" s="99" t="s">
        <v>535</v>
      </c>
      <c r="AH173" s="90" t="b">
        <v>0</v>
      </c>
      <c r="AI173" s="90" t="s">
        <v>537</v>
      </c>
      <c r="AJ173" s="90"/>
      <c r="AK173" s="99" t="s">
        <v>535</v>
      </c>
      <c r="AL173" s="90" t="b">
        <v>0</v>
      </c>
      <c r="AM173" s="90">
        <v>0</v>
      </c>
      <c r="AN173" s="99" t="s">
        <v>535</v>
      </c>
      <c r="AO173" s="99" t="s">
        <v>542</v>
      </c>
      <c r="AP173" s="90" t="b">
        <v>0</v>
      </c>
      <c r="AQ173" s="99" t="s">
        <v>2212</v>
      </c>
      <c r="AR173" s="90" t="s">
        <v>187</v>
      </c>
      <c r="AS173" s="90">
        <v>0</v>
      </c>
      <c r="AT173" s="90">
        <v>0</v>
      </c>
      <c r="AU173" s="90"/>
      <c r="AV173" s="90"/>
      <c r="AW173" s="90"/>
      <c r="AX173" s="90"/>
      <c r="AY173" s="90"/>
      <c r="AZ173" s="90"/>
      <c r="BA173" s="90"/>
      <c r="BB173" s="90"/>
      <c r="BC173" s="90">
        <v>1</v>
      </c>
      <c r="BD173" s="89" t="str">
        <f>REPLACE(INDEX(GroupVertices[Group],MATCH(Edges[[#This Row],[Vertex 1]],GroupVertices[Vertex],0)),1,1,"")</f>
        <v>4</v>
      </c>
      <c r="BE173" s="89" t="str">
        <f>REPLACE(INDEX(GroupVertices[Group],MATCH(Edges[[#This Row],[Vertex 2]],GroupVertices[Vertex],0)),1,1,"")</f>
        <v>4</v>
      </c>
      <c r="BF173" s="49">
        <v>0</v>
      </c>
      <c r="BG173" s="50">
        <v>0</v>
      </c>
      <c r="BH173" s="49">
        <v>0</v>
      </c>
      <c r="BI173" s="50">
        <v>0</v>
      </c>
      <c r="BJ173" s="49">
        <v>0</v>
      </c>
      <c r="BK173" s="50">
        <v>0</v>
      </c>
      <c r="BL173" s="49">
        <v>13</v>
      </c>
      <c r="BM173" s="50">
        <v>100</v>
      </c>
      <c r="BN173" s="49">
        <v>13</v>
      </c>
    </row>
    <row r="174" spans="1:66" ht="15">
      <c r="A174" s="66" t="s">
        <v>274</v>
      </c>
      <c r="B174" s="66" t="s">
        <v>299</v>
      </c>
      <c r="C174" s="67" t="s">
        <v>2108</v>
      </c>
      <c r="D174" s="68">
        <v>1</v>
      </c>
      <c r="E174" s="69" t="s">
        <v>132</v>
      </c>
      <c r="F174" s="70">
        <v>32</v>
      </c>
      <c r="G174" s="67" t="s">
        <v>51</v>
      </c>
      <c r="H174" s="71"/>
      <c r="I174" s="72"/>
      <c r="J174" s="72"/>
      <c r="K174" s="35" t="s">
        <v>65</v>
      </c>
      <c r="L174" s="79">
        <v>174</v>
      </c>
      <c r="M174" s="79"/>
      <c r="N174" s="74"/>
      <c r="O174" s="90" t="s">
        <v>307</v>
      </c>
      <c r="P174" s="93">
        <v>44483.34546296296</v>
      </c>
      <c r="Q174" s="90" t="s">
        <v>318</v>
      </c>
      <c r="R174" s="96" t="str">
        <f>HYPERLINK("https://twitter.com/HelsinkiGSE/status/1448530102837514240")</f>
        <v>https://twitter.com/HelsinkiGSE/status/1448530102837514240</v>
      </c>
      <c r="S174" s="90" t="s">
        <v>333</v>
      </c>
      <c r="T174" s="99" t="s">
        <v>341</v>
      </c>
      <c r="U174" s="90"/>
      <c r="V174" s="96" t="str">
        <f>HYPERLINK("https://pbs.twimg.com/profile_images/977422951069908992/w8GCbHZz_normal.jpg")</f>
        <v>https://pbs.twimg.com/profile_images/977422951069908992/w8GCbHZz_normal.jpg</v>
      </c>
      <c r="W174" s="93">
        <v>44483.34546296296</v>
      </c>
      <c r="X174" s="102">
        <v>44483</v>
      </c>
      <c r="Y174" s="99" t="s">
        <v>397</v>
      </c>
      <c r="Z174" s="96" t="str">
        <f>HYPERLINK("https://twitter.com/paananentanja/status/1448563595244101633")</f>
        <v>https://twitter.com/paananentanja/status/1448563595244101633</v>
      </c>
      <c r="AA174" s="90"/>
      <c r="AB174" s="90"/>
      <c r="AC174" s="99" t="s">
        <v>491</v>
      </c>
      <c r="AD174" s="90"/>
      <c r="AE174" s="90" t="b">
        <v>0</v>
      </c>
      <c r="AF174" s="90">
        <v>8</v>
      </c>
      <c r="AG174" s="99" t="s">
        <v>535</v>
      </c>
      <c r="AH174" s="90" t="b">
        <v>1</v>
      </c>
      <c r="AI174" s="90" t="s">
        <v>537</v>
      </c>
      <c r="AJ174" s="90"/>
      <c r="AK174" s="99" t="s">
        <v>526</v>
      </c>
      <c r="AL174" s="90" t="b">
        <v>0</v>
      </c>
      <c r="AM174" s="90">
        <v>3</v>
      </c>
      <c r="AN174" s="99" t="s">
        <v>535</v>
      </c>
      <c r="AO174" s="99" t="s">
        <v>542</v>
      </c>
      <c r="AP174" s="90" t="b">
        <v>0</v>
      </c>
      <c r="AQ174" s="99" t="s">
        <v>491</v>
      </c>
      <c r="AR174" s="90" t="s">
        <v>187</v>
      </c>
      <c r="AS174" s="90">
        <v>0</v>
      </c>
      <c r="AT174" s="90">
        <v>0</v>
      </c>
      <c r="AU174" s="90"/>
      <c r="AV174" s="90"/>
      <c r="AW174" s="90"/>
      <c r="AX174" s="90"/>
      <c r="AY174" s="90"/>
      <c r="AZ174" s="90"/>
      <c r="BA174" s="90"/>
      <c r="BB174" s="90"/>
      <c r="BC174" s="90">
        <v>1</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6" t="s">
        <v>274</v>
      </c>
      <c r="B175" s="66" t="s">
        <v>302</v>
      </c>
      <c r="C175" s="67" t="s">
        <v>2108</v>
      </c>
      <c r="D175" s="68">
        <v>1</v>
      </c>
      <c r="E175" s="69" t="s">
        <v>132</v>
      </c>
      <c r="F175" s="70">
        <v>32</v>
      </c>
      <c r="G175" s="67" t="s">
        <v>51</v>
      </c>
      <c r="H175" s="71"/>
      <c r="I175" s="72"/>
      <c r="J175" s="72"/>
      <c r="K175" s="35" t="s">
        <v>65</v>
      </c>
      <c r="L175" s="79">
        <v>175</v>
      </c>
      <c r="M175" s="79"/>
      <c r="N175" s="74"/>
      <c r="O175" s="90" t="s">
        <v>307</v>
      </c>
      <c r="P175" s="93">
        <v>44483.34546296296</v>
      </c>
      <c r="Q175" s="90" t="s">
        <v>318</v>
      </c>
      <c r="R175" s="96" t="str">
        <f>HYPERLINK("https://twitter.com/HelsinkiGSE/status/1448530102837514240")</f>
        <v>https://twitter.com/HelsinkiGSE/status/1448530102837514240</v>
      </c>
      <c r="S175" s="90" t="s">
        <v>333</v>
      </c>
      <c r="T175" s="99" t="s">
        <v>341</v>
      </c>
      <c r="U175" s="90"/>
      <c r="V175" s="96" t="str">
        <f>HYPERLINK("https://pbs.twimg.com/profile_images/977422951069908992/w8GCbHZz_normal.jpg")</f>
        <v>https://pbs.twimg.com/profile_images/977422951069908992/w8GCbHZz_normal.jpg</v>
      </c>
      <c r="W175" s="93">
        <v>44483.34546296296</v>
      </c>
      <c r="X175" s="102">
        <v>44483</v>
      </c>
      <c r="Y175" s="99" t="s">
        <v>397</v>
      </c>
      <c r="Z175" s="96" t="str">
        <f>HYPERLINK("https://twitter.com/paananentanja/status/1448563595244101633")</f>
        <v>https://twitter.com/paananentanja/status/1448563595244101633</v>
      </c>
      <c r="AA175" s="90"/>
      <c r="AB175" s="90"/>
      <c r="AC175" s="99" t="s">
        <v>491</v>
      </c>
      <c r="AD175" s="90"/>
      <c r="AE175" s="90" t="b">
        <v>0</v>
      </c>
      <c r="AF175" s="90">
        <v>8</v>
      </c>
      <c r="AG175" s="99" t="s">
        <v>535</v>
      </c>
      <c r="AH175" s="90" t="b">
        <v>1</v>
      </c>
      <c r="AI175" s="90" t="s">
        <v>537</v>
      </c>
      <c r="AJ175" s="90"/>
      <c r="AK175" s="99" t="s">
        <v>526</v>
      </c>
      <c r="AL175" s="90" t="b">
        <v>0</v>
      </c>
      <c r="AM175" s="90">
        <v>3</v>
      </c>
      <c r="AN175" s="99" t="s">
        <v>535</v>
      </c>
      <c r="AO175" s="99" t="s">
        <v>542</v>
      </c>
      <c r="AP175" s="90" t="b">
        <v>0</v>
      </c>
      <c r="AQ175" s="99" t="s">
        <v>491</v>
      </c>
      <c r="AR175" s="90" t="s">
        <v>187</v>
      </c>
      <c r="AS175" s="90">
        <v>0</v>
      </c>
      <c r="AT175" s="90">
        <v>0</v>
      </c>
      <c r="AU175" s="90"/>
      <c r="AV175" s="90"/>
      <c r="AW175" s="90"/>
      <c r="AX175" s="90"/>
      <c r="AY175" s="90"/>
      <c r="AZ175" s="90"/>
      <c r="BA175" s="90"/>
      <c r="BB175" s="90"/>
      <c r="BC175" s="90">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28</v>
      </c>
      <c r="BM175" s="50">
        <v>100</v>
      </c>
      <c r="BN175" s="49">
        <v>28</v>
      </c>
    </row>
    <row r="176" spans="1:66" ht="15">
      <c r="A176" s="66" t="s">
        <v>275</v>
      </c>
      <c r="B176" s="66" t="s">
        <v>274</v>
      </c>
      <c r="C176" s="67" t="s">
        <v>2108</v>
      </c>
      <c r="D176" s="68">
        <v>1</v>
      </c>
      <c r="E176" s="69" t="s">
        <v>132</v>
      </c>
      <c r="F176" s="70">
        <v>32</v>
      </c>
      <c r="G176" s="67" t="s">
        <v>51</v>
      </c>
      <c r="H176" s="71"/>
      <c r="I176" s="72"/>
      <c r="J176" s="72"/>
      <c r="K176" s="35" t="s">
        <v>65</v>
      </c>
      <c r="L176" s="79">
        <v>176</v>
      </c>
      <c r="M176" s="79"/>
      <c r="N176" s="74"/>
      <c r="O176" s="90" t="s">
        <v>305</v>
      </c>
      <c r="P176" s="93">
        <v>44483.49186342592</v>
      </c>
      <c r="Q176" s="90" t="s">
        <v>318</v>
      </c>
      <c r="R176" s="96" t="str">
        <f>HYPERLINK("https://twitter.com/HelsinkiGSE/status/1448530102837514240")</f>
        <v>https://twitter.com/HelsinkiGSE/status/1448530102837514240</v>
      </c>
      <c r="S176" s="90" t="s">
        <v>333</v>
      </c>
      <c r="T176" s="99" t="s">
        <v>341</v>
      </c>
      <c r="U176" s="90"/>
      <c r="V176" s="96" t="str">
        <f>HYPERLINK("https://pbs.twimg.com/profile_images/1439536248809525255/JOANLzZ9_normal.jpg")</f>
        <v>https://pbs.twimg.com/profile_images/1439536248809525255/JOANLzZ9_normal.jpg</v>
      </c>
      <c r="W176" s="93">
        <v>44483.49186342592</v>
      </c>
      <c r="X176" s="102">
        <v>44483</v>
      </c>
      <c r="Y176" s="99" t="s">
        <v>398</v>
      </c>
      <c r="Z176" s="96" t="str">
        <f>HYPERLINK("https://twitter.com/rebekka_nylund/status/1448616647888150533")</f>
        <v>https://twitter.com/rebekka_nylund/status/1448616647888150533</v>
      </c>
      <c r="AA176" s="90"/>
      <c r="AB176" s="90"/>
      <c r="AC176" s="99" t="s">
        <v>492</v>
      </c>
      <c r="AD176" s="90"/>
      <c r="AE176" s="90" t="b">
        <v>0</v>
      </c>
      <c r="AF176" s="90">
        <v>0</v>
      </c>
      <c r="AG176" s="99" t="s">
        <v>535</v>
      </c>
      <c r="AH176" s="90" t="b">
        <v>1</v>
      </c>
      <c r="AI176" s="90" t="s">
        <v>537</v>
      </c>
      <c r="AJ176" s="90"/>
      <c r="AK176" s="99" t="s">
        <v>526</v>
      </c>
      <c r="AL176" s="90" t="b">
        <v>0</v>
      </c>
      <c r="AM176" s="90">
        <v>3</v>
      </c>
      <c r="AN176" s="99" t="s">
        <v>491</v>
      </c>
      <c r="AO176" s="99" t="s">
        <v>545</v>
      </c>
      <c r="AP176" s="90" t="b">
        <v>0</v>
      </c>
      <c r="AQ176" s="99" t="s">
        <v>491</v>
      </c>
      <c r="AR176" s="90" t="s">
        <v>187</v>
      </c>
      <c r="AS176" s="90">
        <v>0</v>
      </c>
      <c r="AT176" s="90">
        <v>0</v>
      </c>
      <c r="AU176" s="90"/>
      <c r="AV176" s="90"/>
      <c r="AW176" s="90"/>
      <c r="AX176" s="90"/>
      <c r="AY176" s="90"/>
      <c r="AZ176" s="90"/>
      <c r="BA176" s="90"/>
      <c r="BB176" s="90"/>
      <c r="BC176" s="90">
        <v>1</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6" t="s">
        <v>275</v>
      </c>
      <c r="B177" s="66" t="s">
        <v>299</v>
      </c>
      <c r="C177" s="67" t="s">
        <v>2108</v>
      </c>
      <c r="D177" s="68">
        <v>1</v>
      </c>
      <c r="E177" s="69" t="s">
        <v>132</v>
      </c>
      <c r="F177" s="70">
        <v>32</v>
      </c>
      <c r="G177" s="67" t="s">
        <v>51</v>
      </c>
      <c r="H177" s="71"/>
      <c r="I177" s="72"/>
      <c r="J177" s="72"/>
      <c r="K177" s="35" t="s">
        <v>65</v>
      </c>
      <c r="L177" s="79">
        <v>177</v>
      </c>
      <c r="M177" s="79"/>
      <c r="N177" s="74"/>
      <c r="O177" s="90" t="s">
        <v>306</v>
      </c>
      <c r="P177" s="93">
        <v>44483.49186342592</v>
      </c>
      <c r="Q177" s="90" t="s">
        <v>318</v>
      </c>
      <c r="R177" s="96" t="str">
        <f>HYPERLINK("https://twitter.com/HelsinkiGSE/status/1448530102837514240")</f>
        <v>https://twitter.com/HelsinkiGSE/status/1448530102837514240</v>
      </c>
      <c r="S177" s="90" t="s">
        <v>333</v>
      </c>
      <c r="T177" s="99" t="s">
        <v>341</v>
      </c>
      <c r="U177" s="90"/>
      <c r="V177" s="96" t="str">
        <f>HYPERLINK("https://pbs.twimg.com/profile_images/1439536248809525255/JOANLzZ9_normal.jpg")</f>
        <v>https://pbs.twimg.com/profile_images/1439536248809525255/JOANLzZ9_normal.jpg</v>
      </c>
      <c r="W177" s="93">
        <v>44483.49186342592</v>
      </c>
      <c r="X177" s="102">
        <v>44483</v>
      </c>
      <c r="Y177" s="99" t="s">
        <v>398</v>
      </c>
      <c r="Z177" s="96" t="str">
        <f>HYPERLINK("https://twitter.com/rebekka_nylund/status/1448616647888150533")</f>
        <v>https://twitter.com/rebekka_nylund/status/1448616647888150533</v>
      </c>
      <c r="AA177" s="90"/>
      <c r="AB177" s="90"/>
      <c r="AC177" s="99" t="s">
        <v>492</v>
      </c>
      <c r="AD177" s="90"/>
      <c r="AE177" s="90" t="b">
        <v>0</v>
      </c>
      <c r="AF177" s="90">
        <v>0</v>
      </c>
      <c r="AG177" s="99" t="s">
        <v>535</v>
      </c>
      <c r="AH177" s="90" t="b">
        <v>1</v>
      </c>
      <c r="AI177" s="90" t="s">
        <v>537</v>
      </c>
      <c r="AJ177" s="90"/>
      <c r="AK177" s="99" t="s">
        <v>526</v>
      </c>
      <c r="AL177" s="90" t="b">
        <v>0</v>
      </c>
      <c r="AM177" s="90">
        <v>3</v>
      </c>
      <c r="AN177" s="99" t="s">
        <v>491</v>
      </c>
      <c r="AO177" s="99" t="s">
        <v>545</v>
      </c>
      <c r="AP177" s="90" t="b">
        <v>0</v>
      </c>
      <c r="AQ177" s="99" t="s">
        <v>491</v>
      </c>
      <c r="AR177" s="90" t="s">
        <v>187</v>
      </c>
      <c r="AS177" s="90">
        <v>0</v>
      </c>
      <c r="AT177" s="90">
        <v>0</v>
      </c>
      <c r="AU177" s="90"/>
      <c r="AV177" s="90"/>
      <c r="AW177" s="90"/>
      <c r="AX177" s="90"/>
      <c r="AY177" s="90"/>
      <c r="AZ177" s="90"/>
      <c r="BA177" s="90"/>
      <c r="BB177" s="90"/>
      <c r="BC177" s="90">
        <v>1</v>
      </c>
      <c r="BD177" s="89" t="str">
        <f>REPLACE(INDEX(GroupVertices[Group],MATCH(Edges[[#This Row],[Vertex 1]],GroupVertices[Vertex],0)),1,1,"")</f>
        <v>1</v>
      </c>
      <c r="BE177" s="89" t="str">
        <f>REPLACE(INDEX(GroupVertices[Group],MATCH(Edges[[#This Row],[Vertex 2]],GroupVertices[Vertex],0)),1,1,"")</f>
        <v>1</v>
      </c>
      <c r="BF177" s="49"/>
      <c r="BG177" s="50"/>
      <c r="BH177" s="49"/>
      <c r="BI177" s="50"/>
      <c r="BJ177" s="49"/>
      <c r="BK177" s="50"/>
      <c r="BL177" s="49"/>
      <c r="BM177" s="50"/>
      <c r="BN177" s="49"/>
    </row>
    <row r="178" spans="1:66" ht="15">
      <c r="A178" s="66" t="s">
        <v>275</v>
      </c>
      <c r="B178" s="66" t="s">
        <v>302</v>
      </c>
      <c r="C178" s="67" t="s">
        <v>2108</v>
      </c>
      <c r="D178" s="68">
        <v>1</v>
      </c>
      <c r="E178" s="69" t="s">
        <v>132</v>
      </c>
      <c r="F178" s="70">
        <v>32</v>
      </c>
      <c r="G178" s="67" t="s">
        <v>51</v>
      </c>
      <c r="H178" s="71"/>
      <c r="I178" s="72"/>
      <c r="J178" s="72"/>
      <c r="K178" s="35" t="s">
        <v>65</v>
      </c>
      <c r="L178" s="79">
        <v>178</v>
      </c>
      <c r="M178" s="79"/>
      <c r="N178" s="74"/>
      <c r="O178" s="90" t="s">
        <v>306</v>
      </c>
      <c r="P178" s="93">
        <v>44483.49186342592</v>
      </c>
      <c r="Q178" s="90" t="s">
        <v>318</v>
      </c>
      <c r="R178" s="96" t="str">
        <f>HYPERLINK("https://twitter.com/HelsinkiGSE/status/1448530102837514240")</f>
        <v>https://twitter.com/HelsinkiGSE/status/1448530102837514240</v>
      </c>
      <c r="S178" s="90" t="s">
        <v>333</v>
      </c>
      <c r="T178" s="99" t="s">
        <v>341</v>
      </c>
      <c r="U178" s="90"/>
      <c r="V178" s="96" t="str">
        <f>HYPERLINK("https://pbs.twimg.com/profile_images/1439536248809525255/JOANLzZ9_normal.jpg")</f>
        <v>https://pbs.twimg.com/profile_images/1439536248809525255/JOANLzZ9_normal.jpg</v>
      </c>
      <c r="W178" s="93">
        <v>44483.49186342592</v>
      </c>
      <c r="X178" s="102">
        <v>44483</v>
      </c>
      <c r="Y178" s="99" t="s">
        <v>398</v>
      </c>
      <c r="Z178" s="96" t="str">
        <f>HYPERLINK("https://twitter.com/rebekka_nylund/status/1448616647888150533")</f>
        <v>https://twitter.com/rebekka_nylund/status/1448616647888150533</v>
      </c>
      <c r="AA178" s="90"/>
      <c r="AB178" s="90"/>
      <c r="AC178" s="99" t="s">
        <v>492</v>
      </c>
      <c r="AD178" s="90"/>
      <c r="AE178" s="90" t="b">
        <v>0</v>
      </c>
      <c r="AF178" s="90">
        <v>0</v>
      </c>
      <c r="AG178" s="99" t="s">
        <v>535</v>
      </c>
      <c r="AH178" s="90" t="b">
        <v>1</v>
      </c>
      <c r="AI178" s="90" t="s">
        <v>537</v>
      </c>
      <c r="AJ178" s="90"/>
      <c r="AK178" s="99" t="s">
        <v>526</v>
      </c>
      <c r="AL178" s="90" t="b">
        <v>0</v>
      </c>
      <c r="AM178" s="90">
        <v>3</v>
      </c>
      <c r="AN178" s="99" t="s">
        <v>491</v>
      </c>
      <c r="AO178" s="99" t="s">
        <v>545</v>
      </c>
      <c r="AP178" s="90" t="b">
        <v>0</v>
      </c>
      <c r="AQ178" s="99" t="s">
        <v>491</v>
      </c>
      <c r="AR178" s="90" t="s">
        <v>187</v>
      </c>
      <c r="AS178" s="90">
        <v>0</v>
      </c>
      <c r="AT178" s="90">
        <v>0</v>
      </c>
      <c r="AU178" s="90"/>
      <c r="AV178" s="90"/>
      <c r="AW178" s="90"/>
      <c r="AX178" s="90"/>
      <c r="AY178" s="90"/>
      <c r="AZ178" s="90"/>
      <c r="BA178" s="90"/>
      <c r="BB178" s="90"/>
      <c r="BC178" s="90">
        <v>1</v>
      </c>
      <c r="BD178" s="89" t="str">
        <f>REPLACE(INDEX(GroupVertices[Group],MATCH(Edges[[#This Row],[Vertex 1]],GroupVertices[Vertex],0)),1,1,"")</f>
        <v>1</v>
      </c>
      <c r="BE178" s="89" t="str">
        <f>REPLACE(INDEX(GroupVertices[Group],MATCH(Edges[[#This Row],[Vertex 2]],GroupVertices[Vertex],0)),1,1,"")</f>
        <v>1</v>
      </c>
      <c r="BF178" s="49">
        <v>0</v>
      </c>
      <c r="BG178" s="50">
        <v>0</v>
      </c>
      <c r="BH178" s="49">
        <v>0</v>
      </c>
      <c r="BI178" s="50">
        <v>0</v>
      </c>
      <c r="BJ178" s="49">
        <v>0</v>
      </c>
      <c r="BK178" s="50">
        <v>0</v>
      </c>
      <c r="BL178" s="49">
        <v>28</v>
      </c>
      <c r="BM178" s="50">
        <v>100</v>
      </c>
      <c r="BN178" s="49">
        <v>28</v>
      </c>
    </row>
    <row r="179" spans="1:66" ht="15">
      <c r="A179" s="66" t="s">
        <v>276</v>
      </c>
      <c r="B179" s="66" t="s">
        <v>299</v>
      </c>
      <c r="C179" s="67" t="s">
        <v>2108</v>
      </c>
      <c r="D179" s="68">
        <v>1</v>
      </c>
      <c r="E179" s="69" t="s">
        <v>132</v>
      </c>
      <c r="F179" s="70">
        <v>32</v>
      </c>
      <c r="G179" s="67" t="s">
        <v>51</v>
      </c>
      <c r="H179" s="71"/>
      <c r="I179" s="72"/>
      <c r="J179" s="72"/>
      <c r="K179" s="35" t="s">
        <v>65</v>
      </c>
      <c r="L179" s="79">
        <v>179</v>
      </c>
      <c r="M179" s="79"/>
      <c r="N179" s="74"/>
      <c r="O179" s="90" t="s">
        <v>306</v>
      </c>
      <c r="P179" s="93">
        <v>44483.49196759259</v>
      </c>
      <c r="Q179" s="90" t="s">
        <v>310</v>
      </c>
      <c r="R179" s="96" t="str">
        <f>HYPERLINK("https://talouskurssi.fi/")</f>
        <v>https://talouskurssi.fi/</v>
      </c>
      <c r="S179" s="90" t="s">
        <v>334</v>
      </c>
      <c r="T179" s="99" t="s">
        <v>338</v>
      </c>
      <c r="U179" s="96" t="str">
        <f>HYPERLINK("https://pbs.twimg.com/ext_tw_video_thumb/1448527896562348036/pu/img/0PqSbNMaXHvzKHCc.jpg")</f>
        <v>https://pbs.twimg.com/ext_tw_video_thumb/1448527896562348036/pu/img/0PqSbNMaXHvzKHCc.jpg</v>
      </c>
      <c r="V179" s="96" t="str">
        <f>HYPERLINK("https://pbs.twimg.com/ext_tw_video_thumb/1448527896562348036/pu/img/0PqSbNMaXHvzKHCc.jpg")</f>
        <v>https://pbs.twimg.com/ext_tw_video_thumb/1448527896562348036/pu/img/0PqSbNMaXHvzKHCc.jpg</v>
      </c>
      <c r="W179" s="93">
        <v>44483.49196759259</v>
      </c>
      <c r="X179" s="102">
        <v>44483</v>
      </c>
      <c r="Y179" s="99" t="s">
        <v>399</v>
      </c>
      <c r="Z179" s="96" t="str">
        <f>HYPERLINK("https://twitter.com/anttihuotari7/status/1448616685041291264")</f>
        <v>https://twitter.com/anttihuotari7/status/1448616685041291264</v>
      </c>
      <c r="AA179" s="90"/>
      <c r="AB179" s="90"/>
      <c r="AC179" s="99" t="s">
        <v>493</v>
      </c>
      <c r="AD179" s="90"/>
      <c r="AE179" s="90" t="b">
        <v>0</v>
      </c>
      <c r="AF179" s="90">
        <v>0</v>
      </c>
      <c r="AG179" s="99" t="s">
        <v>535</v>
      </c>
      <c r="AH179" s="90" t="b">
        <v>0</v>
      </c>
      <c r="AI179" s="90" t="s">
        <v>537</v>
      </c>
      <c r="AJ179" s="90"/>
      <c r="AK179" s="99" t="s">
        <v>535</v>
      </c>
      <c r="AL179" s="90" t="b">
        <v>0</v>
      </c>
      <c r="AM179" s="90">
        <v>52</v>
      </c>
      <c r="AN179" s="99" t="s">
        <v>526</v>
      </c>
      <c r="AO179" s="99" t="s">
        <v>542</v>
      </c>
      <c r="AP179" s="90" t="b">
        <v>0</v>
      </c>
      <c r="AQ179" s="99" t="s">
        <v>526</v>
      </c>
      <c r="AR179" s="90" t="s">
        <v>187</v>
      </c>
      <c r="AS179" s="90">
        <v>0</v>
      </c>
      <c r="AT179" s="90">
        <v>0</v>
      </c>
      <c r="AU179" s="90"/>
      <c r="AV179" s="90"/>
      <c r="AW179" s="90"/>
      <c r="AX179" s="90"/>
      <c r="AY179" s="90"/>
      <c r="AZ179" s="90"/>
      <c r="BA179" s="90"/>
      <c r="BB179" s="90"/>
      <c r="BC179" s="90">
        <v>1</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6" t="s">
        <v>276</v>
      </c>
      <c r="B180" s="66" t="s">
        <v>302</v>
      </c>
      <c r="C180" s="67" t="s">
        <v>2108</v>
      </c>
      <c r="D180" s="68">
        <v>1</v>
      </c>
      <c r="E180" s="69" t="s">
        <v>132</v>
      </c>
      <c r="F180" s="70">
        <v>32</v>
      </c>
      <c r="G180" s="67" t="s">
        <v>51</v>
      </c>
      <c r="H180" s="71"/>
      <c r="I180" s="72"/>
      <c r="J180" s="72"/>
      <c r="K180" s="35" t="s">
        <v>65</v>
      </c>
      <c r="L180" s="79">
        <v>180</v>
      </c>
      <c r="M180" s="79"/>
      <c r="N180" s="74"/>
      <c r="O180" s="90" t="s">
        <v>306</v>
      </c>
      <c r="P180" s="93">
        <v>44483.49196759259</v>
      </c>
      <c r="Q180" s="90" t="s">
        <v>310</v>
      </c>
      <c r="R180" s="96" t="str">
        <f>HYPERLINK("https://talouskurssi.fi/")</f>
        <v>https://talouskurssi.fi/</v>
      </c>
      <c r="S180" s="90" t="s">
        <v>334</v>
      </c>
      <c r="T180" s="99" t="s">
        <v>338</v>
      </c>
      <c r="U180" s="96" t="str">
        <f>HYPERLINK("https://pbs.twimg.com/ext_tw_video_thumb/1448527896562348036/pu/img/0PqSbNMaXHvzKHCc.jpg")</f>
        <v>https://pbs.twimg.com/ext_tw_video_thumb/1448527896562348036/pu/img/0PqSbNMaXHvzKHCc.jpg</v>
      </c>
      <c r="V180" s="96" t="str">
        <f>HYPERLINK("https://pbs.twimg.com/ext_tw_video_thumb/1448527896562348036/pu/img/0PqSbNMaXHvzKHCc.jpg")</f>
        <v>https://pbs.twimg.com/ext_tw_video_thumb/1448527896562348036/pu/img/0PqSbNMaXHvzKHCc.jpg</v>
      </c>
      <c r="W180" s="93">
        <v>44483.49196759259</v>
      </c>
      <c r="X180" s="102">
        <v>44483</v>
      </c>
      <c r="Y180" s="99" t="s">
        <v>399</v>
      </c>
      <c r="Z180" s="96" t="str">
        <f>HYPERLINK("https://twitter.com/anttihuotari7/status/1448616685041291264")</f>
        <v>https://twitter.com/anttihuotari7/status/1448616685041291264</v>
      </c>
      <c r="AA180" s="90"/>
      <c r="AB180" s="90"/>
      <c r="AC180" s="99" t="s">
        <v>493</v>
      </c>
      <c r="AD180" s="90"/>
      <c r="AE180" s="90" t="b">
        <v>0</v>
      </c>
      <c r="AF180" s="90">
        <v>0</v>
      </c>
      <c r="AG180" s="99" t="s">
        <v>535</v>
      </c>
      <c r="AH180" s="90" t="b">
        <v>0</v>
      </c>
      <c r="AI180" s="90" t="s">
        <v>537</v>
      </c>
      <c r="AJ180" s="90"/>
      <c r="AK180" s="99" t="s">
        <v>535</v>
      </c>
      <c r="AL180" s="90" t="b">
        <v>0</v>
      </c>
      <c r="AM180" s="90">
        <v>52</v>
      </c>
      <c r="AN180" s="99" t="s">
        <v>526</v>
      </c>
      <c r="AO180" s="99" t="s">
        <v>542</v>
      </c>
      <c r="AP180" s="90" t="b">
        <v>0</v>
      </c>
      <c r="AQ180" s="99" t="s">
        <v>526</v>
      </c>
      <c r="AR180" s="90" t="s">
        <v>187</v>
      </c>
      <c r="AS180" s="90">
        <v>0</v>
      </c>
      <c r="AT180" s="90">
        <v>0</v>
      </c>
      <c r="AU180" s="90"/>
      <c r="AV180" s="90"/>
      <c r="AW180" s="90"/>
      <c r="AX180" s="90"/>
      <c r="AY180" s="90"/>
      <c r="AZ180" s="90"/>
      <c r="BA180" s="90"/>
      <c r="BB180" s="90"/>
      <c r="BC180" s="90">
        <v>1</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6" t="s">
        <v>276</v>
      </c>
      <c r="B181" s="66" t="s">
        <v>293</v>
      </c>
      <c r="C181" s="67" t="s">
        <v>2108</v>
      </c>
      <c r="D181" s="68">
        <v>1</v>
      </c>
      <c r="E181" s="69" t="s">
        <v>132</v>
      </c>
      <c r="F181" s="70">
        <v>32</v>
      </c>
      <c r="G181" s="67" t="s">
        <v>51</v>
      </c>
      <c r="H181" s="71"/>
      <c r="I181" s="72"/>
      <c r="J181" s="72"/>
      <c r="K181" s="35" t="s">
        <v>65</v>
      </c>
      <c r="L181" s="79">
        <v>181</v>
      </c>
      <c r="M181" s="79"/>
      <c r="N181" s="74"/>
      <c r="O181" s="90" t="s">
        <v>305</v>
      </c>
      <c r="P181" s="93">
        <v>44483.49196759259</v>
      </c>
      <c r="Q181" s="90" t="s">
        <v>310</v>
      </c>
      <c r="R181" s="96" t="str">
        <f>HYPERLINK("https://talouskurssi.fi/")</f>
        <v>https://talouskurssi.fi/</v>
      </c>
      <c r="S181" s="90" t="s">
        <v>334</v>
      </c>
      <c r="T181" s="99" t="s">
        <v>338</v>
      </c>
      <c r="U181" s="96" t="str">
        <f>HYPERLINK("https://pbs.twimg.com/ext_tw_video_thumb/1448527896562348036/pu/img/0PqSbNMaXHvzKHCc.jpg")</f>
        <v>https://pbs.twimg.com/ext_tw_video_thumb/1448527896562348036/pu/img/0PqSbNMaXHvzKHCc.jpg</v>
      </c>
      <c r="V181" s="96" t="str">
        <f>HYPERLINK("https://pbs.twimg.com/ext_tw_video_thumb/1448527896562348036/pu/img/0PqSbNMaXHvzKHCc.jpg")</f>
        <v>https://pbs.twimg.com/ext_tw_video_thumb/1448527896562348036/pu/img/0PqSbNMaXHvzKHCc.jpg</v>
      </c>
      <c r="W181" s="93">
        <v>44483.49196759259</v>
      </c>
      <c r="X181" s="102">
        <v>44483</v>
      </c>
      <c r="Y181" s="99" t="s">
        <v>399</v>
      </c>
      <c r="Z181" s="96" t="str">
        <f>HYPERLINK("https://twitter.com/anttihuotari7/status/1448616685041291264")</f>
        <v>https://twitter.com/anttihuotari7/status/1448616685041291264</v>
      </c>
      <c r="AA181" s="90"/>
      <c r="AB181" s="90"/>
      <c r="AC181" s="99" t="s">
        <v>493</v>
      </c>
      <c r="AD181" s="90"/>
      <c r="AE181" s="90" t="b">
        <v>0</v>
      </c>
      <c r="AF181" s="90">
        <v>0</v>
      </c>
      <c r="AG181" s="99" t="s">
        <v>535</v>
      </c>
      <c r="AH181" s="90" t="b">
        <v>0</v>
      </c>
      <c r="AI181" s="90" t="s">
        <v>537</v>
      </c>
      <c r="AJ181" s="90"/>
      <c r="AK181" s="99" t="s">
        <v>535</v>
      </c>
      <c r="AL181" s="90" t="b">
        <v>0</v>
      </c>
      <c r="AM181" s="90">
        <v>52</v>
      </c>
      <c r="AN181" s="99" t="s">
        <v>526</v>
      </c>
      <c r="AO181" s="99" t="s">
        <v>542</v>
      </c>
      <c r="AP181" s="90" t="b">
        <v>0</v>
      </c>
      <c r="AQ181" s="99" t="s">
        <v>526</v>
      </c>
      <c r="AR181" s="90" t="s">
        <v>187</v>
      </c>
      <c r="AS181" s="90">
        <v>0</v>
      </c>
      <c r="AT181" s="90">
        <v>0</v>
      </c>
      <c r="AU181" s="90"/>
      <c r="AV181" s="90"/>
      <c r="AW181" s="90"/>
      <c r="AX181" s="90"/>
      <c r="AY181" s="90"/>
      <c r="AZ181" s="90"/>
      <c r="BA181" s="90"/>
      <c r="BB181" s="90"/>
      <c r="BC181" s="90">
        <v>1</v>
      </c>
      <c r="BD181" s="89" t="str">
        <f>REPLACE(INDEX(GroupVertices[Group],MATCH(Edges[[#This Row],[Vertex 1]],GroupVertices[Vertex],0)),1,1,"")</f>
        <v>1</v>
      </c>
      <c r="BE181" s="89" t="str">
        <f>REPLACE(INDEX(GroupVertices[Group],MATCH(Edges[[#This Row],[Vertex 2]],GroupVertices[Vertex],0)),1,1,"")</f>
        <v>3</v>
      </c>
      <c r="BF181" s="49">
        <v>0</v>
      </c>
      <c r="BG181" s="50">
        <v>0</v>
      </c>
      <c r="BH181" s="49">
        <v>0</v>
      </c>
      <c r="BI181" s="50">
        <v>0</v>
      </c>
      <c r="BJ181" s="49">
        <v>0</v>
      </c>
      <c r="BK181" s="50">
        <v>0</v>
      </c>
      <c r="BL181" s="49">
        <v>28</v>
      </c>
      <c r="BM181" s="50">
        <v>100</v>
      </c>
      <c r="BN181" s="49">
        <v>28</v>
      </c>
    </row>
    <row r="182" spans="1:66" ht="15">
      <c r="A182" s="66" t="s">
        <v>277</v>
      </c>
      <c r="B182" s="66" t="s">
        <v>299</v>
      </c>
      <c r="C182" s="67" t="s">
        <v>2108</v>
      </c>
      <c r="D182" s="68">
        <v>1</v>
      </c>
      <c r="E182" s="69" t="s">
        <v>132</v>
      </c>
      <c r="F182" s="70">
        <v>32</v>
      </c>
      <c r="G182" s="67" t="s">
        <v>51</v>
      </c>
      <c r="H182" s="71"/>
      <c r="I182" s="72"/>
      <c r="J182" s="72"/>
      <c r="K182" s="35" t="s">
        <v>65</v>
      </c>
      <c r="L182" s="79">
        <v>182</v>
      </c>
      <c r="M182" s="79"/>
      <c r="N182" s="74"/>
      <c r="O182" s="90" t="s">
        <v>306</v>
      </c>
      <c r="P182" s="93">
        <v>44483.49266203704</v>
      </c>
      <c r="Q182" s="90" t="s">
        <v>310</v>
      </c>
      <c r="R182" s="96" t="str">
        <f>HYPERLINK("https://talouskurssi.fi/")</f>
        <v>https://talouskurssi.fi/</v>
      </c>
      <c r="S182" s="90" t="s">
        <v>334</v>
      </c>
      <c r="T182" s="99" t="s">
        <v>338</v>
      </c>
      <c r="U182" s="96" t="str">
        <f>HYPERLINK("https://pbs.twimg.com/ext_tw_video_thumb/1448527896562348036/pu/img/0PqSbNMaXHvzKHCc.jpg")</f>
        <v>https://pbs.twimg.com/ext_tw_video_thumb/1448527896562348036/pu/img/0PqSbNMaXHvzKHCc.jpg</v>
      </c>
      <c r="V182" s="96" t="str">
        <f>HYPERLINK("https://pbs.twimg.com/ext_tw_video_thumb/1448527896562348036/pu/img/0PqSbNMaXHvzKHCc.jpg")</f>
        <v>https://pbs.twimg.com/ext_tw_video_thumb/1448527896562348036/pu/img/0PqSbNMaXHvzKHCc.jpg</v>
      </c>
      <c r="W182" s="93">
        <v>44483.49266203704</v>
      </c>
      <c r="X182" s="102">
        <v>44483</v>
      </c>
      <c r="Y182" s="99" t="s">
        <v>400</v>
      </c>
      <c r="Z182" s="96" t="str">
        <f>HYPERLINK("https://twitter.com/janneartell/status/1448616935319609346")</f>
        <v>https://twitter.com/janneartell/status/1448616935319609346</v>
      </c>
      <c r="AA182" s="90"/>
      <c r="AB182" s="90"/>
      <c r="AC182" s="99" t="s">
        <v>494</v>
      </c>
      <c r="AD182" s="90"/>
      <c r="AE182" s="90" t="b">
        <v>0</v>
      </c>
      <c r="AF182" s="90">
        <v>0</v>
      </c>
      <c r="AG182" s="99" t="s">
        <v>535</v>
      </c>
      <c r="AH182" s="90" t="b">
        <v>0</v>
      </c>
      <c r="AI182" s="90" t="s">
        <v>537</v>
      </c>
      <c r="AJ182" s="90"/>
      <c r="AK182" s="99" t="s">
        <v>535</v>
      </c>
      <c r="AL182" s="90" t="b">
        <v>0</v>
      </c>
      <c r="AM182" s="90">
        <v>52</v>
      </c>
      <c r="AN182" s="99" t="s">
        <v>526</v>
      </c>
      <c r="AO182" s="99" t="s">
        <v>542</v>
      </c>
      <c r="AP182" s="90" t="b">
        <v>0</v>
      </c>
      <c r="AQ182" s="99" t="s">
        <v>526</v>
      </c>
      <c r="AR182" s="90" t="s">
        <v>187</v>
      </c>
      <c r="AS182" s="90">
        <v>0</v>
      </c>
      <c r="AT182" s="90">
        <v>0</v>
      </c>
      <c r="AU182" s="90"/>
      <c r="AV182" s="90"/>
      <c r="AW182" s="90"/>
      <c r="AX182" s="90"/>
      <c r="AY182" s="90"/>
      <c r="AZ182" s="90"/>
      <c r="BA182" s="90"/>
      <c r="BB182" s="90"/>
      <c r="BC182" s="90">
        <v>1</v>
      </c>
      <c r="BD182" s="89" t="str">
        <f>REPLACE(INDEX(GroupVertices[Group],MATCH(Edges[[#This Row],[Vertex 1]],GroupVertices[Vertex],0)),1,1,"")</f>
        <v>1</v>
      </c>
      <c r="BE182" s="89" t="str">
        <f>REPLACE(INDEX(GroupVertices[Group],MATCH(Edges[[#This Row],[Vertex 2]],GroupVertices[Vertex],0)),1,1,"")</f>
        <v>1</v>
      </c>
      <c r="BF182" s="49"/>
      <c r="BG182" s="50"/>
      <c r="BH182" s="49"/>
      <c r="BI182" s="50"/>
      <c r="BJ182" s="49"/>
      <c r="BK182" s="50"/>
      <c r="BL182" s="49"/>
      <c r="BM182" s="50"/>
      <c r="BN182" s="49"/>
    </row>
    <row r="183" spans="1:66" ht="15">
      <c r="A183" s="66" t="s">
        <v>277</v>
      </c>
      <c r="B183" s="66" t="s">
        <v>302</v>
      </c>
      <c r="C183" s="67" t="s">
        <v>2108</v>
      </c>
      <c r="D183" s="68">
        <v>1</v>
      </c>
      <c r="E183" s="69" t="s">
        <v>132</v>
      </c>
      <c r="F183" s="70">
        <v>32</v>
      </c>
      <c r="G183" s="67" t="s">
        <v>51</v>
      </c>
      <c r="H183" s="71"/>
      <c r="I183" s="72"/>
      <c r="J183" s="72"/>
      <c r="K183" s="35" t="s">
        <v>65</v>
      </c>
      <c r="L183" s="79">
        <v>183</v>
      </c>
      <c r="M183" s="79"/>
      <c r="N183" s="74"/>
      <c r="O183" s="90" t="s">
        <v>306</v>
      </c>
      <c r="P183" s="93">
        <v>44483.49266203704</v>
      </c>
      <c r="Q183" s="90" t="s">
        <v>310</v>
      </c>
      <c r="R183" s="96" t="str">
        <f>HYPERLINK("https://talouskurssi.fi/")</f>
        <v>https://talouskurssi.fi/</v>
      </c>
      <c r="S183" s="90" t="s">
        <v>334</v>
      </c>
      <c r="T183" s="99" t="s">
        <v>338</v>
      </c>
      <c r="U183" s="96" t="str">
        <f>HYPERLINK("https://pbs.twimg.com/ext_tw_video_thumb/1448527896562348036/pu/img/0PqSbNMaXHvzKHCc.jpg")</f>
        <v>https://pbs.twimg.com/ext_tw_video_thumb/1448527896562348036/pu/img/0PqSbNMaXHvzKHCc.jpg</v>
      </c>
      <c r="V183" s="96" t="str">
        <f>HYPERLINK("https://pbs.twimg.com/ext_tw_video_thumb/1448527896562348036/pu/img/0PqSbNMaXHvzKHCc.jpg")</f>
        <v>https://pbs.twimg.com/ext_tw_video_thumb/1448527896562348036/pu/img/0PqSbNMaXHvzKHCc.jpg</v>
      </c>
      <c r="W183" s="93">
        <v>44483.49266203704</v>
      </c>
      <c r="X183" s="102">
        <v>44483</v>
      </c>
      <c r="Y183" s="99" t="s">
        <v>400</v>
      </c>
      <c r="Z183" s="96" t="str">
        <f>HYPERLINK("https://twitter.com/janneartell/status/1448616935319609346")</f>
        <v>https://twitter.com/janneartell/status/1448616935319609346</v>
      </c>
      <c r="AA183" s="90"/>
      <c r="AB183" s="90"/>
      <c r="AC183" s="99" t="s">
        <v>494</v>
      </c>
      <c r="AD183" s="90"/>
      <c r="AE183" s="90" t="b">
        <v>0</v>
      </c>
      <c r="AF183" s="90">
        <v>0</v>
      </c>
      <c r="AG183" s="99" t="s">
        <v>535</v>
      </c>
      <c r="AH183" s="90" t="b">
        <v>0</v>
      </c>
      <c r="AI183" s="90" t="s">
        <v>537</v>
      </c>
      <c r="AJ183" s="90"/>
      <c r="AK183" s="99" t="s">
        <v>535</v>
      </c>
      <c r="AL183" s="90" t="b">
        <v>0</v>
      </c>
      <c r="AM183" s="90">
        <v>52</v>
      </c>
      <c r="AN183" s="99" t="s">
        <v>526</v>
      </c>
      <c r="AO183" s="99" t="s">
        <v>542</v>
      </c>
      <c r="AP183" s="90" t="b">
        <v>0</v>
      </c>
      <c r="AQ183" s="99" t="s">
        <v>526</v>
      </c>
      <c r="AR183" s="90" t="s">
        <v>187</v>
      </c>
      <c r="AS183" s="90">
        <v>0</v>
      </c>
      <c r="AT183" s="90">
        <v>0</v>
      </c>
      <c r="AU183" s="90"/>
      <c r="AV183" s="90"/>
      <c r="AW183" s="90"/>
      <c r="AX183" s="90"/>
      <c r="AY183" s="90"/>
      <c r="AZ183" s="90"/>
      <c r="BA183" s="90"/>
      <c r="BB183" s="90"/>
      <c r="BC183" s="90">
        <v>1</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6" t="s">
        <v>277</v>
      </c>
      <c r="B184" s="66" t="s">
        <v>293</v>
      </c>
      <c r="C184" s="67" t="s">
        <v>2108</v>
      </c>
      <c r="D184" s="68">
        <v>1</v>
      </c>
      <c r="E184" s="69" t="s">
        <v>132</v>
      </c>
      <c r="F184" s="70">
        <v>32</v>
      </c>
      <c r="G184" s="67" t="s">
        <v>51</v>
      </c>
      <c r="H184" s="71"/>
      <c r="I184" s="72"/>
      <c r="J184" s="72"/>
      <c r="K184" s="35" t="s">
        <v>65</v>
      </c>
      <c r="L184" s="79">
        <v>184</v>
      </c>
      <c r="M184" s="79"/>
      <c r="N184" s="74"/>
      <c r="O184" s="90" t="s">
        <v>305</v>
      </c>
      <c r="P184" s="93">
        <v>44483.49266203704</v>
      </c>
      <c r="Q184" s="90" t="s">
        <v>310</v>
      </c>
      <c r="R184" s="96" t="str">
        <f>HYPERLINK("https://talouskurssi.fi/")</f>
        <v>https://talouskurssi.fi/</v>
      </c>
      <c r="S184" s="90" t="s">
        <v>334</v>
      </c>
      <c r="T184" s="99" t="s">
        <v>338</v>
      </c>
      <c r="U184" s="96" t="str">
        <f>HYPERLINK("https://pbs.twimg.com/ext_tw_video_thumb/1448527896562348036/pu/img/0PqSbNMaXHvzKHCc.jpg")</f>
        <v>https://pbs.twimg.com/ext_tw_video_thumb/1448527896562348036/pu/img/0PqSbNMaXHvzKHCc.jpg</v>
      </c>
      <c r="V184" s="96" t="str">
        <f>HYPERLINK("https://pbs.twimg.com/ext_tw_video_thumb/1448527896562348036/pu/img/0PqSbNMaXHvzKHCc.jpg")</f>
        <v>https://pbs.twimg.com/ext_tw_video_thumb/1448527896562348036/pu/img/0PqSbNMaXHvzKHCc.jpg</v>
      </c>
      <c r="W184" s="93">
        <v>44483.49266203704</v>
      </c>
      <c r="X184" s="102">
        <v>44483</v>
      </c>
      <c r="Y184" s="99" t="s">
        <v>400</v>
      </c>
      <c r="Z184" s="96" t="str">
        <f>HYPERLINK("https://twitter.com/janneartell/status/1448616935319609346")</f>
        <v>https://twitter.com/janneartell/status/1448616935319609346</v>
      </c>
      <c r="AA184" s="90"/>
      <c r="AB184" s="90"/>
      <c r="AC184" s="99" t="s">
        <v>494</v>
      </c>
      <c r="AD184" s="90"/>
      <c r="AE184" s="90" t="b">
        <v>0</v>
      </c>
      <c r="AF184" s="90">
        <v>0</v>
      </c>
      <c r="AG184" s="99" t="s">
        <v>535</v>
      </c>
      <c r="AH184" s="90" t="b">
        <v>0</v>
      </c>
      <c r="AI184" s="90" t="s">
        <v>537</v>
      </c>
      <c r="AJ184" s="90"/>
      <c r="AK184" s="99" t="s">
        <v>535</v>
      </c>
      <c r="AL184" s="90" t="b">
        <v>0</v>
      </c>
      <c r="AM184" s="90">
        <v>52</v>
      </c>
      <c r="AN184" s="99" t="s">
        <v>526</v>
      </c>
      <c r="AO184" s="99" t="s">
        <v>542</v>
      </c>
      <c r="AP184" s="90" t="b">
        <v>0</v>
      </c>
      <c r="AQ184" s="99" t="s">
        <v>526</v>
      </c>
      <c r="AR184" s="90" t="s">
        <v>187</v>
      </c>
      <c r="AS184" s="90">
        <v>0</v>
      </c>
      <c r="AT184" s="90">
        <v>0</v>
      </c>
      <c r="AU184" s="90"/>
      <c r="AV184" s="90"/>
      <c r="AW184" s="90"/>
      <c r="AX184" s="90"/>
      <c r="AY184" s="90"/>
      <c r="AZ184" s="90"/>
      <c r="BA184" s="90"/>
      <c r="BB184" s="90"/>
      <c r="BC184" s="90">
        <v>1</v>
      </c>
      <c r="BD184" s="89" t="str">
        <f>REPLACE(INDEX(GroupVertices[Group],MATCH(Edges[[#This Row],[Vertex 1]],GroupVertices[Vertex],0)),1,1,"")</f>
        <v>1</v>
      </c>
      <c r="BE184" s="89" t="str">
        <f>REPLACE(INDEX(GroupVertices[Group],MATCH(Edges[[#This Row],[Vertex 2]],GroupVertices[Vertex],0)),1,1,"")</f>
        <v>3</v>
      </c>
      <c r="BF184" s="49">
        <v>0</v>
      </c>
      <c r="BG184" s="50">
        <v>0</v>
      </c>
      <c r="BH184" s="49">
        <v>0</v>
      </c>
      <c r="BI184" s="50">
        <v>0</v>
      </c>
      <c r="BJ184" s="49">
        <v>0</v>
      </c>
      <c r="BK184" s="50">
        <v>0</v>
      </c>
      <c r="BL184" s="49">
        <v>28</v>
      </c>
      <c r="BM184" s="50">
        <v>100</v>
      </c>
      <c r="BN184" s="49">
        <v>28</v>
      </c>
    </row>
    <row r="185" spans="1:66" ht="15">
      <c r="A185" s="66" t="s">
        <v>278</v>
      </c>
      <c r="B185" s="66" t="s">
        <v>299</v>
      </c>
      <c r="C185" s="67" t="s">
        <v>2108</v>
      </c>
      <c r="D185" s="68">
        <v>1</v>
      </c>
      <c r="E185" s="69" t="s">
        <v>132</v>
      </c>
      <c r="F185" s="70">
        <v>32</v>
      </c>
      <c r="G185" s="67" t="s">
        <v>51</v>
      </c>
      <c r="H185" s="71"/>
      <c r="I185" s="72"/>
      <c r="J185" s="72"/>
      <c r="K185" s="35" t="s">
        <v>65</v>
      </c>
      <c r="L185" s="79">
        <v>185</v>
      </c>
      <c r="M185" s="79"/>
      <c r="N185" s="74"/>
      <c r="O185" s="90" t="s">
        <v>306</v>
      </c>
      <c r="P185" s="93">
        <v>44483.49553240741</v>
      </c>
      <c r="Q185" s="90" t="s">
        <v>319</v>
      </c>
      <c r="R185" s="90" t="s">
        <v>331</v>
      </c>
      <c r="S185" s="90" t="s">
        <v>335</v>
      </c>
      <c r="T185" s="99" t="s">
        <v>342</v>
      </c>
      <c r="U185" s="96" t="str">
        <f>HYPERLINK("https://pbs.twimg.com/media/FBqDIVrXsAA8FP7.jpg")</f>
        <v>https://pbs.twimg.com/media/FBqDIVrXsAA8FP7.jpg</v>
      </c>
      <c r="V185" s="96" t="str">
        <f>HYPERLINK("https://pbs.twimg.com/media/FBqDIVrXsAA8FP7.jpg")</f>
        <v>https://pbs.twimg.com/media/FBqDIVrXsAA8FP7.jpg</v>
      </c>
      <c r="W185" s="93">
        <v>44483.49553240741</v>
      </c>
      <c r="X185" s="102">
        <v>44483</v>
      </c>
      <c r="Y185" s="99" t="s">
        <v>401</v>
      </c>
      <c r="Z185" s="96" t="str">
        <f>HYPERLINK("https://twitter.com/vuokkotee/status/1448617978006839303")</f>
        <v>https://twitter.com/vuokkotee/status/1448617978006839303</v>
      </c>
      <c r="AA185" s="90"/>
      <c r="AB185" s="90"/>
      <c r="AC185" s="99" t="s">
        <v>495</v>
      </c>
      <c r="AD185" s="90"/>
      <c r="AE185" s="90" t="b">
        <v>0</v>
      </c>
      <c r="AF185" s="90">
        <v>0</v>
      </c>
      <c r="AG185" s="99" t="s">
        <v>535</v>
      </c>
      <c r="AH185" s="90" t="b">
        <v>1</v>
      </c>
      <c r="AI185" s="90" t="s">
        <v>537</v>
      </c>
      <c r="AJ185" s="90"/>
      <c r="AK185" s="99" t="s">
        <v>526</v>
      </c>
      <c r="AL185" s="90" t="b">
        <v>0</v>
      </c>
      <c r="AM185" s="90">
        <v>3</v>
      </c>
      <c r="AN185" s="99" t="s">
        <v>518</v>
      </c>
      <c r="AO185" s="99" t="s">
        <v>542</v>
      </c>
      <c r="AP185" s="90" t="b">
        <v>0</v>
      </c>
      <c r="AQ185" s="99" t="s">
        <v>518</v>
      </c>
      <c r="AR185" s="90" t="s">
        <v>187</v>
      </c>
      <c r="AS185" s="90">
        <v>0</v>
      </c>
      <c r="AT185" s="90">
        <v>0</v>
      </c>
      <c r="AU185" s="90"/>
      <c r="AV185" s="90"/>
      <c r="AW185" s="90"/>
      <c r="AX185" s="90"/>
      <c r="AY185" s="90"/>
      <c r="AZ185" s="90"/>
      <c r="BA185" s="90"/>
      <c r="BB185" s="90"/>
      <c r="BC185" s="90">
        <v>1</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6" t="s">
        <v>278</v>
      </c>
      <c r="B186" s="66" t="s">
        <v>302</v>
      </c>
      <c r="C186" s="67" t="s">
        <v>2108</v>
      </c>
      <c r="D186" s="68">
        <v>1</v>
      </c>
      <c r="E186" s="69" t="s">
        <v>132</v>
      </c>
      <c r="F186" s="70">
        <v>32</v>
      </c>
      <c r="G186" s="67" t="s">
        <v>51</v>
      </c>
      <c r="H186" s="71"/>
      <c r="I186" s="72"/>
      <c r="J186" s="72"/>
      <c r="K186" s="35" t="s">
        <v>65</v>
      </c>
      <c r="L186" s="79">
        <v>186</v>
      </c>
      <c r="M186" s="79"/>
      <c r="N186" s="74"/>
      <c r="O186" s="90" t="s">
        <v>306</v>
      </c>
      <c r="P186" s="93">
        <v>44483.49553240741</v>
      </c>
      <c r="Q186" s="90" t="s">
        <v>319</v>
      </c>
      <c r="R186" s="90" t="s">
        <v>331</v>
      </c>
      <c r="S186" s="90" t="s">
        <v>335</v>
      </c>
      <c r="T186" s="99" t="s">
        <v>342</v>
      </c>
      <c r="U186" s="96" t="str">
        <f>HYPERLINK("https://pbs.twimg.com/media/FBqDIVrXsAA8FP7.jpg")</f>
        <v>https://pbs.twimg.com/media/FBqDIVrXsAA8FP7.jpg</v>
      </c>
      <c r="V186" s="96" t="str">
        <f>HYPERLINK("https://pbs.twimg.com/media/FBqDIVrXsAA8FP7.jpg")</f>
        <v>https://pbs.twimg.com/media/FBqDIVrXsAA8FP7.jpg</v>
      </c>
      <c r="W186" s="93">
        <v>44483.49553240741</v>
      </c>
      <c r="X186" s="102">
        <v>44483</v>
      </c>
      <c r="Y186" s="99" t="s">
        <v>401</v>
      </c>
      <c r="Z186" s="96" t="str">
        <f>HYPERLINK("https://twitter.com/vuokkotee/status/1448617978006839303")</f>
        <v>https://twitter.com/vuokkotee/status/1448617978006839303</v>
      </c>
      <c r="AA186" s="90"/>
      <c r="AB186" s="90"/>
      <c r="AC186" s="99" t="s">
        <v>495</v>
      </c>
      <c r="AD186" s="90"/>
      <c r="AE186" s="90" t="b">
        <v>0</v>
      </c>
      <c r="AF186" s="90">
        <v>0</v>
      </c>
      <c r="AG186" s="99" t="s">
        <v>535</v>
      </c>
      <c r="AH186" s="90" t="b">
        <v>1</v>
      </c>
      <c r="AI186" s="90" t="s">
        <v>537</v>
      </c>
      <c r="AJ186" s="90"/>
      <c r="AK186" s="99" t="s">
        <v>526</v>
      </c>
      <c r="AL186" s="90" t="b">
        <v>0</v>
      </c>
      <c r="AM186" s="90">
        <v>3</v>
      </c>
      <c r="AN186" s="99" t="s">
        <v>518</v>
      </c>
      <c r="AO186" s="99" t="s">
        <v>542</v>
      </c>
      <c r="AP186" s="90" t="b">
        <v>0</v>
      </c>
      <c r="AQ186" s="99" t="s">
        <v>518</v>
      </c>
      <c r="AR186" s="90" t="s">
        <v>187</v>
      </c>
      <c r="AS186" s="90">
        <v>0</v>
      </c>
      <c r="AT186" s="90">
        <v>0</v>
      </c>
      <c r="AU186" s="90"/>
      <c r="AV186" s="90"/>
      <c r="AW186" s="90"/>
      <c r="AX186" s="90"/>
      <c r="AY186" s="90"/>
      <c r="AZ186" s="90"/>
      <c r="BA186" s="90"/>
      <c r="BB186" s="90"/>
      <c r="BC186" s="90">
        <v>1</v>
      </c>
      <c r="BD186" s="89" t="str">
        <f>REPLACE(INDEX(GroupVertices[Group],MATCH(Edges[[#This Row],[Vertex 1]],GroupVertices[Vertex],0)),1,1,"")</f>
        <v>1</v>
      </c>
      <c r="BE186" s="89" t="str">
        <f>REPLACE(INDEX(GroupVertices[Group],MATCH(Edges[[#This Row],[Vertex 2]],GroupVertices[Vertex],0)),1,1,"")</f>
        <v>1</v>
      </c>
      <c r="BF186" s="49"/>
      <c r="BG186" s="50"/>
      <c r="BH186" s="49"/>
      <c r="BI186" s="50"/>
      <c r="BJ186" s="49"/>
      <c r="BK186" s="50"/>
      <c r="BL186" s="49"/>
      <c r="BM186" s="50"/>
      <c r="BN186" s="49"/>
    </row>
    <row r="187" spans="1:66" ht="15">
      <c r="A187" s="66" t="s">
        <v>278</v>
      </c>
      <c r="B187" s="66" t="s">
        <v>294</v>
      </c>
      <c r="C187" s="67" t="s">
        <v>2108</v>
      </c>
      <c r="D187" s="68">
        <v>1</v>
      </c>
      <c r="E187" s="69" t="s">
        <v>132</v>
      </c>
      <c r="F187" s="70">
        <v>32</v>
      </c>
      <c r="G187" s="67" t="s">
        <v>51</v>
      </c>
      <c r="H187" s="71"/>
      <c r="I187" s="72"/>
      <c r="J187" s="72"/>
      <c r="K187" s="35" t="s">
        <v>65</v>
      </c>
      <c r="L187" s="79">
        <v>187</v>
      </c>
      <c r="M187" s="79"/>
      <c r="N187" s="74"/>
      <c r="O187" s="90" t="s">
        <v>305</v>
      </c>
      <c r="P187" s="93">
        <v>44483.49553240741</v>
      </c>
      <c r="Q187" s="90" t="s">
        <v>319</v>
      </c>
      <c r="R187" s="90" t="s">
        <v>331</v>
      </c>
      <c r="S187" s="90" t="s">
        <v>335</v>
      </c>
      <c r="T187" s="99" t="s">
        <v>342</v>
      </c>
      <c r="U187" s="96" t="str">
        <f>HYPERLINK("https://pbs.twimg.com/media/FBqDIVrXsAA8FP7.jpg")</f>
        <v>https://pbs.twimg.com/media/FBqDIVrXsAA8FP7.jpg</v>
      </c>
      <c r="V187" s="96" t="str">
        <f>HYPERLINK("https://pbs.twimg.com/media/FBqDIVrXsAA8FP7.jpg")</f>
        <v>https://pbs.twimg.com/media/FBqDIVrXsAA8FP7.jpg</v>
      </c>
      <c r="W187" s="93">
        <v>44483.49553240741</v>
      </c>
      <c r="X187" s="102">
        <v>44483</v>
      </c>
      <c r="Y187" s="99" t="s">
        <v>401</v>
      </c>
      <c r="Z187" s="96" t="str">
        <f>HYPERLINK("https://twitter.com/vuokkotee/status/1448617978006839303")</f>
        <v>https://twitter.com/vuokkotee/status/1448617978006839303</v>
      </c>
      <c r="AA187" s="90"/>
      <c r="AB187" s="90"/>
      <c r="AC187" s="99" t="s">
        <v>495</v>
      </c>
      <c r="AD187" s="90"/>
      <c r="AE187" s="90" t="b">
        <v>0</v>
      </c>
      <c r="AF187" s="90">
        <v>0</v>
      </c>
      <c r="AG187" s="99" t="s">
        <v>535</v>
      </c>
      <c r="AH187" s="90" t="b">
        <v>1</v>
      </c>
      <c r="AI187" s="90" t="s">
        <v>537</v>
      </c>
      <c r="AJ187" s="90"/>
      <c r="AK187" s="99" t="s">
        <v>526</v>
      </c>
      <c r="AL187" s="90" t="b">
        <v>0</v>
      </c>
      <c r="AM187" s="90">
        <v>3</v>
      </c>
      <c r="AN187" s="99" t="s">
        <v>518</v>
      </c>
      <c r="AO187" s="99" t="s">
        <v>542</v>
      </c>
      <c r="AP187" s="90" t="b">
        <v>0</v>
      </c>
      <c r="AQ187" s="99" t="s">
        <v>518</v>
      </c>
      <c r="AR187" s="90" t="s">
        <v>187</v>
      </c>
      <c r="AS187" s="90">
        <v>0</v>
      </c>
      <c r="AT187" s="90">
        <v>0</v>
      </c>
      <c r="AU187" s="90"/>
      <c r="AV187" s="90"/>
      <c r="AW187" s="90"/>
      <c r="AX187" s="90"/>
      <c r="AY187" s="90"/>
      <c r="AZ187" s="90"/>
      <c r="BA187" s="90"/>
      <c r="BB187" s="90"/>
      <c r="BC187" s="90">
        <v>1</v>
      </c>
      <c r="BD187" s="89" t="str">
        <f>REPLACE(INDEX(GroupVertices[Group],MATCH(Edges[[#This Row],[Vertex 1]],GroupVertices[Vertex],0)),1,1,"")</f>
        <v>1</v>
      </c>
      <c r="BE187" s="89"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6" t="s">
        <v>279</v>
      </c>
      <c r="B188" s="66" t="s">
        <v>299</v>
      </c>
      <c r="C188" s="67" t="s">
        <v>2108</v>
      </c>
      <c r="D188" s="68">
        <v>1</v>
      </c>
      <c r="E188" s="69" t="s">
        <v>132</v>
      </c>
      <c r="F188" s="70">
        <v>32</v>
      </c>
      <c r="G188" s="67" t="s">
        <v>51</v>
      </c>
      <c r="H188" s="71"/>
      <c r="I188" s="72"/>
      <c r="J188" s="72"/>
      <c r="K188" s="35" t="s">
        <v>65</v>
      </c>
      <c r="L188" s="79">
        <v>188</v>
      </c>
      <c r="M188" s="79"/>
      <c r="N188" s="74"/>
      <c r="O188" s="90" t="s">
        <v>307</v>
      </c>
      <c r="P188" s="93">
        <v>44483.49606481481</v>
      </c>
      <c r="Q188" s="90" t="s">
        <v>320</v>
      </c>
      <c r="R188" s="96" t="str">
        <f>HYPERLINK("https://twitter.com/HelsinkiGSE/status/1448530102837514240")</f>
        <v>https://twitter.com/HelsinkiGSE/status/1448530102837514240</v>
      </c>
      <c r="S188" s="90" t="s">
        <v>333</v>
      </c>
      <c r="T188" s="99" t="s">
        <v>338</v>
      </c>
      <c r="U188" s="90"/>
      <c r="V188" s="96" t="str">
        <f>HYPERLINK("https://pbs.twimg.com/profile_images/1326628349196767233/oW-Q8IPL_normal.jpg")</f>
        <v>https://pbs.twimg.com/profile_images/1326628349196767233/oW-Q8IPL_normal.jpg</v>
      </c>
      <c r="W188" s="93">
        <v>44483.49606481481</v>
      </c>
      <c r="X188" s="102">
        <v>44483</v>
      </c>
      <c r="Y188" s="99" t="s">
        <v>402</v>
      </c>
      <c r="Z188" s="96" t="str">
        <f>HYPERLINK("https://twitter.com/kkouzmitchev/status/1448618171490050050")</f>
        <v>https://twitter.com/kkouzmitchev/status/1448618171490050050</v>
      </c>
      <c r="AA188" s="90"/>
      <c r="AB188" s="90"/>
      <c r="AC188" s="99" t="s">
        <v>496</v>
      </c>
      <c r="AD188" s="90"/>
      <c r="AE188" s="90" t="b">
        <v>0</v>
      </c>
      <c r="AF188" s="90">
        <v>9</v>
      </c>
      <c r="AG188" s="99" t="s">
        <v>535</v>
      </c>
      <c r="AH188" s="90" t="b">
        <v>1</v>
      </c>
      <c r="AI188" s="90" t="s">
        <v>537</v>
      </c>
      <c r="AJ188" s="90"/>
      <c r="AK188" s="99" t="s">
        <v>526</v>
      </c>
      <c r="AL188" s="90" t="b">
        <v>0</v>
      </c>
      <c r="AM188" s="90">
        <v>0</v>
      </c>
      <c r="AN188" s="99" t="s">
        <v>535</v>
      </c>
      <c r="AO188" s="99" t="s">
        <v>542</v>
      </c>
      <c r="AP188" s="90" t="b">
        <v>0</v>
      </c>
      <c r="AQ188" s="99" t="s">
        <v>496</v>
      </c>
      <c r="AR188" s="90" t="s">
        <v>187</v>
      </c>
      <c r="AS188" s="90">
        <v>0</v>
      </c>
      <c r="AT188" s="90">
        <v>0</v>
      </c>
      <c r="AU188" s="90"/>
      <c r="AV188" s="90"/>
      <c r="AW188" s="90"/>
      <c r="AX188" s="90"/>
      <c r="AY188" s="90"/>
      <c r="AZ188" s="90"/>
      <c r="BA188" s="90"/>
      <c r="BB188" s="90"/>
      <c r="BC188" s="90">
        <v>1</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6" t="s">
        <v>279</v>
      </c>
      <c r="B189" s="66" t="s">
        <v>302</v>
      </c>
      <c r="C189" s="67" t="s">
        <v>2108</v>
      </c>
      <c r="D189" s="68">
        <v>1</v>
      </c>
      <c r="E189" s="69" t="s">
        <v>132</v>
      </c>
      <c r="F189" s="70">
        <v>32</v>
      </c>
      <c r="G189" s="67" t="s">
        <v>51</v>
      </c>
      <c r="H189" s="71"/>
      <c r="I189" s="72"/>
      <c r="J189" s="72"/>
      <c r="K189" s="35" t="s">
        <v>65</v>
      </c>
      <c r="L189" s="79">
        <v>189</v>
      </c>
      <c r="M189" s="79"/>
      <c r="N189" s="74"/>
      <c r="O189" s="90" t="s">
        <v>307</v>
      </c>
      <c r="P189" s="93">
        <v>44483.49606481481</v>
      </c>
      <c r="Q189" s="90" t="s">
        <v>320</v>
      </c>
      <c r="R189" s="96" t="str">
        <f>HYPERLINK("https://twitter.com/HelsinkiGSE/status/1448530102837514240")</f>
        <v>https://twitter.com/HelsinkiGSE/status/1448530102837514240</v>
      </c>
      <c r="S189" s="90" t="s">
        <v>333</v>
      </c>
      <c r="T189" s="99" t="s">
        <v>338</v>
      </c>
      <c r="U189" s="90"/>
      <c r="V189" s="96" t="str">
        <f>HYPERLINK("https://pbs.twimg.com/profile_images/1326628349196767233/oW-Q8IPL_normal.jpg")</f>
        <v>https://pbs.twimg.com/profile_images/1326628349196767233/oW-Q8IPL_normal.jpg</v>
      </c>
      <c r="W189" s="93">
        <v>44483.49606481481</v>
      </c>
      <c r="X189" s="102">
        <v>44483</v>
      </c>
      <c r="Y189" s="99" t="s">
        <v>402</v>
      </c>
      <c r="Z189" s="96" t="str">
        <f>HYPERLINK("https://twitter.com/kkouzmitchev/status/1448618171490050050")</f>
        <v>https://twitter.com/kkouzmitchev/status/1448618171490050050</v>
      </c>
      <c r="AA189" s="90"/>
      <c r="AB189" s="90"/>
      <c r="AC189" s="99" t="s">
        <v>496</v>
      </c>
      <c r="AD189" s="90"/>
      <c r="AE189" s="90" t="b">
        <v>0</v>
      </c>
      <c r="AF189" s="90">
        <v>9</v>
      </c>
      <c r="AG189" s="99" t="s">
        <v>535</v>
      </c>
      <c r="AH189" s="90" t="b">
        <v>1</v>
      </c>
      <c r="AI189" s="90" t="s">
        <v>537</v>
      </c>
      <c r="AJ189" s="90"/>
      <c r="AK189" s="99" t="s">
        <v>526</v>
      </c>
      <c r="AL189" s="90" t="b">
        <v>0</v>
      </c>
      <c r="AM189" s="90">
        <v>0</v>
      </c>
      <c r="AN189" s="99" t="s">
        <v>535</v>
      </c>
      <c r="AO189" s="99" t="s">
        <v>542</v>
      </c>
      <c r="AP189" s="90" t="b">
        <v>0</v>
      </c>
      <c r="AQ189" s="99" t="s">
        <v>496</v>
      </c>
      <c r="AR189" s="90" t="s">
        <v>187</v>
      </c>
      <c r="AS189" s="90">
        <v>0</v>
      </c>
      <c r="AT189" s="90">
        <v>0</v>
      </c>
      <c r="AU189" s="90"/>
      <c r="AV189" s="90"/>
      <c r="AW189" s="90"/>
      <c r="AX189" s="90"/>
      <c r="AY189" s="90"/>
      <c r="AZ189" s="90"/>
      <c r="BA189" s="90"/>
      <c r="BB189" s="90"/>
      <c r="BC189" s="90">
        <v>1</v>
      </c>
      <c r="BD189" s="89" t="str">
        <f>REPLACE(INDEX(GroupVertices[Group],MATCH(Edges[[#This Row],[Vertex 1]],GroupVertices[Vertex],0)),1,1,"")</f>
        <v>1</v>
      </c>
      <c r="BE189" s="89"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6" t="s">
        <v>280</v>
      </c>
      <c r="B190" s="66" t="s">
        <v>299</v>
      </c>
      <c r="C190" s="67" t="s">
        <v>2108</v>
      </c>
      <c r="D190" s="68">
        <v>1</v>
      </c>
      <c r="E190" s="69" t="s">
        <v>132</v>
      </c>
      <c r="F190" s="70">
        <v>32</v>
      </c>
      <c r="G190" s="67" t="s">
        <v>51</v>
      </c>
      <c r="H190" s="71"/>
      <c r="I190" s="72"/>
      <c r="J190" s="72"/>
      <c r="K190" s="35" t="s">
        <v>65</v>
      </c>
      <c r="L190" s="79">
        <v>190</v>
      </c>
      <c r="M190" s="79"/>
      <c r="N190" s="74"/>
      <c r="O190" s="90" t="s">
        <v>306</v>
      </c>
      <c r="P190" s="93">
        <v>44483.49747685185</v>
      </c>
      <c r="Q190" s="90" t="s">
        <v>310</v>
      </c>
      <c r="R190" s="96" t="str">
        <f>HYPERLINK("https://talouskurssi.fi/")</f>
        <v>https://talouskurssi.fi/</v>
      </c>
      <c r="S190" s="90" t="s">
        <v>334</v>
      </c>
      <c r="T190" s="99" t="s">
        <v>338</v>
      </c>
      <c r="U190" s="96" t="str">
        <f>HYPERLINK("https://pbs.twimg.com/ext_tw_video_thumb/1448527896562348036/pu/img/0PqSbNMaXHvzKHCc.jpg")</f>
        <v>https://pbs.twimg.com/ext_tw_video_thumb/1448527896562348036/pu/img/0PqSbNMaXHvzKHCc.jpg</v>
      </c>
      <c r="V190" s="96" t="str">
        <f>HYPERLINK("https://pbs.twimg.com/ext_tw_video_thumb/1448527896562348036/pu/img/0PqSbNMaXHvzKHCc.jpg")</f>
        <v>https://pbs.twimg.com/ext_tw_video_thumb/1448527896562348036/pu/img/0PqSbNMaXHvzKHCc.jpg</v>
      </c>
      <c r="W190" s="93">
        <v>44483.49747685185</v>
      </c>
      <c r="X190" s="102">
        <v>44483</v>
      </c>
      <c r="Y190" s="99" t="s">
        <v>403</v>
      </c>
      <c r="Z190" s="96" t="str">
        <f>HYPERLINK("https://twitter.com/petterihaveri/status/1448618681018290184")</f>
        <v>https://twitter.com/petterihaveri/status/1448618681018290184</v>
      </c>
      <c r="AA190" s="90"/>
      <c r="AB190" s="90"/>
      <c r="AC190" s="99" t="s">
        <v>497</v>
      </c>
      <c r="AD190" s="90"/>
      <c r="AE190" s="90" t="b">
        <v>0</v>
      </c>
      <c r="AF190" s="90">
        <v>0</v>
      </c>
      <c r="AG190" s="99" t="s">
        <v>535</v>
      </c>
      <c r="AH190" s="90" t="b">
        <v>0</v>
      </c>
      <c r="AI190" s="90" t="s">
        <v>537</v>
      </c>
      <c r="AJ190" s="90"/>
      <c r="AK190" s="99" t="s">
        <v>535</v>
      </c>
      <c r="AL190" s="90" t="b">
        <v>0</v>
      </c>
      <c r="AM190" s="90">
        <v>52</v>
      </c>
      <c r="AN190" s="99" t="s">
        <v>526</v>
      </c>
      <c r="AO190" s="99" t="s">
        <v>542</v>
      </c>
      <c r="AP190" s="90" t="b">
        <v>0</v>
      </c>
      <c r="AQ190" s="99" t="s">
        <v>526</v>
      </c>
      <c r="AR190" s="90" t="s">
        <v>187</v>
      </c>
      <c r="AS190" s="90">
        <v>0</v>
      </c>
      <c r="AT190" s="90">
        <v>0</v>
      </c>
      <c r="AU190" s="90"/>
      <c r="AV190" s="90"/>
      <c r="AW190" s="90"/>
      <c r="AX190" s="90"/>
      <c r="AY190" s="90"/>
      <c r="AZ190" s="90"/>
      <c r="BA190" s="90"/>
      <c r="BB190" s="90"/>
      <c r="BC190" s="90">
        <v>1</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6" t="s">
        <v>280</v>
      </c>
      <c r="B191" s="66" t="s">
        <v>302</v>
      </c>
      <c r="C191" s="67" t="s">
        <v>2108</v>
      </c>
      <c r="D191" s="68">
        <v>1</v>
      </c>
      <c r="E191" s="69" t="s">
        <v>132</v>
      </c>
      <c r="F191" s="70">
        <v>32</v>
      </c>
      <c r="G191" s="67" t="s">
        <v>51</v>
      </c>
      <c r="H191" s="71"/>
      <c r="I191" s="72"/>
      <c r="J191" s="72"/>
      <c r="K191" s="35" t="s">
        <v>65</v>
      </c>
      <c r="L191" s="79">
        <v>191</v>
      </c>
      <c r="M191" s="79"/>
      <c r="N191" s="74"/>
      <c r="O191" s="90" t="s">
        <v>306</v>
      </c>
      <c r="P191" s="93">
        <v>44483.49747685185</v>
      </c>
      <c r="Q191" s="90" t="s">
        <v>310</v>
      </c>
      <c r="R191" s="96" t="str">
        <f>HYPERLINK("https://talouskurssi.fi/")</f>
        <v>https://talouskurssi.fi/</v>
      </c>
      <c r="S191" s="90" t="s">
        <v>334</v>
      </c>
      <c r="T191" s="99" t="s">
        <v>338</v>
      </c>
      <c r="U191" s="96" t="str">
        <f>HYPERLINK("https://pbs.twimg.com/ext_tw_video_thumb/1448527896562348036/pu/img/0PqSbNMaXHvzKHCc.jpg")</f>
        <v>https://pbs.twimg.com/ext_tw_video_thumb/1448527896562348036/pu/img/0PqSbNMaXHvzKHCc.jpg</v>
      </c>
      <c r="V191" s="96" t="str">
        <f>HYPERLINK("https://pbs.twimg.com/ext_tw_video_thumb/1448527896562348036/pu/img/0PqSbNMaXHvzKHCc.jpg")</f>
        <v>https://pbs.twimg.com/ext_tw_video_thumb/1448527896562348036/pu/img/0PqSbNMaXHvzKHCc.jpg</v>
      </c>
      <c r="W191" s="93">
        <v>44483.49747685185</v>
      </c>
      <c r="X191" s="102">
        <v>44483</v>
      </c>
      <c r="Y191" s="99" t="s">
        <v>403</v>
      </c>
      <c r="Z191" s="96" t="str">
        <f>HYPERLINK("https://twitter.com/petterihaveri/status/1448618681018290184")</f>
        <v>https://twitter.com/petterihaveri/status/1448618681018290184</v>
      </c>
      <c r="AA191" s="90"/>
      <c r="AB191" s="90"/>
      <c r="AC191" s="99" t="s">
        <v>497</v>
      </c>
      <c r="AD191" s="90"/>
      <c r="AE191" s="90" t="b">
        <v>0</v>
      </c>
      <c r="AF191" s="90">
        <v>0</v>
      </c>
      <c r="AG191" s="99" t="s">
        <v>535</v>
      </c>
      <c r="AH191" s="90" t="b">
        <v>0</v>
      </c>
      <c r="AI191" s="90" t="s">
        <v>537</v>
      </c>
      <c r="AJ191" s="90"/>
      <c r="AK191" s="99" t="s">
        <v>535</v>
      </c>
      <c r="AL191" s="90" t="b">
        <v>0</v>
      </c>
      <c r="AM191" s="90">
        <v>52</v>
      </c>
      <c r="AN191" s="99" t="s">
        <v>526</v>
      </c>
      <c r="AO191" s="99" t="s">
        <v>542</v>
      </c>
      <c r="AP191" s="90" t="b">
        <v>0</v>
      </c>
      <c r="AQ191" s="99" t="s">
        <v>526</v>
      </c>
      <c r="AR191" s="90" t="s">
        <v>187</v>
      </c>
      <c r="AS191" s="90">
        <v>0</v>
      </c>
      <c r="AT191" s="90">
        <v>0</v>
      </c>
      <c r="AU191" s="90"/>
      <c r="AV191" s="90"/>
      <c r="AW191" s="90"/>
      <c r="AX191" s="90"/>
      <c r="AY191" s="90"/>
      <c r="AZ191" s="90"/>
      <c r="BA191" s="90"/>
      <c r="BB191" s="90"/>
      <c r="BC191" s="90">
        <v>1</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6" t="s">
        <v>280</v>
      </c>
      <c r="B192" s="66" t="s">
        <v>293</v>
      </c>
      <c r="C192" s="67" t="s">
        <v>2108</v>
      </c>
      <c r="D192" s="68">
        <v>1</v>
      </c>
      <c r="E192" s="69" t="s">
        <v>132</v>
      </c>
      <c r="F192" s="70">
        <v>32</v>
      </c>
      <c r="G192" s="67" t="s">
        <v>51</v>
      </c>
      <c r="H192" s="71"/>
      <c r="I192" s="72"/>
      <c r="J192" s="72"/>
      <c r="K192" s="35" t="s">
        <v>65</v>
      </c>
      <c r="L192" s="79">
        <v>192</v>
      </c>
      <c r="M192" s="79"/>
      <c r="N192" s="74"/>
      <c r="O192" s="90" t="s">
        <v>305</v>
      </c>
      <c r="P192" s="93">
        <v>44483.49747685185</v>
      </c>
      <c r="Q192" s="90" t="s">
        <v>310</v>
      </c>
      <c r="R192" s="96" t="str">
        <f>HYPERLINK("https://talouskurssi.fi/")</f>
        <v>https://talouskurssi.fi/</v>
      </c>
      <c r="S192" s="90" t="s">
        <v>334</v>
      </c>
      <c r="T192" s="99" t="s">
        <v>338</v>
      </c>
      <c r="U192" s="96" t="str">
        <f>HYPERLINK("https://pbs.twimg.com/ext_tw_video_thumb/1448527896562348036/pu/img/0PqSbNMaXHvzKHCc.jpg")</f>
        <v>https://pbs.twimg.com/ext_tw_video_thumb/1448527896562348036/pu/img/0PqSbNMaXHvzKHCc.jpg</v>
      </c>
      <c r="V192" s="96" t="str">
        <f>HYPERLINK("https://pbs.twimg.com/ext_tw_video_thumb/1448527896562348036/pu/img/0PqSbNMaXHvzKHCc.jpg")</f>
        <v>https://pbs.twimg.com/ext_tw_video_thumb/1448527896562348036/pu/img/0PqSbNMaXHvzKHCc.jpg</v>
      </c>
      <c r="W192" s="93">
        <v>44483.49747685185</v>
      </c>
      <c r="X192" s="102">
        <v>44483</v>
      </c>
      <c r="Y192" s="99" t="s">
        <v>403</v>
      </c>
      <c r="Z192" s="96" t="str">
        <f>HYPERLINK("https://twitter.com/petterihaveri/status/1448618681018290184")</f>
        <v>https://twitter.com/petterihaveri/status/1448618681018290184</v>
      </c>
      <c r="AA192" s="90"/>
      <c r="AB192" s="90"/>
      <c r="AC192" s="99" t="s">
        <v>497</v>
      </c>
      <c r="AD192" s="90"/>
      <c r="AE192" s="90" t="b">
        <v>0</v>
      </c>
      <c r="AF192" s="90">
        <v>0</v>
      </c>
      <c r="AG192" s="99" t="s">
        <v>535</v>
      </c>
      <c r="AH192" s="90" t="b">
        <v>0</v>
      </c>
      <c r="AI192" s="90" t="s">
        <v>537</v>
      </c>
      <c r="AJ192" s="90"/>
      <c r="AK192" s="99" t="s">
        <v>535</v>
      </c>
      <c r="AL192" s="90" t="b">
        <v>0</v>
      </c>
      <c r="AM192" s="90">
        <v>52</v>
      </c>
      <c r="AN192" s="99" t="s">
        <v>526</v>
      </c>
      <c r="AO192" s="99" t="s">
        <v>542</v>
      </c>
      <c r="AP192" s="90" t="b">
        <v>0</v>
      </c>
      <c r="AQ192" s="99" t="s">
        <v>526</v>
      </c>
      <c r="AR192" s="90" t="s">
        <v>187</v>
      </c>
      <c r="AS192" s="90">
        <v>0</v>
      </c>
      <c r="AT192" s="90">
        <v>0</v>
      </c>
      <c r="AU192" s="90"/>
      <c r="AV192" s="90"/>
      <c r="AW192" s="90"/>
      <c r="AX192" s="90"/>
      <c r="AY192" s="90"/>
      <c r="AZ192" s="90"/>
      <c r="BA192" s="90"/>
      <c r="BB192" s="90"/>
      <c r="BC192" s="90">
        <v>1</v>
      </c>
      <c r="BD192" s="89" t="str">
        <f>REPLACE(INDEX(GroupVertices[Group],MATCH(Edges[[#This Row],[Vertex 1]],GroupVertices[Vertex],0)),1,1,"")</f>
        <v>1</v>
      </c>
      <c r="BE192" s="89" t="str">
        <f>REPLACE(INDEX(GroupVertices[Group],MATCH(Edges[[#This Row],[Vertex 2]],GroupVertices[Vertex],0)),1,1,"")</f>
        <v>3</v>
      </c>
      <c r="BF192" s="49">
        <v>0</v>
      </c>
      <c r="BG192" s="50">
        <v>0</v>
      </c>
      <c r="BH192" s="49">
        <v>0</v>
      </c>
      <c r="BI192" s="50">
        <v>0</v>
      </c>
      <c r="BJ192" s="49">
        <v>0</v>
      </c>
      <c r="BK192" s="50">
        <v>0</v>
      </c>
      <c r="BL192" s="49">
        <v>28</v>
      </c>
      <c r="BM192" s="50">
        <v>100</v>
      </c>
      <c r="BN192" s="49">
        <v>28</v>
      </c>
    </row>
    <row r="193" spans="1:66" ht="15">
      <c r="A193" s="66" t="s">
        <v>281</v>
      </c>
      <c r="B193" s="66" t="s">
        <v>299</v>
      </c>
      <c r="C193" s="67" t="s">
        <v>2108</v>
      </c>
      <c r="D193" s="68">
        <v>1</v>
      </c>
      <c r="E193" s="69" t="s">
        <v>132</v>
      </c>
      <c r="F193" s="70">
        <v>32</v>
      </c>
      <c r="G193" s="67" t="s">
        <v>51</v>
      </c>
      <c r="H193" s="71"/>
      <c r="I193" s="72"/>
      <c r="J193" s="72"/>
      <c r="K193" s="35" t="s">
        <v>65</v>
      </c>
      <c r="L193" s="79">
        <v>193</v>
      </c>
      <c r="M193" s="79"/>
      <c r="N193" s="74"/>
      <c r="O193" s="90" t="s">
        <v>306</v>
      </c>
      <c r="P193" s="93">
        <v>44483.50271990741</v>
      </c>
      <c r="Q193" s="90" t="s">
        <v>310</v>
      </c>
      <c r="R193" s="96" t="str">
        <f>HYPERLINK("https://talouskurssi.fi/")</f>
        <v>https://talouskurssi.fi/</v>
      </c>
      <c r="S193" s="90" t="s">
        <v>334</v>
      </c>
      <c r="T193" s="99" t="s">
        <v>338</v>
      </c>
      <c r="U193" s="96" t="str">
        <f>HYPERLINK("https://pbs.twimg.com/ext_tw_video_thumb/1448527896562348036/pu/img/0PqSbNMaXHvzKHCc.jpg")</f>
        <v>https://pbs.twimg.com/ext_tw_video_thumb/1448527896562348036/pu/img/0PqSbNMaXHvzKHCc.jpg</v>
      </c>
      <c r="V193" s="96" t="str">
        <f>HYPERLINK("https://pbs.twimg.com/ext_tw_video_thumb/1448527896562348036/pu/img/0PqSbNMaXHvzKHCc.jpg")</f>
        <v>https://pbs.twimg.com/ext_tw_video_thumb/1448527896562348036/pu/img/0PqSbNMaXHvzKHCc.jpg</v>
      </c>
      <c r="W193" s="93">
        <v>44483.50271990741</v>
      </c>
      <c r="X193" s="102">
        <v>44483</v>
      </c>
      <c r="Y193" s="99" t="s">
        <v>404</v>
      </c>
      <c r="Z193" s="96" t="str">
        <f>HYPERLINK("https://twitter.com/joonastuhkuri/status/1448620583810478080")</f>
        <v>https://twitter.com/joonastuhkuri/status/1448620583810478080</v>
      </c>
      <c r="AA193" s="90"/>
      <c r="AB193" s="90"/>
      <c r="AC193" s="99" t="s">
        <v>498</v>
      </c>
      <c r="AD193" s="90"/>
      <c r="AE193" s="90" t="b">
        <v>0</v>
      </c>
      <c r="AF193" s="90">
        <v>0</v>
      </c>
      <c r="AG193" s="99" t="s">
        <v>535</v>
      </c>
      <c r="AH193" s="90" t="b">
        <v>0</v>
      </c>
      <c r="AI193" s="90" t="s">
        <v>537</v>
      </c>
      <c r="AJ193" s="90"/>
      <c r="AK193" s="99" t="s">
        <v>535</v>
      </c>
      <c r="AL193" s="90" t="b">
        <v>0</v>
      </c>
      <c r="AM193" s="90">
        <v>52</v>
      </c>
      <c r="AN193" s="99" t="s">
        <v>526</v>
      </c>
      <c r="AO193" s="99" t="s">
        <v>543</v>
      </c>
      <c r="AP193" s="90" t="b">
        <v>0</v>
      </c>
      <c r="AQ193" s="99" t="s">
        <v>526</v>
      </c>
      <c r="AR193" s="90" t="s">
        <v>187</v>
      </c>
      <c r="AS193" s="90">
        <v>0</v>
      </c>
      <c r="AT193" s="90">
        <v>0</v>
      </c>
      <c r="AU193" s="90"/>
      <c r="AV193" s="90"/>
      <c r="AW193" s="90"/>
      <c r="AX193" s="90"/>
      <c r="AY193" s="90"/>
      <c r="AZ193" s="90"/>
      <c r="BA193" s="90"/>
      <c r="BB193" s="90"/>
      <c r="BC193" s="90">
        <v>1</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6" t="s">
        <v>281</v>
      </c>
      <c r="B194" s="66" t="s">
        <v>302</v>
      </c>
      <c r="C194" s="67" t="s">
        <v>2108</v>
      </c>
      <c r="D194" s="68">
        <v>1</v>
      </c>
      <c r="E194" s="69" t="s">
        <v>132</v>
      </c>
      <c r="F194" s="70">
        <v>32</v>
      </c>
      <c r="G194" s="67" t="s">
        <v>51</v>
      </c>
      <c r="H194" s="71"/>
      <c r="I194" s="72"/>
      <c r="J194" s="72"/>
      <c r="K194" s="35" t="s">
        <v>65</v>
      </c>
      <c r="L194" s="79">
        <v>194</v>
      </c>
      <c r="M194" s="79"/>
      <c r="N194" s="74"/>
      <c r="O194" s="90" t="s">
        <v>306</v>
      </c>
      <c r="P194" s="93">
        <v>44483.50271990741</v>
      </c>
      <c r="Q194" s="90" t="s">
        <v>310</v>
      </c>
      <c r="R194" s="96" t="str">
        <f>HYPERLINK("https://talouskurssi.fi/")</f>
        <v>https://talouskurssi.fi/</v>
      </c>
      <c r="S194" s="90" t="s">
        <v>334</v>
      </c>
      <c r="T194" s="99" t="s">
        <v>338</v>
      </c>
      <c r="U194" s="96" t="str">
        <f>HYPERLINK("https://pbs.twimg.com/ext_tw_video_thumb/1448527896562348036/pu/img/0PqSbNMaXHvzKHCc.jpg")</f>
        <v>https://pbs.twimg.com/ext_tw_video_thumb/1448527896562348036/pu/img/0PqSbNMaXHvzKHCc.jpg</v>
      </c>
      <c r="V194" s="96" t="str">
        <f>HYPERLINK("https://pbs.twimg.com/ext_tw_video_thumb/1448527896562348036/pu/img/0PqSbNMaXHvzKHCc.jpg")</f>
        <v>https://pbs.twimg.com/ext_tw_video_thumb/1448527896562348036/pu/img/0PqSbNMaXHvzKHCc.jpg</v>
      </c>
      <c r="W194" s="93">
        <v>44483.50271990741</v>
      </c>
      <c r="X194" s="102">
        <v>44483</v>
      </c>
      <c r="Y194" s="99" t="s">
        <v>404</v>
      </c>
      <c r="Z194" s="96" t="str">
        <f>HYPERLINK("https://twitter.com/joonastuhkuri/status/1448620583810478080")</f>
        <v>https://twitter.com/joonastuhkuri/status/1448620583810478080</v>
      </c>
      <c r="AA194" s="90"/>
      <c r="AB194" s="90"/>
      <c r="AC194" s="99" t="s">
        <v>498</v>
      </c>
      <c r="AD194" s="90"/>
      <c r="AE194" s="90" t="b">
        <v>0</v>
      </c>
      <c r="AF194" s="90">
        <v>0</v>
      </c>
      <c r="AG194" s="99" t="s">
        <v>535</v>
      </c>
      <c r="AH194" s="90" t="b">
        <v>0</v>
      </c>
      <c r="AI194" s="90" t="s">
        <v>537</v>
      </c>
      <c r="AJ194" s="90"/>
      <c r="AK194" s="99" t="s">
        <v>535</v>
      </c>
      <c r="AL194" s="90" t="b">
        <v>0</v>
      </c>
      <c r="AM194" s="90">
        <v>52</v>
      </c>
      <c r="AN194" s="99" t="s">
        <v>526</v>
      </c>
      <c r="AO194" s="99" t="s">
        <v>543</v>
      </c>
      <c r="AP194" s="90" t="b">
        <v>0</v>
      </c>
      <c r="AQ194" s="99" t="s">
        <v>526</v>
      </c>
      <c r="AR194" s="90" t="s">
        <v>187</v>
      </c>
      <c r="AS194" s="90">
        <v>0</v>
      </c>
      <c r="AT194" s="90">
        <v>0</v>
      </c>
      <c r="AU194" s="90"/>
      <c r="AV194" s="90"/>
      <c r="AW194" s="90"/>
      <c r="AX194" s="90"/>
      <c r="AY194" s="90"/>
      <c r="AZ194" s="90"/>
      <c r="BA194" s="90"/>
      <c r="BB194" s="90"/>
      <c r="BC194" s="90">
        <v>1</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6" t="s">
        <v>281</v>
      </c>
      <c r="B195" s="66" t="s">
        <v>293</v>
      </c>
      <c r="C195" s="67" t="s">
        <v>2108</v>
      </c>
      <c r="D195" s="68">
        <v>1</v>
      </c>
      <c r="E195" s="69" t="s">
        <v>132</v>
      </c>
      <c r="F195" s="70">
        <v>32</v>
      </c>
      <c r="G195" s="67" t="s">
        <v>51</v>
      </c>
      <c r="H195" s="71"/>
      <c r="I195" s="72"/>
      <c r="J195" s="72"/>
      <c r="K195" s="35" t="s">
        <v>65</v>
      </c>
      <c r="L195" s="79">
        <v>195</v>
      </c>
      <c r="M195" s="79"/>
      <c r="N195" s="74"/>
      <c r="O195" s="90" t="s">
        <v>305</v>
      </c>
      <c r="P195" s="93">
        <v>44483.50271990741</v>
      </c>
      <c r="Q195" s="90" t="s">
        <v>310</v>
      </c>
      <c r="R195" s="96" t="str">
        <f>HYPERLINK("https://talouskurssi.fi/")</f>
        <v>https://talouskurssi.fi/</v>
      </c>
      <c r="S195" s="90" t="s">
        <v>334</v>
      </c>
      <c r="T195" s="99" t="s">
        <v>338</v>
      </c>
      <c r="U195" s="96" t="str">
        <f>HYPERLINK("https://pbs.twimg.com/ext_tw_video_thumb/1448527896562348036/pu/img/0PqSbNMaXHvzKHCc.jpg")</f>
        <v>https://pbs.twimg.com/ext_tw_video_thumb/1448527896562348036/pu/img/0PqSbNMaXHvzKHCc.jpg</v>
      </c>
      <c r="V195" s="96" t="str">
        <f>HYPERLINK("https://pbs.twimg.com/ext_tw_video_thumb/1448527896562348036/pu/img/0PqSbNMaXHvzKHCc.jpg")</f>
        <v>https://pbs.twimg.com/ext_tw_video_thumb/1448527896562348036/pu/img/0PqSbNMaXHvzKHCc.jpg</v>
      </c>
      <c r="W195" s="93">
        <v>44483.50271990741</v>
      </c>
      <c r="X195" s="102">
        <v>44483</v>
      </c>
      <c r="Y195" s="99" t="s">
        <v>404</v>
      </c>
      <c r="Z195" s="96" t="str">
        <f>HYPERLINK("https://twitter.com/joonastuhkuri/status/1448620583810478080")</f>
        <v>https://twitter.com/joonastuhkuri/status/1448620583810478080</v>
      </c>
      <c r="AA195" s="90"/>
      <c r="AB195" s="90"/>
      <c r="AC195" s="99" t="s">
        <v>498</v>
      </c>
      <c r="AD195" s="90"/>
      <c r="AE195" s="90" t="b">
        <v>0</v>
      </c>
      <c r="AF195" s="90">
        <v>0</v>
      </c>
      <c r="AG195" s="99" t="s">
        <v>535</v>
      </c>
      <c r="AH195" s="90" t="b">
        <v>0</v>
      </c>
      <c r="AI195" s="90" t="s">
        <v>537</v>
      </c>
      <c r="AJ195" s="90"/>
      <c r="AK195" s="99" t="s">
        <v>535</v>
      </c>
      <c r="AL195" s="90" t="b">
        <v>0</v>
      </c>
      <c r="AM195" s="90">
        <v>52</v>
      </c>
      <c r="AN195" s="99" t="s">
        <v>526</v>
      </c>
      <c r="AO195" s="99" t="s">
        <v>543</v>
      </c>
      <c r="AP195" s="90" t="b">
        <v>0</v>
      </c>
      <c r="AQ195" s="99" t="s">
        <v>526</v>
      </c>
      <c r="AR195" s="90" t="s">
        <v>187</v>
      </c>
      <c r="AS195" s="90">
        <v>0</v>
      </c>
      <c r="AT195" s="90">
        <v>0</v>
      </c>
      <c r="AU195" s="90"/>
      <c r="AV195" s="90"/>
      <c r="AW195" s="90"/>
      <c r="AX195" s="90"/>
      <c r="AY195" s="90"/>
      <c r="AZ195" s="90"/>
      <c r="BA195" s="90"/>
      <c r="BB195" s="90"/>
      <c r="BC195" s="90">
        <v>1</v>
      </c>
      <c r="BD195" s="89" t="str">
        <f>REPLACE(INDEX(GroupVertices[Group],MATCH(Edges[[#This Row],[Vertex 1]],GroupVertices[Vertex],0)),1,1,"")</f>
        <v>1</v>
      </c>
      <c r="BE195" s="89" t="str">
        <f>REPLACE(INDEX(GroupVertices[Group],MATCH(Edges[[#This Row],[Vertex 2]],GroupVertices[Vertex],0)),1,1,"")</f>
        <v>3</v>
      </c>
      <c r="BF195" s="49">
        <v>0</v>
      </c>
      <c r="BG195" s="50">
        <v>0</v>
      </c>
      <c r="BH195" s="49">
        <v>0</v>
      </c>
      <c r="BI195" s="50">
        <v>0</v>
      </c>
      <c r="BJ195" s="49">
        <v>0</v>
      </c>
      <c r="BK195" s="50">
        <v>0</v>
      </c>
      <c r="BL195" s="49">
        <v>28</v>
      </c>
      <c r="BM195" s="50">
        <v>100</v>
      </c>
      <c r="BN195" s="49">
        <v>28</v>
      </c>
    </row>
    <row r="196" spans="1:66" ht="15">
      <c r="A196" s="66" t="s">
        <v>2125</v>
      </c>
      <c r="B196" s="66" t="s">
        <v>2125</v>
      </c>
      <c r="C196" s="67" t="s">
        <v>2108</v>
      </c>
      <c r="D196" s="68">
        <v>1</v>
      </c>
      <c r="E196" s="69" t="s">
        <v>132</v>
      </c>
      <c r="F196" s="70">
        <v>32</v>
      </c>
      <c r="G196" s="67" t="s">
        <v>51</v>
      </c>
      <c r="H196" s="71"/>
      <c r="I196" s="72"/>
      <c r="J196" s="72"/>
      <c r="K196" s="35" t="s">
        <v>65</v>
      </c>
      <c r="L196" s="79">
        <v>196</v>
      </c>
      <c r="M196" s="79"/>
      <c r="N196" s="74"/>
      <c r="O196" s="90" t="s">
        <v>187</v>
      </c>
      <c r="P196" s="93">
        <v>44483.44631944445</v>
      </c>
      <c r="Q196" s="90" t="s">
        <v>2145</v>
      </c>
      <c r="R196" s="96" t="str">
        <f>HYPERLINK("https://www.op.fi/op-ryhma/vastuullisuus/vastuullisuus/taloustaidot/talouskurssi")</f>
        <v>https://www.op.fi/op-ryhma/vastuullisuus/vastuullisuus/taloustaidot/talouskurssi</v>
      </c>
      <c r="S196" s="90" t="s">
        <v>2153</v>
      </c>
      <c r="T196" s="90"/>
      <c r="U196" s="90"/>
      <c r="V196" s="96" t="str">
        <f>HYPERLINK("https://pbs.twimg.com/profile_images/1417208819122425859/JsavfP7r_normal.jpg")</f>
        <v>https://pbs.twimg.com/profile_images/1417208819122425859/JsavfP7r_normal.jpg</v>
      </c>
      <c r="W196" s="93">
        <v>44483.44631944445</v>
      </c>
      <c r="X196" s="102">
        <v>44483</v>
      </c>
      <c r="Y196" s="99" t="s">
        <v>2167</v>
      </c>
      <c r="Z196" s="96" t="str">
        <f>HYPERLINK("https://twitter.com/troutamaa/status/1448600142685290504")</f>
        <v>https://twitter.com/troutamaa/status/1448600142685290504</v>
      </c>
      <c r="AA196" s="90"/>
      <c r="AB196" s="90"/>
      <c r="AC196" s="99" t="s">
        <v>2213</v>
      </c>
      <c r="AD196" s="90"/>
      <c r="AE196" s="90" t="b">
        <v>0</v>
      </c>
      <c r="AF196" s="90">
        <v>8</v>
      </c>
      <c r="AG196" s="99" t="s">
        <v>535</v>
      </c>
      <c r="AH196" s="90" t="b">
        <v>0</v>
      </c>
      <c r="AI196" s="90" t="s">
        <v>537</v>
      </c>
      <c r="AJ196" s="90"/>
      <c r="AK196" s="99" t="s">
        <v>535</v>
      </c>
      <c r="AL196" s="90" t="b">
        <v>0</v>
      </c>
      <c r="AM196" s="90">
        <v>1</v>
      </c>
      <c r="AN196" s="99" t="s">
        <v>535</v>
      </c>
      <c r="AO196" s="99" t="s">
        <v>543</v>
      </c>
      <c r="AP196" s="90" t="b">
        <v>0</v>
      </c>
      <c r="AQ196" s="99" t="s">
        <v>2213</v>
      </c>
      <c r="AR196" s="90" t="s">
        <v>187</v>
      </c>
      <c r="AS196" s="90">
        <v>0</v>
      </c>
      <c r="AT196" s="90">
        <v>0</v>
      </c>
      <c r="AU196" s="90" t="s">
        <v>2248</v>
      </c>
      <c r="AV196" s="90" t="s">
        <v>807</v>
      </c>
      <c r="AW196" s="90" t="s">
        <v>2249</v>
      </c>
      <c r="AX196" s="90" t="s">
        <v>2250</v>
      </c>
      <c r="AY196" s="90" t="s">
        <v>2251</v>
      </c>
      <c r="AZ196" s="90" t="s">
        <v>2252</v>
      </c>
      <c r="BA196" s="90" t="s">
        <v>2253</v>
      </c>
      <c r="BB196" s="96" t="str">
        <f>HYPERLINK("https://api.twitter.com/1.1/geo/id/e3ba9e096a0fc232.json")</f>
        <v>https://api.twitter.com/1.1/geo/id/e3ba9e096a0fc232.json</v>
      </c>
      <c r="BC196" s="90">
        <v>1</v>
      </c>
      <c r="BD196" s="89" t="str">
        <f>REPLACE(INDEX(GroupVertices[Group],MATCH(Edges[[#This Row],[Vertex 1]],GroupVertices[Vertex],0)),1,1,"")</f>
        <v>6</v>
      </c>
      <c r="BE196" s="89" t="str">
        <f>REPLACE(INDEX(GroupVertices[Group],MATCH(Edges[[#This Row],[Vertex 2]],GroupVertices[Vertex],0)),1,1,"")</f>
        <v>6</v>
      </c>
      <c r="BF196" s="49">
        <v>0</v>
      </c>
      <c r="BG196" s="50">
        <v>0</v>
      </c>
      <c r="BH196" s="49">
        <v>0</v>
      </c>
      <c r="BI196" s="50">
        <v>0</v>
      </c>
      <c r="BJ196" s="49">
        <v>0</v>
      </c>
      <c r="BK196" s="50">
        <v>0</v>
      </c>
      <c r="BL196" s="49">
        <v>22</v>
      </c>
      <c r="BM196" s="50">
        <v>100</v>
      </c>
      <c r="BN196" s="49">
        <v>22</v>
      </c>
    </row>
    <row r="197" spans="1:66" ht="15">
      <c r="A197" s="66" t="s">
        <v>2126</v>
      </c>
      <c r="B197" s="66" t="s">
        <v>2125</v>
      </c>
      <c r="C197" s="67" t="s">
        <v>2108</v>
      </c>
      <c r="D197" s="68">
        <v>1</v>
      </c>
      <c r="E197" s="69" t="s">
        <v>132</v>
      </c>
      <c r="F197" s="70">
        <v>32</v>
      </c>
      <c r="G197" s="67" t="s">
        <v>51</v>
      </c>
      <c r="H197" s="71"/>
      <c r="I197" s="72"/>
      <c r="J197" s="72"/>
      <c r="K197" s="35" t="s">
        <v>65</v>
      </c>
      <c r="L197" s="79">
        <v>197</v>
      </c>
      <c r="M197" s="79"/>
      <c r="N197" s="74"/>
      <c r="O197" s="90" t="s">
        <v>305</v>
      </c>
      <c r="P197" s="93">
        <v>44483.51052083333</v>
      </c>
      <c r="Q197" s="90" t="s">
        <v>2145</v>
      </c>
      <c r="R197" s="96" t="str">
        <f>HYPERLINK("https://www.op.fi/op-ryhma/vastuullisuus/vastuullisuus/taloustaidot/talouskurssi")</f>
        <v>https://www.op.fi/op-ryhma/vastuullisuus/vastuullisuus/taloustaidot/talouskurssi</v>
      </c>
      <c r="S197" s="90" t="s">
        <v>2153</v>
      </c>
      <c r="T197" s="90"/>
      <c r="U197" s="90"/>
      <c r="V197" s="96" t="str">
        <f>HYPERLINK("https://pbs.twimg.com/profile_images/1015883710326034432/oCh8mkqM_normal.jpg")</f>
        <v>https://pbs.twimg.com/profile_images/1015883710326034432/oCh8mkqM_normal.jpg</v>
      </c>
      <c r="W197" s="93">
        <v>44483.51052083333</v>
      </c>
      <c r="X197" s="102">
        <v>44483</v>
      </c>
      <c r="Y197" s="99" t="s">
        <v>2168</v>
      </c>
      <c r="Z197" s="96" t="str">
        <f>HYPERLINK("https://twitter.com/hirppis/status/1448623410687397889")</f>
        <v>https://twitter.com/hirppis/status/1448623410687397889</v>
      </c>
      <c r="AA197" s="90"/>
      <c r="AB197" s="90"/>
      <c r="AC197" s="99" t="s">
        <v>2214</v>
      </c>
      <c r="AD197" s="90"/>
      <c r="AE197" s="90" t="b">
        <v>0</v>
      </c>
      <c r="AF197" s="90">
        <v>0</v>
      </c>
      <c r="AG197" s="99" t="s">
        <v>535</v>
      </c>
      <c r="AH197" s="90" t="b">
        <v>0</v>
      </c>
      <c r="AI197" s="90" t="s">
        <v>537</v>
      </c>
      <c r="AJ197" s="90"/>
      <c r="AK197" s="99" t="s">
        <v>535</v>
      </c>
      <c r="AL197" s="90" t="b">
        <v>0</v>
      </c>
      <c r="AM197" s="90">
        <v>1</v>
      </c>
      <c r="AN197" s="99" t="s">
        <v>2213</v>
      </c>
      <c r="AO197" s="99" t="s">
        <v>545</v>
      </c>
      <c r="AP197" s="90" t="b">
        <v>0</v>
      </c>
      <c r="AQ197" s="99" t="s">
        <v>2213</v>
      </c>
      <c r="AR197" s="90" t="s">
        <v>187</v>
      </c>
      <c r="AS197" s="90">
        <v>0</v>
      </c>
      <c r="AT197" s="90">
        <v>0</v>
      </c>
      <c r="AU197" s="90"/>
      <c r="AV197" s="90"/>
      <c r="AW197" s="90"/>
      <c r="AX197" s="90"/>
      <c r="AY197" s="90"/>
      <c r="AZ197" s="90"/>
      <c r="BA197" s="90"/>
      <c r="BB197" s="90"/>
      <c r="BC197" s="90">
        <v>1</v>
      </c>
      <c r="BD197" s="89" t="str">
        <f>REPLACE(INDEX(GroupVertices[Group],MATCH(Edges[[#This Row],[Vertex 1]],GroupVertices[Vertex],0)),1,1,"")</f>
        <v>6</v>
      </c>
      <c r="BE197" s="89" t="str">
        <f>REPLACE(INDEX(GroupVertices[Group],MATCH(Edges[[#This Row],[Vertex 2]],GroupVertices[Vertex],0)),1,1,"")</f>
        <v>6</v>
      </c>
      <c r="BF197" s="49">
        <v>0</v>
      </c>
      <c r="BG197" s="50">
        <v>0</v>
      </c>
      <c r="BH197" s="49">
        <v>0</v>
      </c>
      <c r="BI197" s="50">
        <v>0</v>
      </c>
      <c r="BJ197" s="49">
        <v>0</v>
      </c>
      <c r="BK197" s="50">
        <v>0</v>
      </c>
      <c r="BL197" s="49">
        <v>22</v>
      </c>
      <c r="BM197" s="50">
        <v>100</v>
      </c>
      <c r="BN197" s="49">
        <v>22</v>
      </c>
    </row>
    <row r="198" spans="1:66" ht="15">
      <c r="A198" s="66" t="s">
        <v>282</v>
      </c>
      <c r="B198" s="66" t="s">
        <v>293</v>
      </c>
      <c r="C198" s="67" t="s">
        <v>2108</v>
      </c>
      <c r="D198" s="68">
        <v>1</v>
      </c>
      <c r="E198" s="69" t="s">
        <v>132</v>
      </c>
      <c r="F198" s="70">
        <v>32</v>
      </c>
      <c r="G198" s="67" t="s">
        <v>51</v>
      </c>
      <c r="H198" s="71"/>
      <c r="I198" s="72"/>
      <c r="J198" s="72"/>
      <c r="K198" s="35" t="s">
        <v>65</v>
      </c>
      <c r="L198" s="79">
        <v>198</v>
      </c>
      <c r="M198" s="79"/>
      <c r="N198" s="74"/>
      <c r="O198" s="90" t="s">
        <v>305</v>
      </c>
      <c r="P198" s="93">
        <v>44483.521898148145</v>
      </c>
      <c r="Q198" s="90" t="s">
        <v>321</v>
      </c>
      <c r="R198" s="96" t="str">
        <f>HYPERLINK("https://talouskurssi.fi/")</f>
        <v>https://talouskurssi.fi/</v>
      </c>
      <c r="S198" s="90" t="s">
        <v>334</v>
      </c>
      <c r="T198" s="99" t="s">
        <v>338</v>
      </c>
      <c r="U198" s="96" t="str">
        <f>HYPERLINK("https://pbs.twimg.com/media/FBqLWBNXoAEkKJ2.jpg")</f>
        <v>https://pbs.twimg.com/media/FBqLWBNXoAEkKJ2.jpg</v>
      </c>
      <c r="V198" s="96" t="str">
        <f>HYPERLINK("https://pbs.twimg.com/media/FBqLWBNXoAEkKJ2.jpg")</f>
        <v>https://pbs.twimg.com/media/FBqLWBNXoAEkKJ2.jpg</v>
      </c>
      <c r="W198" s="93">
        <v>44483.521898148145</v>
      </c>
      <c r="X198" s="102">
        <v>44483</v>
      </c>
      <c r="Y198" s="99" t="s">
        <v>405</v>
      </c>
      <c r="Z198" s="96" t="str">
        <f>HYPERLINK("https://twitter.com/tomassjoblom/status/1448627531955982345")</f>
        <v>https://twitter.com/tomassjoblom/status/1448627531955982345</v>
      </c>
      <c r="AA198" s="90"/>
      <c r="AB198" s="90"/>
      <c r="AC198" s="99" t="s">
        <v>499</v>
      </c>
      <c r="AD198" s="90"/>
      <c r="AE198" s="90" t="b">
        <v>0</v>
      </c>
      <c r="AF198" s="90">
        <v>0</v>
      </c>
      <c r="AG198" s="99" t="s">
        <v>535</v>
      </c>
      <c r="AH198" s="90" t="b">
        <v>0</v>
      </c>
      <c r="AI198" s="90" t="s">
        <v>537</v>
      </c>
      <c r="AJ198" s="90"/>
      <c r="AK198" s="99" t="s">
        <v>535</v>
      </c>
      <c r="AL198" s="90" t="b">
        <v>0</v>
      </c>
      <c r="AM198" s="90">
        <v>2</v>
      </c>
      <c r="AN198" s="99" t="s">
        <v>528</v>
      </c>
      <c r="AO198" s="99" t="s">
        <v>542</v>
      </c>
      <c r="AP198" s="90" t="b">
        <v>0</v>
      </c>
      <c r="AQ198" s="99" t="s">
        <v>528</v>
      </c>
      <c r="AR198" s="90" t="s">
        <v>187</v>
      </c>
      <c r="AS198" s="90">
        <v>0</v>
      </c>
      <c r="AT198" s="90">
        <v>0</v>
      </c>
      <c r="AU198" s="90"/>
      <c r="AV198" s="90"/>
      <c r="AW198" s="90"/>
      <c r="AX198" s="90"/>
      <c r="AY198" s="90"/>
      <c r="AZ198" s="90"/>
      <c r="BA198" s="90"/>
      <c r="BB198" s="90"/>
      <c r="BC198" s="90">
        <v>1</v>
      </c>
      <c r="BD198" s="89" t="str">
        <f>REPLACE(INDEX(GroupVertices[Group],MATCH(Edges[[#This Row],[Vertex 1]],GroupVertices[Vertex],0)),1,1,"")</f>
        <v>3</v>
      </c>
      <c r="BE198" s="89" t="str">
        <f>REPLACE(INDEX(GroupVertices[Group],MATCH(Edges[[#This Row],[Vertex 2]],GroupVertices[Vertex],0)),1,1,"")</f>
        <v>3</v>
      </c>
      <c r="BF198" s="49">
        <v>0</v>
      </c>
      <c r="BG198" s="50">
        <v>0</v>
      </c>
      <c r="BH198" s="49">
        <v>0</v>
      </c>
      <c r="BI198" s="50">
        <v>0</v>
      </c>
      <c r="BJ198" s="49">
        <v>0</v>
      </c>
      <c r="BK198" s="50">
        <v>0</v>
      </c>
      <c r="BL198" s="49">
        <v>22</v>
      </c>
      <c r="BM198" s="50">
        <v>100</v>
      </c>
      <c r="BN198" s="49">
        <v>22</v>
      </c>
    </row>
    <row r="199" spans="1:66" ht="15">
      <c r="A199" s="66" t="s">
        <v>283</v>
      </c>
      <c r="B199" s="66" t="s">
        <v>299</v>
      </c>
      <c r="C199" s="67" t="s">
        <v>2108</v>
      </c>
      <c r="D199" s="68">
        <v>1</v>
      </c>
      <c r="E199" s="69" t="s">
        <v>132</v>
      </c>
      <c r="F199" s="70">
        <v>32</v>
      </c>
      <c r="G199" s="67" t="s">
        <v>51</v>
      </c>
      <c r="H199" s="71"/>
      <c r="I199" s="72"/>
      <c r="J199" s="72"/>
      <c r="K199" s="35" t="s">
        <v>65</v>
      </c>
      <c r="L199" s="79">
        <v>199</v>
      </c>
      <c r="M199" s="79"/>
      <c r="N199" s="74"/>
      <c r="O199" s="90" t="s">
        <v>306</v>
      </c>
      <c r="P199" s="93">
        <v>44483.52462962963</v>
      </c>
      <c r="Q199" s="90" t="s">
        <v>310</v>
      </c>
      <c r="R199" s="96" t="str">
        <f>HYPERLINK("https://talouskurssi.fi/")</f>
        <v>https://talouskurssi.fi/</v>
      </c>
      <c r="S199" s="90" t="s">
        <v>334</v>
      </c>
      <c r="T199" s="99" t="s">
        <v>338</v>
      </c>
      <c r="U199" s="96" t="str">
        <f>HYPERLINK("https://pbs.twimg.com/ext_tw_video_thumb/1448527896562348036/pu/img/0PqSbNMaXHvzKHCc.jpg")</f>
        <v>https://pbs.twimg.com/ext_tw_video_thumb/1448527896562348036/pu/img/0PqSbNMaXHvzKHCc.jpg</v>
      </c>
      <c r="V199" s="96" t="str">
        <f>HYPERLINK("https://pbs.twimg.com/ext_tw_video_thumb/1448527896562348036/pu/img/0PqSbNMaXHvzKHCc.jpg")</f>
        <v>https://pbs.twimg.com/ext_tw_video_thumb/1448527896562348036/pu/img/0PqSbNMaXHvzKHCc.jpg</v>
      </c>
      <c r="W199" s="93">
        <v>44483.52462962963</v>
      </c>
      <c r="X199" s="102">
        <v>44483</v>
      </c>
      <c r="Y199" s="99" t="s">
        <v>406</v>
      </c>
      <c r="Z199" s="96" t="str">
        <f>HYPERLINK("https://twitter.com/atromakila/status/1448628520289247234")</f>
        <v>https://twitter.com/atromakila/status/1448628520289247234</v>
      </c>
      <c r="AA199" s="90"/>
      <c r="AB199" s="90"/>
      <c r="AC199" s="99" t="s">
        <v>500</v>
      </c>
      <c r="AD199" s="90"/>
      <c r="AE199" s="90" t="b">
        <v>0</v>
      </c>
      <c r="AF199" s="90">
        <v>0</v>
      </c>
      <c r="AG199" s="99" t="s">
        <v>535</v>
      </c>
      <c r="AH199" s="90" t="b">
        <v>0</v>
      </c>
      <c r="AI199" s="90" t="s">
        <v>537</v>
      </c>
      <c r="AJ199" s="90"/>
      <c r="AK199" s="99" t="s">
        <v>535</v>
      </c>
      <c r="AL199" s="90" t="b">
        <v>0</v>
      </c>
      <c r="AM199" s="90">
        <v>52</v>
      </c>
      <c r="AN199" s="99" t="s">
        <v>526</v>
      </c>
      <c r="AO199" s="99" t="s">
        <v>544</v>
      </c>
      <c r="AP199" s="90" t="b">
        <v>0</v>
      </c>
      <c r="AQ199" s="99" t="s">
        <v>526</v>
      </c>
      <c r="AR199" s="90" t="s">
        <v>187</v>
      </c>
      <c r="AS199" s="90">
        <v>0</v>
      </c>
      <c r="AT199" s="90">
        <v>0</v>
      </c>
      <c r="AU199" s="90"/>
      <c r="AV199" s="90"/>
      <c r="AW199" s="90"/>
      <c r="AX199" s="90"/>
      <c r="AY199" s="90"/>
      <c r="AZ199" s="90"/>
      <c r="BA199" s="90"/>
      <c r="BB199" s="90"/>
      <c r="BC199" s="90">
        <v>1</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6" t="s">
        <v>283</v>
      </c>
      <c r="B200" s="66" t="s">
        <v>302</v>
      </c>
      <c r="C200" s="67" t="s">
        <v>2108</v>
      </c>
      <c r="D200" s="68">
        <v>1</v>
      </c>
      <c r="E200" s="69" t="s">
        <v>132</v>
      </c>
      <c r="F200" s="70">
        <v>32</v>
      </c>
      <c r="G200" s="67" t="s">
        <v>51</v>
      </c>
      <c r="H200" s="71"/>
      <c r="I200" s="72"/>
      <c r="J200" s="72"/>
      <c r="K200" s="35" t="s">
        <v>65</v>
      </c>
      <c r="L200" s="79">
        <v>200</v>
      </c>
      <c r="M200" s="79"/>
      <c r="N200" s="74"/>
      <c r="O200" s="90" t="s">
        <v>306</v>
      </c>
      <c r="P200" s="93">
        <v>44483.52462962963</v>
      </c>
      <c r="Q200" s="90" t="s">
        <v>310</v>
      </c>
      <c r="R200" s="96" t="str">
        <f>HYPERLINK("https://talouskurssi.fi/")</f>
        <v>https://talouskurssi.fi/</v>
      </c>
      <c r="S200" s="90" t="s">
        <v>334</v>
      </c>
      <c r="T200" s="99" t="s">
        <v>338</v>
      </c>
      <c r="U200" s="96" t="str">
        <f>HYPERLINK("https://pbs.twimg.com/ext_tw_video_thumb/1448527896562348036/pu/img/0PqSbNMaXHvzKHCc.jpg")</f>
        <v>https://pbs.twimg.com/ext_tw_video_thumb/1448527896562348036/pu/img/0PqSbNMaXHvzKHCc.jpg</v>
      </c>
      <c r="V200" s="96" t="str">
        <f>HYPERLINK("https://pbs.twimg.com/ext_tw_video_thumb/1448527896562348036/pu/img/0PqSbNMaXHvzKHCc.jpg")</f>
        <v>https://pbs.twimg.com/ext_tw_video_thumb/1448527896562348036/pu/img/0PqSbNMaXHvzKHCc.jpg</v>
      </c>
      <c r="W200" s="93">
        <v>44483.52462962963</v>
      </c>
      <c r="X200" s="102">
        <v>44483</v>
      </c>
      <c r="Y200" s="99" t="s">
        <v>406</v>
      </c>
      <c r="Z200" s="96" t="str">
        <f>HYPERLINK("https://twitter.com/atromakila/status/1448628520289247234")</f>
        <v>https://twitter.com/atromakila/status/1448628520289247234</v>
      </c>
      <c r="AA200" s="90"/>
      <c r="AB200" s="90"/>
      <c r="AC200" s="99" t="s">
        <v>500</v>
      </c>
      <c r="AD200" s="90"/>
      <c r="AE200" s="90" t="b">
        <v>0</v>
      </c>
      <c r="AF200" s="90">
        <v>0</v>
      </c>
      <c r="AG200" s="99" t="s">
        <v>535</v>
      </c>
      <c r="AH200" s="90" t="b">
        <v>0</v>
      </c>
      <c r="AI200" s="90" t="s">
        <v>537</v>
      </c>
      <c r="AJ200" s="90"/>
      <c r="AK200" s="99" t="s">
        <v>535</v>
      </c>
      <c r="AL200" s="90" t="b">
        <v>0</v>
      </c>
      <c r="AM200" s="90">
        <v>52</v>
      </c>
      <c r="AN200" s="99" t="s">
        <v>526</v>
      </c>
      <c r="AO200" s="99" t="s">
        <v>544</v>
      </c>
      <c r="AP200" s="90" t="b">
        <v>0</v>
      </c>
      <c r="AQ200" s="99" t="s">
        <v>526</v>
      </c>
      <c r="AR200" s="90" t="s">
        <v>187</v>
      </c>
      <c r="AS200" s="90">
        <v>0</v>
      </c>
      <c r="AT200" s="90">
        <v>0</v>
      </c>
      <c r="AU200" s="90"/>
      <c r="AV200" s="90"/>
      <c r="AW200" s="90"/>
      <c r="AX200" s="90"/>
      <c r="AY200" s="90"/>
      <c r="AZ200" s="90"/>
      <c r="BA200" s="90"/>
      <c r="BB200" s="90"/>
      <c r="BC200" s="90">
        <v>1</v>
      </c>
      <c r="BD200" s="89" t="str">
        <f>REPLACE(INDEX(GroupVertices[Group],MATCH(Edges[[#This Row],[Vertex 1]],GroupVertices[Vertex],0)),1,1,"")</f>
        <v>1</v>
      </c>
      <c r="BE200" s="89" t="str">
        <f>REPLACE(INDEX(GroupVertices[Group],MATCH(Edges[[#This Row],[Vertex 2]],GroupVertices[Vertex],0)),1,1,"")</f>
        <v>1</v>
      </c>
      <c r="BF200" s="49"/>
      <c r="BG200" s="50"/>
      <c r="BH200" s="49"/>
      <c r="BI200" s="50"/>
      <c r="BJ200" s="49"/>
      <c r="BK200" s="50"/>
      <c r="BL200" s="49"/>
      <c r="BM200" s="50"/>
      <c r="BN200" s="49"/>
    </row>
    <row r="201" spans="1:66" ht="15">
      <c r="A201" s="66" t="s">
        <v>283</v>
      </c>
      <c r="B201" s="66" t="s">
        <v>293</v>
      </c>
      <c r="C201" s="67" t="s">
        <v>2108</v>
      </c>
      <c r="D201" s="68">
        <v>1</v>
      </c>
      <c r="E201" s="69" t="s">
        <v>132</v>
      </c>
      <c r="F201" s="70">
        <v>32</v>
      </c>
      <c r="G201" s="67" t="s">
        <v>51</v>
      </c>
      <c r="H201" s="71"/>
      <c r="I201" s="72"/>
      <c r="J201" s="72"/>
      <c r="K201" s="35" t="s">
        <v>65</v>
      </c>
      <c r="L201" s="79">
        <v>201</v>
      </c>
      <c r="M201" s="79"/>
      <c r="N201" s="74"/>
      <c r="O201" s="90" t="s">
        <v>305</v>
      </c>
      <c r="P201" s="93">
        <v>44483.52462962963</v>
      </c>
      <c r="Q201" s="90" t="s">
        <v>310</v>
      </c>
      <c r="R201" s="96" t="str">
        <f>HYPERLINK("https://talouskurssi.fi/")</f>
        <v>https://talouskurssi.fi/</v>
      </c>
      <c r="S201" s="90" t="s">
        <v>334</v>
      </c>
      <c r="T201" s="99" t="s">
        <v>338</v>
      </c>
      <c r="U201" s="96" t="str">
        <f>HYPERLINK("https://pbs.twimg.com/ext_tw_video_thumb/1448527896562348036/pu/img/0PqSbNMaXHvzKHCc.jpg")</f>
        <v>https://pbs.twimg.com/ext_tw_video_thumb/1448527896562348036/pu/img/0PqSbNMaXHvzKHCc.jpg</v>
      </c>
      <c r="V201" s="96" t="str">
        <f>HYPERLINK("https://pbs.twimg.com/ext_tw_video_thumb/1448527896562348036/pu/img/0PqSbNMaXHvzKHCc.jpg")</f>
        <v>https://pbs.twimg.com/ext_tw_video_thumb/1448527896562348036/pu/img/0PqSbNMaXHvzKHCc.jpg</v>
      </c>
      <c r="W201" s="93">
        <v>44483.52462962963</v>
      </c>
      <c r="X201" s="102">
        <v>44483</v>
      </c>
      <c r="Y201" s="99" t="s">
        <v>406</v>
      </c>
      <c r="Z201" s="96" t="str">
        <f>HYPERLINK("https://twitter.com/atromakila/status/1448628520289247234")</f>
        <v>https://twitter.com/atromakila/status/1448628520289247234</v>
      </c>
      <c r="AA201" s="90"/>
      <c r="AB201" s="90"/>
      <c r="AC201" s="99" t="s">
        <v>500</v>
      </c>
      <c r="AD201" s="90"/>
      <c r="AE201" s="90" t="b">
        <v>0</v>
      </c>
      <c r="AF201" s="90">
        <v>0</v>
      </c>
      <c r="AG201" s="99" t="s">
        <v>535</v>
      </c>
      <c r="AH201" s="90" t="b">
        <v>0</v>
      </c>
      <c r="AI201" s="90" t="s">
        <v>537</v>
      </c>
      <c r="AJ201" s="90"/>
      <c r="AK201" s="99" t="s">
        <v>535</v>
      </c>
      <c r="AL201" s="90" t="b">
        <v>0</v>
      </c>
      <c r="AM201" s="90">
        <v>52</v>
      </c>
      <c r="AN201" s="99" t="s">
        <v>526</v>
      </c>
      <c r="AO201" s="99" t="s">
        <v>544</v>
      </c>
      <c r="AP201" s="90" t="b">
        <v>0</v>
      </c>
      <c r="AQ201" s="99" t="s">
        <v>526</v>
      </c>
      <c r="AR201" s="90" t="s">
        <v>187</v>
      </c>
      <c r="AS201" s="90">
        <v>0</v>
      </c>
      <c r="AT201" s="90">
        <v>0</v>
      </c>
      <c r="AU201" s="90"/>
      <c r="AV201" s="90"/>
      <c r="AW201" s="90"/>
      <c r="AX201" s="90"/>
      <c r="AY201" s="90"/>
      <c r="AZ201" s="90"/>
      <c r="BA201" s="90"/>
      <c r="BB201" s="90"/>
      <c r="BC201" s="90">
        <v>1</v>
      </c>
      <c r="BD201" s="89" t="str">
        <f>REPLACE(INDEX(GroupVertices[Group],MATCH(Edges[[#This Row],[Vertex 1]],GroupVertices[Vertex],0)),1,1,"")</f>
        <v>1</v>
      </c>
      <c r="BE201" s="89" t="str">
        <f>REPLACE(INDEX(GroupVertices[Group],MATCH(Edges[[#This Row],[Vertex 2]],GroupVertices[Vertex],0)),1,1,"")</f>
        <v>3</v>
      </c>
      <c r="BF201" s="49">
        <v>0</v>
      </c>
      <c r="BG201" s="50">
        <v>0</v>
      </c>
      <c r="BH201" s="49">
        <v>0</v>
      </c>
      <c r="BI201" s="50">
        <v>0</v>
      </c>
      <c r="BJ201" s="49">
        <v>0</v>
      </c>
      <c r="BK201" s="50">
        <v>0</v>
      </c>
      <c r="BL201" s="49">
        <v>28</v>
      </c>
      <c r="BM201" s="50">
        <v>100</v>
      </c>
      <c r="BN201" s="49">
        <v>28</v>
      </c>
    </row>
    <row r="202" spans="1:66" ht="15">
      <c r="A202" s="66" t="s">
        <v>284</v>
      </c>
      <c r="B202" s="66" t="s">
        <v>295</v>
      </c>
      <c r="C202" s="67" t="s">
        <v>2109</v>
      </c>
      <c r="D202" s="68">
        <v>10</v>
      </c>
      <c r="E202" s="69" t="s">
        <v>132</v>
      </c>
      <c r="F202" s="70">
        <v>10</v>
      </c>
      <c r="G202" s="67" t="s">
        <v>51</v>
      </c>
      <c r="H202" s="71"/>
      <c r="I202" s="72"/>
      <c r="J202" s="72"/>
      <c r="K202" s="35" t="s">
        <v>65</v>
      </c>
      <c r="L202" s="79">
        <v>202</v>
      </c>
      <c r="M202" s="79"/>
      <c r="N202" s="74"/>
      <c r="O202" s="90" t="s">
        <v>306</v>
      </c>
      <c r="P202" s="93">
        <v>44483.296423611115</v>
      </c>
      <c r="Q202" s="90" t="s">
        <v>2139</v>
      </c>
      <c r="R202" s="96" t="str">
        <f>HYPERLINK("https://talouskurssi.fi/?fbclid=IwAR3lQxACK6cI50BBFObd0zCsOMC4Cq1tFNNNCY5sktWLRNSCs13ALYuQ2cg")</f>
        <v>https://talouskurssi.fi/?fbclid=IwAR3lQxACK6cI50BBFObd0zCsOMC4Cq1tFNNNCY5sktWLRNSCs13ALYuQ2cg</v>
      </c>
      <c r="S202" s="90" t="s">
        <v>334</v>
      </c>
      <c r="T202" s="90"/>
      <c r="U202" s="90"/>
      <c r="V202" s="96" t="str">
        <f>HYPERLINK("https://pbs.twimg.com/profile_images/1164513934084399104/a04TakrA_normal.jpg")</f>
        <v>https://pbs.twimg.com/profile_images/1164513934084399104/a04TakrA_normal.jpg</v>
      </c>
      <c r="W202" s="93">
        <v>44483.296423611115</v>
      </c>
      <c r="X202" s="102">
        <v>44483</v>
      </c>
      <c r="Y202" s="99" t="s">
        <v>2169</v>
      </c>
      <c r="Z202" s="96" t="str">
        <f>HYPERLINK("https://twitter.com/aaltobiz/status/1448545823650893829")</f>
        <v>https://twitter.com/aaltobiz/status/1448545823650893829</v>
      </c>
      <c r="AA202" s="90"/>
      <c r="AB202" s="90"/>
      <c r="AC202" s="99" t="s">
        <v>2215</v>
      </c>
      <c r="AD202" s="90"/>
      <c r="AE202" s="90" t="b">
        <v>0</v>
      </c>
      <c r="AF202" s="90">
        <v>0</v>
      </c>
      <c r="AG202" s="99" t="s">
        <v>535</v>
      </c>
      <c r="AH202" s="90" t="b">
        <v>0</v>
      </c>
      <c r="AI202" s="90" t="s">
        <v>537</v>
      </c>
      <c r="AJ202" s="90"/>
      <c r="AK202" s="99" t="s">
        <v>535</v>
      </c>
      <c r="AL202" s="90" t="b">
        <v>0</v>
      </c>
      <c r="AM202" s="90">
        <v>7</v>
      </c>
      <c r="AN202" s="99" t="s">
        <v>2239</v>
      </c>
      <c r="AO202" s="99" t="s">
        <v>542</v>
      </c>
      <c r="AP202" s="90" t="b">
        <v>0</v>
      </c>
      <c r="AQ202" s="99" t="s">
        <v>2239</v>
      </c>
      <c r="AR202" s="90" t="s">
        <v>187</v>
      </c>
      <c r="AS202" s="90">
        <v>0</v>
      </c>
      <c r="AT202" s="90">
        <v>0</v>
      </c>
      <c r="AU202" s="90"/>
      <c r="AV202" s="90"/>
      <c r="AW202" s="90"/>
      <c r="AX202" s="90"/>
      <c r="AY202" s="90"/>
      <c r="AZ202" s="90"/>
      <c r="BA202" s="90"/>
      <c r="BB202" s="90"/>
      <c r="BC202" s="90">
        <v>2</v>
      </c>
      <c r="BD202" s="89" t="str">
        <f>REPLACE(INDEX(GroupVertices[Group],MATCH(Edges[[#This Row],[Vertex 1]],GroupVertices[Vertex],0)),1,1,"")</f>
        <v>2</v>
      </c>
      <c r="BE202" s="89" t="str">
        <f>REPLACE(INDEX(GroupVertices[Group],MATCH(Edges[[#This Row],[Vertex 2]],GroupVertices[Vertex],0)),1,1,"")</f>
        <v>2</v>
      </c>
      <c r="BF202" s="49"/>
      <c r="BG202" s="50"/>
      <c r="BH202" s="49"/>
      <c r="BI202" s="50"/>
      <c r="BJ202" s="49"/>
      <c r="BK202" s="50"/>
      <c r="BL202" s="49"/>
      <c r="BM202" s="50"/>
      <c r="BN202" s="49"/>
    </row>
    <row r="203" spans="1:66" ht="15">
      <c r="A203" s="66" t="s">
        <v>284</v>
      </c>
      <c r="B203" s="66" t="s">
        <v>260</v>
      </c>
      <c r="C203" s="67" t="s">
        <v>2109</v>
      </c>
      <c r="D203" s="68">
        <v>10</v>
      </c>
      <c r="E203" s="69" t="s">
        <v>132</v>
      </c>
      <c r="F203" s="70">
        <v>10</v>
      </c>
      <c r="G203" s="67" t="s">
        <v>51</v>
      </c>
      <c r="H203" s="71"/>
      <c r="I203" s="72"/>
      <c r="J203" s="72"/>
      <c r="K203" s="35" t="s">
        <v>65</v>
      </c>
      <c r="L203" s="79">
        <v>203</v>
      </c>
      <c r="M203" s="79"/>
      <c r="N203" s="74"/>
      <c r="O203" s="90" t="s">
        <v>306</v>
      </c>
      <c r="P203" s="93">
        <v>44483.296423611115</v>
      </c>
      <c r="Q203" s="90" t="s">
        <v>2139</v>
      </c>
      <c r="R203" s="96" t="str">
        <f>HYPERLINK("https://talouskurssi.fi/?fbclid=IwAR3lQxACK6cI50BBFObd0zCsOMC4Cq1tFNNNCY5sktWLRNSCs13ALYuQ2cg")</f>
        <v>https://talouskurssi.fi/?fbclid=IwAR3lQxACK6cI50BBFObd0zCsOMC4Cq1tFNNNCY5sktWLRNSCs13ALYuQ2cg</v>
      </c>
      <c r="S203" s="90" t="s">
        <v>334</v>
      </c>
      <c r="T203" s="90"/>
      <c r="U203" s="90"/>
      <c r="V203" s="96" t="str">
        <f>HYPERLINK("https://pbs.twimg.com/profile_images/1164513934084399104/a04TakrA_normal.jpg")</f>
        <v>https://pbs.twimg.com/profile_images/1164513934084399104/a04TakrA_normal.jpg</v>
      </c>
      <c r="W203" s="93">
        <v>44483.296423611115</v>
      </c>
      <c r="X203" s="102">
        <v>44483</v>
      </c>
      <c r="Y203" s="99" t="s">
        <v>2169</v>
      </c>
      <c r="Z203" s="96" t="str">
        <f>HYPERLINK("https://twitter.com/aaltobiz/status/1448545823650893829")</f>
        <v>https://twitter.com/aaltobiz/status/1448545823650893829</v>
      </c>
      <c r="AA203" s="90"/>
      <c r="AB203" s="90"/>
      <c r="AC203" s="99" t="s">
        <v>2215</v>
      </c>
      <c r="AD203" s="90"/>
      <c r="AE203" s="90" t="b">
        <v>0</v>
      </c>
      <c r="AF203" s="90">
        <v>0</v>
      </c>
      <c r="AG203" s="99" t="s">
        <v>535</v>
      </c>
      <c r="AH203" s="90" t="b">
        <v>0</v>
      </c>
      <c r="AI203" s="90" t="s">
        <v>537</v>
      </c>
      <c r="AJ203" s="90"/>
      <c r="AK203" s="99" t="s">
        <v>535</v>
      </c>
      <c r="AL203" s="90" t="b">
        <v>0</v>
      </c>
      <c r="AM203" s="90">
        <v>7</v>
      </c>
      <c r="AN203" s="99" t="s">
        <v>2239</v>
      </c>
      <c r="AO203" s="99" t="s">
        <v>542</v>
      </c>
      <c r="AP203" s="90" t="b">
        <v>0</v>
      </c>
      <c r="AQ203" s="99" t="s">
        <v>2239</v>
      </c>
      <c r="AR203" s="90" t="s">
        <v>187</v>
      </c>
      <c r="AS203" s="90">
        <v>0</v>
      </c>
      <c r="AT203" s="90">
        <v>0</v>
      </c>
      <c r="AU203" s="90"/>
      <c r="AV203" s="90"/>
      <c r="AW203" s="90"/>
      <c r="AX203" s="90"/>
      <c r="AY203" s="90"/>
      <c r="AZ203" s="90"/>
      <c r="BA203" s="90"/>
      <c r="BB203" s="90"/>
      <c r="BC203" s="90">
        <v>2</v>
      </c>
      <c r="BD203" s="89" t="str">
        <f>REPLACE(INDEX(GroupVertices[Group],MATCH(Edges[[#This Row],[Vertex 1]],GroupVertices[Vertex],0)),1,1,"")</f>
        <v>2</v>
      </c>
      <c r="BE203" s="89" t="str">
        <f>REPLACE(INDEX(GroupVertices[Group],MATCH(Edges[[#This Row],[Vertex 2]],GroupVertices[Vertex],0)),1,1,"")</f>
        <v>2</v>
      </c>
      <c r="BF203" s="49"/>
      <c r="BG203" s="50"/>
      <c r="BH203" s="49"/>
      <c r="BI203" s="50"/>
      <c r="BJ203" s="49"/>
      <c r="BK203" s="50"/>
      <c r="BL203" s="49"/>
      <c r="BM203" s="50"/>
      <c r="BN203" s="49"/>
    </row>
    <row r="204" spans="1:66" ht="15">
      <c r="A204" s="66" t="s">
        <v>284</v>
      </c>
      <c r="B204" s="66" t="s">
        <v>299</v>
      </c>
      <c r="C204" s="67" t="s">
        <v>2109</v>
      </c>
      <c r="D204" s="68">
        <v>10</v>
      </c>
      <c r="E204" s="69" t="s">
        <v>132</v>
      </c>
      <c r="F204" s="70">
        <v>10</v>
      </c>
      <c r="G204" s="67" t="s">
        <v>51</v>
      </c>
      <c r="H204" s="71"/>
      <c r="I204" s="72"/>
      <c r="J204" s="72"/>
      <c r="K204" s="35" t="s">
        <v>65</v>
      </c>
      <c r="L204" s="79">
        <v>204</v>
      </c>
      <c r="M204" s="79"/>
      <c r="N204" s="74"/>
      <c r="O204" s="90" t="s">
        <v>306</v>
      </c>
      <c r="P204" s="93">
        <v>44483.296423611115</v>
      </c>
      <c r="Q204" s="90" t="s">
        <v>2139</v>
      </c>
      <c r="R204" s="96" t="str">
        <f>HYPERLINK("https://talouskurssi.fi/?fbclid=IwAR3lQxACK6cI50BBFObd0zCsOMC4Cq1tFNNNCY5sktWLRNSCs13ALYuQ2cg")</f>
        <v>https://talouskurssi.fi/?fbclid=IwAR3lQxACK6cI50BBFObd0zCsOMC4Cq1tFNNNCY5sktWLRNSCs13ALYuQ2cg</v>
      </c>
      <c r="S204" s="90" t="s">
        <v>334</v>
      </c>
      <c r="T204" s="90"/>
      <c r="U204" s="90"/>
      <c r="V204" s="96" t="str">
        <f>HYPERLINK("https://pbs.twimg.com/profile_images/1164513934084399104/a04TakrA_normal.jpg")</f>
        <v>https://pbs.twimg.com/profile_images/1164513934084399104/a04TakrA_normal.jpg</v>
      </c>
      <c r="W204" s="93">
        <v>44483.296423611115</v>
      </c>
      <c r="X204" s="102">
        <v>44483</v>
      </c>
      <c r="Y204" s="99" t="s">
        <v>2169</v>
      </c>
      <c r="Z204" s="96" t="str">
        <f>HYPERLINK("https://twitter.com/aaltobiz/status/1448545823650893829")</f>
        <v>https://twitter.com/aaltobiz/status/1448545823650893829</v>
      </c>
      <c r="AA204" s="90"/>
      <c r="AB204" s="90"/>
      <c r="AC204" s="99" t="s">
        <v>2215</v>
      </c>
      <c r="AD204" s="90"/>
      <c r="AE204" s="90" t="b">
        <v>0</v>
      </c>
      <c r="AF204" s="90">
        <v>0</v>
      </c>
      <c r="AG204" s="99" t="s">
        <v>535</v>
      </c>
      <c r="AH204" s="90" t="b">
        <v>0</v>
      </c>
      <c r="AI204" s="90" t="s">
        <v>537</v>
      </c>
      <c r="AJ204" s="90"/>
      <c r="AK204" s="99" t="s">
        <v>535</v>
      </c>
      <c r="AL204" s="90" t="b">
        <v>0</v>
      </c>
      <c r="AM204" s="90">
        <v>7</v>
      </c>
      <c r="AN204" s="99" t="s">
        <v>2239</v>
      </c>
      <c r="AO204" s="99" t="s">
        <v>542</v>
      </c>
      <c r="AP204" s="90" t="b">
        <v>0</v>
      </c>
      <c r="AQ204" s="99" t="s">
        <v>2239</v>
      </c>
      <c r="AR204" s="90" t="s">
        <v>187</v>
      </c>
      <c r="AS204" s="90">
        <v>0</v>
      </c>
      <c r="AT204" s="90">
        <v>0</v>
      </c>
      <c r="AU204" s="90"/>
      <c r="AV204" s="90"/>
      <c r="AW204" s="90"/>
      <c r="AX204" s="90"/>
      <c r="AY204" s="90"/>
      <c r="AZ204" s="90"/>
      <c r="BA204" s="90"/>
      <c r="BB204" s="90"/>
      <c r="BC204" s="90">
        <v>3</v>
      </c>
      <c r="BD204" s="89" t="str">
        <f>REPLACE(INDEX(GroupVertices[Group],MATCH(Edges[[#This Row],[Vertex 1]],GroupVertices[Vertex],0)),1,1,"")</f>
        <v>2</v>
      </c>
      <c r="BE204" s="89" t="str">
        <f>REPLACE(INDEX(GroupVertices[Group],MATCH(Edges[[#This Row],[Vertex 2]],GroupVertices[Vertex],0)),1,1,"")</f>
        <v>1</v>
      </c>
      <c r="BF204" s="49"/>
      <c r="BG204" s="50"/>
      <c r="BH204" s="49"/>
      <c r="BI204" s="50"/>
      <c r="BJ204" s="49"/>
      <c r="BK204" s="50"/>
      <c r="BL204" s="49"/>
      <c r="BM204" s="50"/>
      <c r="BN204" s="49"/>
    </row>
    <row r="205" spans="1:66" ht="15">
      <c r="A205" s="66" t="s">
        <v>284</v>
      </c>
      <c r="B205" s="66" t="s">
        <v>293</v>
      </c>
      <c r="C205" s="67" t="s">
        <v>2109</v>
      </c>
      <c r="D205" s="68">
        <v>10</v>
      </c>
      <c r="E205" s="69" t="s">
        <v>132</v>
      </c>
      <c r="F205" s="70">
        <v>10</v>
      </c>
      <c r="G205" s="67" t="s">
        <v>51</v>
      </c>
      <c r="H205" s="71"/>
      <c r="I205" s="72"/>
      <c r="J205" s="72"/>
      <c r="K205" s="35" t="s">
        <v>65</v>
      </c>
      <c r="L205" s="79">
        <v>205</v>
      </c>
      <c r="M205" s="79"/>
      <c r="N205" s="74"/>
      <c r="O205" s="90" t="s">
        <v>306</v>
      </c>
      <c r="P205" s="93">
        <v>44483.296423611115</v>
      </c>
      <c r="Q205" s="90" t="s">
        <v>2139</v>
      </c>
      <c r="R205" s="96" t="str">
        <f>HYPERLINK("https://talouskurssi.fi/?fbclid=IwAR3lQxACK6cI50BBFObd0zCsOMC4Cq1tFNNNCY5sktWLRNSCs13ALYuQ2cg")</f>
        <v>https://talouskurssi.fi/?fbclid=IwAR3lQxACK6cI50BBFObd0zCsOMC4Cq1tFNNNCY5sktWLRNSCs13ALYuQ2cg</v>
      </c>
      <c r="S205" s="90" t="s">
        <v>334</v>
      </c>
      <c r="T205" s="90"/>
      <c r="U205" s="90"/>
      <c r="V205" s="96" t="str">
        <f>HYPERLINK("https://pbs.twimg.com/profile_images/1164513934084399104/a04TakrA_normal.jpg")</f>
        <v>https://pbs.twimg.com/profile_images/1164513934084399104/a04TakrA_normal.jpg</v>
      </c>
      <c r="W205" s="93">
        <v>44483.296423611115</v>
      </c>
      <c r="X205" s="102">
        <v>44483</v>
      </c>
      <c r="Y205" s="99" t="s">
        <v>2169</v>
      </c>
      <c r="Z205" s="96" t="str">
        <f>HYPERLINK("https://twitter.com/aaltobiz/status/1448545823650893829")</f>
        <v>https://twitter.com/aaltobiz/status/1448545823650893829</v>
      </c>
      <c r="AA205" s="90"/>
      <c r="AB205" s="90"/>
      <c r="AC205" s="99" t="s">
        <v>2215</v>
      </c>
      <c r="AD205" s="90"/>
      <c r="AE205" s="90" t="b">
        <v>0</v>
      </c>
      <c r="AF205" s="90">
        <v>0</v>
      </c>
      <c r="AG205" s="99" t="s">
        <v>535</v>
      </c>
      <c r="AH205" s="90" t="b">
        <v>0</v>
      </c>
      <c r="AI205" s="90" t="s">
        <v>537</v>
      </c>
      <c r="AJ205" s="90"/>
      <c r="AK205" s="99" t="s">
        <v>535</v>
      </c>
      <c r="AL205" s="90" t="b">
        <v>0</v>
      </c>
      <c r="AM205" s="90">
        <v>7</v>
      </c>
      <c r="AN205" s="99" t="s">
        <v>2239</v>
      </c>
      <c r="AO205" s="99" t="s">
        <v>542</v>
      </c>
      <c r="AP205" s="90" t="b">
        <v>0</v>
      </c>
      <c r="AQ205" s="99" t="s">
        <v>2239</v>
      </c>
      <c r="AR205" s="90" t="s">
        <v>187</v>
      </c>
      <c r="AS205" s="90">
        <v>0</v>
      </c>
      <c r="AT205" s="90">
        <v>0</v>
      </c>
      <c r="AU205" s="90"/>
      <c r="AV205" s="90"/>
      <c r="AW205" s="90"/>
      <c r="AX205" s="90"/>
      <c r="AY205" s="90"/>
      <c r="AZ205" s="90"/>
      <c r="BA205" s="90"/>
      <c r="BB205" s="90"/>
      <c r="BC205" s="90">
        <v>3</v>
      </c>
      <c r="BD205" s="89" t="str">
        <f>REPLACE(INDEX(GroupVertices[Group],MATCH(Edges[[#This Row],[Vertex 1]],GroupVertices[Vertex],0)),1,1,"")</f>
        <v>2</v>
      </c>
      <c r="BE205" s="89" t="str">
        <f>REPLACE(INDEX(GroupVertices[Group],MATCH(Edges[[#This Row],[Vertex 2]],GroupVertices[Vertex],0)),1,1,"")</f>
        <v>3</v>
      </c>
      <c r="BF205" s="49"/>
      <c r="BG205" s="50"/>
      <c r="BH205" s="49"/>
      <c r="BI205" s="50"/>
      <c r="BJ205" s="49"/>
      <c r="BK205" s="50"/>
      <c r="BL205" s="49"/>
      <c r="BM205" s="50"/>
      <c r="BN205" s="49"/>
    </row>
    <row r="206" spans="1:66" ht="15">
      <c r="A206" s="66" t="s">
        <v>284</v>
      </c>
      <c r="B206" s="66" t="s">
        <v>2135</v>
      </c>
      <c r="C206" s="67" t="s">
        <v>2108</v>
      </c>
      <c r="D206" s="68">
        <v>1</v>
      </c>
      <c r="E206" s="69" t="s">
        <v>132</v>
      </c>
      <c r="F206" s="70">
        <v>32</v>
      </c>
      <c r="G206" s="67" t="s">
        <v>51</v>
      </c>
      <c r="H206" s="71"/>
      <c r="I206" s="72"/>
      <c r="J206" s="72"/>
      <c r="K206" s="35" t="s">
        <v>65</v>
      </c>
      <c r="L206" s="79">
        <v>206</v>
      </c>
      <c r="M206" s="79"/>
      <c r="N206" s="74"/>
      <c r="O206" s="90" t="s">
        <v>305</v>
      </c>
      <c r="P206" s="93">
        <v>44483.296423611115</v>
      </c>
      <c r="Q206" s="90" t="s">
        <v>2139</v>
      </c>
      <c r="R206" s="96" t="str">
        <f>HYPERLINK("https://talouskurssi.fi/?fbclid=IwAR3lQxACK6cI50BBFObd0zCsOMC4Cq1tFNNNCY5sktWLRNSCs13ALYuQ2cg")</f>
        <v>https://talouskurssi.fi/?fbclid=IwAR3lQxACK6cI50BBFObd0zCsOMC4Cq1tFNNNCY5sktWLRNSCs13ALYuQ2cg</v>
      </c>
      <c r="S206" s="90" t="s">
        <v>334</v>
      </c>
      <c r="T206" s="90"/>
      <c r="U206" s="90"/>
      <c r="V206" s="96" t="str">
        <f>HYPERLINK("https://pbs.twimg.com/profile_images/1164513934084399104/a04TakrA_normal.jpg")</f>
        <v>https://pbs.twimg.com/profile_images/1164513934084399104/a04TakrA_normal.jpg</v>
      </c>
      <c r="W206" s="93">
        <v>44483.296423611115</v>
      </c>
      <c r="X206" s="102">
        <v>44483</v>
      </c>
      <c r="Y206" s="99" t="s">
        <v>2169</v>
      </c>
      <c r="Z206" s="96" t="str">
        <f>HYPERLINK("https://twitter.com/aaltobiz/status/1448545823650893829")</f>
        <v>https://twitter.com/aaltobiz/status/1448545823650893829</v>
      </c>
      <c r="AA206" s="90"/>
      <c r="AB206" s="90"/>
      <c r="AC206" s="99" t="s">
        <v>2215</v>
      </c>
      <c r="AD206" s="90"/>
      <c r="AE206" s="90" t="b">
        <v>0</v>
      </c>
      <c r="AF206" s="90">
        <v>0</v>
      </c>
      <c r="AG206" s="99" t="s">
        <v>535</v>
      </c>
      <c r="AH206" s="90" t="b">
        <v>0</v>
      </c>
      <c r="AI206" s="90" t="s">
        <v>537</v>
      </c>
      <c r="AJ206" s="90"/>
      <c r="AK206" s="99" t="s">
        <v>535</v>
      </c>
      <c r="AL206" s="90" t="b">
        <v>0</v>
      </c>
      <c r="AM206" s="90">
        <v>7</v>
      </c>
      <c r="AN206" s="99" t="s">
        <v>2239</v>
      </c>
      <c r="AO206" s="99" t="s">
        <v>542</v>
      </c>
      <c r="AP206" s="90" t="b">
        <v>0</v>
      </c>
      <c r="AQ206" s="99" t="s">
        <v>2239</v>
      </c>
      <c r="AR206" s="90" t="s">
        <v>187</v>
      </c>
      <c r="AS206" s="90">
        <v>0</v>
      </c>
      <c r="AT206" s="90">
        <v>0</v>
      </c>
      <c r="AU206" s="90"/>
      <c r="AV206" s="90"/>
      <c r="AW206" s="90"/>
      <c r="AX206" s="90"/>
      <c r="AY206" s="90"/>
      <c r="AZ206" s="90"/>
      <c r="BA206" s="90"/>
      <c r="BB206" s="90"/>
      <c r="BC206" s="90">
        <v>1</v>
      </c>
      <c r="BD206" s="89" t="str">
        <f>REPLACE(INDEX(GroupVertices[Group],MATCH(Edges[[#This Row],[Vertex 1]],GroupVertices[Vertex],0)),1,1,"")</f>
        <v>2</v>
      </c>
      <c r="BE206" s="89" t="str">
        <f>REPLACE(INDEX(GroupVertices[Group],MATCH(Edges[[#This Row],[Vertex 2]],GroupVertices[Vertex],0)),1,1,"")</f>
        <v>2</v>
      </c>
      <c r="BF206" s="49">
        <v>0</v>
      </c>
      <c r="BG206" s="50">
        <v>0</v>
      </c>
      <c r="BH206" s="49">
        <v>0</v>
      </c>
      <c r="BI206" s="50">
        <v>0</v>
      </c>
      <c r="BJ206" s="49">
        <v>0</v>
      </c>
      <c r="BK206" s="50">
        <v>0</v>
      </c>
      <c r="BL206" s="49">
        <v>22</v>
      </c>
      <c r="BM206" s="50">
        <v>100</v>
      </c>
      <c r="BN206" s="49">
        <v>22</v>
      </c>
    </row>
    <row r="207" spans="1:66" ht="15">
      <c r="A207" s="66" t="s">
        <v>284</v>
      </c>
      <c r="B207" s="66" t="s">
        <v>299</v>
      </c>
      <c r="C207" s="67" t="s">
        <v>2109</v>
      </c>
      <c r="D207" s="68">
        <v>10</v>
      </c>
      <c r="E207" s="69" t="s">
        <v>132</v>
      </c>
      <c r="F207" s="70">
        <v>10</v>
      </c>
      <c r="G207" s="67" t="s">
        <v>51</v>
      </c>
      <c r="H207" s="71"/>
      <c r="I207" s="72"/>
      <c r="J207" s="72"/>
      <c r="K207" s="35" t="s">
        <v>65</v>
      </c>
      <c r="L207" s="79">
        <v>207</v>
      </c>
      <c r="M207" s="79"/>
      <c r="N207" s="74"/>
      <c r="O207" s="90" t="s">
        <v>306</v>
      </c>
      <c r="P207" s="93">
        <v>44483.296793981484</v>
      </c>
      <c r="Q207" s="90" t="s">
        <v>310</v>
      </c>
      <c r="R207" s="96" t="str">
        <f>HYPERLINK("https://talouskurssi.fi/")</f>
        <v>https://talouskurssi.fi/</v>
      </c>
      <c r="S207" s="90" t="s">
        <v>334</v>
      </c>
      <c r="T207" s="99" t="s">
        <v>338</v>
      </c>
      <c r="U207" s="96" t="str">
        <f>HYPERLINK("https://pbs.twimg.com/ext_tw_video_thumb/1448527896562348036/pu/img/0PqSbNMaXHvzKHCc.jpg")</f>
        <v>https://pbs.twimg.com/ext_tw_video_thumb/1448527896562348036/pu/img/0PqSbNMaXHvzKHCc.jpg</v>
      </c>
      <c r="V207" s="96" t="str">
        <f>HYPERLINK("https://pbs.twimg.com/ext_tw_video_thumb/1448527896562348036/pu/img/0PqSbNMaXHvzKHCc.jpg")</f>
        <v>https://pbs.twimg.com/ext_tw_video_thumb/1448527896562348036/pu/img/0PqSbNMaXHvzKHCc.jpg</v>
      </c>
      <c r="W207" s="93">
        <v>44483.296793981484</v>
      </c>
      <c r="X207" s="102">
        <v>44483</v>
      </c>
      <c r="Y207" s="99" t="s">
        <v>407</v>
      </c>
      <c r="Z207" s="96" t="str">
        <f>HYPERLINK("https://twitter.com/aaltobiz/status/1448545958615203845")</f>
        <v>https://twitter.com/aaltobiz/status/1448545958615203845</v>
      </c>
      <c r="AA207" s="90"/>
      <c r="AB207" s="90"/>
      <c r="AC207" s="99" t="s">
        <v>501</v>
      </c>
      <c r="AD207" s="90"/>
      <c r="AE207" s="90" t="b">
        <v>0</v>
      </c>
      <c r="AF207" s="90">
        <v>0</v>
      </c>
      <c r="AG207" s="99" t="s">
        <v>535</v>
      </c>
      <c r="AH207" s="90" t="b">
        <v>0</v>
      </c>
      <c r="AI207" s="90" t="s">
        <v>537</v>
      </c>
      <c r="AJ207" s="90"/>
      <c r="AK207" s="99" t="s">
        <v>535</v>
      </c>
      <c r="AL207" s="90" t="b">
        <v>0</v>
      </c>
      <c r="AM207" s="90">
        <v>52</v>
      </c>
      <c r="AN207" s="99" t="s">
        <v>526</v>
      </c>
      <c r="AO207" s="99" t="s">
        <v>542</v>
      </c>
      <c r="AP207" s="90" t="b">
        <v>0</v>
      </c>
      <c r="AQ207" s="99" t="s">
        <v>526</v>
      </c>
      <c r="AR207" s="90" t="s">
        <v>187</v>
      </c>
      <c r="AS207" s="90">
        <v>0</v>
      </c>
      <c r="AT207" s="90">
        <v>0</v>
      </c>
      <c r="AU207" s="90"/>
      <c r="AV207" s="90"/>
      <c r="AW207" s="90"/>
      <c r="AX207" s="90"/>
      <c r="AY207" s="90"/>
      <c r="AZ207" s="90"/>
      <c r="BA207" s="90"/>
      <c r="BB207" s="90"/>
      <c r="BC207" s="90">
        <v>3</v>
      </c>
      <c r="BD207" s="89" t="str">
        <f>REPLACE(INDEX(GroupVertices[Group],MATCH(Edges[[#This Row],[Vertex 1]],GroupVertices[Vertex],0)),1,1,"")</f>
        <v>2</v>
      </c>
      <c r="BE207" s="89" t="str">
        <f>REPLACE(INDEX(GroupVertices[Group],MATCH(Edges[[#This Row],[Vertex 2]],GroupVertices[Vertex],0)),1,1,"")</f>
        <v>1</v>
      </c>
      <c r="BF207" s="49"/>
      <c r="BG207" s="50"/>
      <c r="BH207" s="49"/>
      <c r="BI207" s="50"/>
      <c r="BJ207" s="49"/>
      <c r="BK207" s="50"/>
      <c r="BL207" s="49"/>
      <c r="BM207" s="50"/>
      <c r="BN207" s="49"/>
    </row>
    <row r="208" spans="1:66" ht="15">
      <c r="A208" s="66" t="s">
        <v>284</v>
      </c>
      <c r="B208" s="66" t="s">
        <v>302</v>
      </c>
      <c r="C208" s="67" t="s">
        <v>2109</v>
      </c>
      <c r="D208" s="68">
        <v>10</v>
      </c>
      <c r="E208" s="69" t="s">
        <v>132</v>
      </c>
      <c r="F208" s="70">
        <v>10</v>
      </c>
      <c r="G208" s="67" t="s">
        <v>51</v>
      </c>
      <c r="H208" s="71"/>
      <c r="I208" s="72"/>
      <c r="J208" s="72"/>
      <c r="K208" s="35" t="s">
        <v>65</v>
      </c>
      <c r="L208" s="79">
        <v>208</v>
      </c>
      <c r="M208" s="79"/>
      <c r="N208" s="74"/>
      <c r="O208" s="90" t="s">
        <v>306</v>
      </c>
      <c r="P208" s="93">
        <v>44483.296793981484</v>
      </c>
      <c r="Q208" s="90" t="s">
        <v>310</v>
      </c>
      <c r="R208" s="96" t="str">
        <f>HYPERLINK("https://talouskurssi.fi/")</f>
        <v>https://talouskurssi.fi/</v>
      </c>
      <c r="S208" s="90" t="s">
        <v>334</v>
      </c>
      <c r="T208" s="99" t="s">
        <v>338</v>
      </c>
      <c r="U208" s="96" t="str">
        <f>HYPERLINK("https://pbs.twimg.com/ext_tw_video_thumb/1448527896562348036/pu/img/0PqSbNMaXHvzKHCc.jpg")</f>
        <v>https://pbs.twimg.com/ext_tw_video_thumb/1448527896562348036/pu/img/0PqSbNMaXHvzKHCc.jpg</v>
      </c>
      <c r="V208" s="96" t="str">
        <f>HYPERLINK("https://pbs.twimg.com/ext_tw_video_thumb/1448527896562348036/pu/img/0PqSbNMaXHvzKHCc.jpg")</f>
        <v>https://pbs.twimg.com/ext_tw_video_thumb/1448527896562348036/pu/img/0PqSbNMaXHvzKHCc.jpg</v>
      </c>
      <c r="W208" s="93">
        <v>44483.296793981484</v>
      </c>
      <c r="X208" s="102">
        <v>44483</v>
      </c>
      <c r="Y208" s="99" t="s">
        <v>407</v>
      </c>
      <c r="Z208" s="96" t="str">
        <f>HYPERLINK("https://twitter.com/aaltobiz/status/1448545958615203845")</f>
        <v>https://twitter.com/aaltobiz/status/1448545958615203845</v>
      </c>
      <c r="AA208" s="90"/>
      <c r="AB208" s="90"/>
      <c r="AC208" s="99" t="s">
        <v>501</v>
      </c>
      <c r="AD208" s="90"/>
      <c r="AE208" s="90" t="b">
        <v>0</v>
      </c>
      <c r="AF208" s="90">
        <v>0</v>
      </c>
      <c r="AG208" s="99" t="s">
        <v>535</v>
      </c>
      <c r="AH208" s="90" t="b">
        <v>0</v>
      </c>
      <c r="AI208" s="90" t="s">
        <v>537</v>
      </c>
      <c r="AJ208" s="90"/>
      <c r="AK208" s="99" t="s">
        <v>535</v>
      </c>
      <c r="AL208" s="90" t="b">
        <v>0</v>
      </c>
      <c r="AM208" s="90">
        <v>52</v>
      </c>
      <c r="AN208" s="99" t="s">
        <v>526</v>
      </c>
      <c r="AO208" s="99" t="s">
        <v>542</v>
      </c>
      <c r="AP208" s="90" t="b">
        <v>0</v>
      </c>
      <c r="AQ208" s="99" t="s">
        <v>526</v>
      </c>
      <c r="AR208" s="90" t="s">
        <v>187</v>
      </c>
      <c r="AS208" s="90">
        <v>0</v>
      </c>
      <c r="AT208" s="90">
        <v>0</v>
      </c>
      <c r="AU208" s="90"/>
      <c r="AV208" s="90"/>
      <c r="AW208" s="90"/>
      <c r="AX208" s="90"/>
      <c r="AY208" s="90"/>
      <c r="AZ208" s="90"/>
      <c r="BA208" s="90"/>
      <c r="BB208" s="90"/>
      <c r="BC208" s="90">
        <v>2</v>
      </c>
      <c r="BD208" s="89" t="str">
        <f>REPLACE(INDEX(GroupVertices[Group],MATCH(Edges[[#This Row],[Vertex 1]],GroupVertices[Vertex],0)),1,1,"")</f>
        <v>2</v>
      </c>
      <c r="BE208" s="89" t="str">
        <f>REPLACE(INDEX(GroupVertices[Group],MATCH(Edges[[#This Row],[Vertex 2]],GroupVertices[Vertex],0)),1,1,"")</f>
        <v>1</v>
      </c>
      <c r="BF208" s="49"/>
      <c r="BG208" s="50"/>
      <c r="BH208" s="49"/>
      <c r="BI208" s="50"/>
      <c r="BJ208" s="49"/>
      <c r="BK208" s="50"/>
      <c r="BL208" s="49"/>
      <c r="BM208" s="50"/>
      <c r="BN208" s="49"/>
    </row>
    <row r="209" spans="1:66" ht="15">
      <c r="A209" s="66" t="s">
        <v>284</v>
      </c>
      <c r="B209" s="66" t="s">
        <v>293</v>
      </c>
      <c r="C209" s="67" t="s">
        <v>2109</v>
      </c>
      <c r="D209" s="68">
        <v>10</v>
      </c>
      <c r="E209" s="69" t="s">
        <v>132</v>
      </c>
      <c r="F209" s="70">
        <v>10</v>
      </c>
      <c r="G209" s="67" t="s">
        <v>51</v>
      </c>
      <c r="H209" s="71"/>
      <c r="I209" s="72"/>
      <c r="J209" s="72"/>
      <c r="K209" s="35" t="s">
        <v>65</v>
      </c>
      <c r="L209" s="79">
        <v>209</v>
      </c>
      <c r="M209" s="79"/>
      <c r="N209" s="74"/>
      <c r="O209" s="90" t="s">
        <v>305</v>
      </c>
      <c r="P209" s="93">
        <v>44483.296793981484</v>
      </c>
      <c r="Q209" s="90" t="s">
        <v>310</v>
      </c>
      <c r="R209" s="96" t="str">
        <f>HYPERLINK("https://talouskurssi.fi/")</f>
        <v>https://talouskurssi.fi/</v>
      </c>
      <c r="S209" s="90" t="s">
        <v>334</v>
      </c>
      <c r="T209" s="99" t="s">
        <v>338</v>
      </c>
      <c r="U209" s="96" t="str">
        <f>HYPERLINK("https://pbs.twimg.com/ext_tw_video_thumb/1448527896562348036/pu/img/0PqSbNMaXHvzKHCc.jpg")</f>
        <v>https://pbs.twimg.com/ext_tw_video_thumb/1448527896562348036/pu/img/0PqSbNMaXHvzKHCc.jpg</v>
      </c>
      <c r="V209" s="96" t="str">
        <f>HYPERLINK("https://pbs.twimg.com/ext_tw_video_thumb/1448527896562348036/pu/img/0PqSbNMaXHvzKHCc.jpg")</f>
        <v>https://pbs.twimg.com/ext_tw_video_thumb/1448527896562348036/pu/img/0PqSbNMaXHvzKHCc.jpg</v>
      </c>
      <c r="W209" s="93">
        <v>44483.296793981484</v>
      </c>
      <c r="X209" s="102">
        <v>44483</v>
      </c>
      <c r="Y209" s="99" t="s">
        <v>407</v>
      </c>
      <c r="Z209" s="96" t="str">
        <f>HYPERLINK("https://twitter.com/aaltobiz/status/1448545958615203845")</f>
        <v>https://twitter.com/aaltobiz/status/1448545958615203845</v>
      </c>
      <c r="AA209" s="90"/>
      <c r="AB209" s="90"/>
      <c r="AC209" s="99" t="s">
        <v>501</v>
      </c>
      <c r="AD209" s="90"/>
      <c r="AE209" s="90" t="b">
        <v>0</v>
      </c>
      <c r="AF209" s="90">
        <v>0</v>
      </c>
      <c r="AG209" s="99" t="s">
        <v>535</v>
      </c>
      <c r="AH209" s="90" t="b">
        <v>0</v>
      </c>
      <c r="AI209" s="90" t="s">
        <v>537</v>
      </c>
      <c r="AJ209" s="90"/>
      <c r="AK209" s="99" t="s">
        <v>535</v>
      </c>
      <c r="AL209" s="90" t="b">
        <v>0</v>
      </c>
      <c r="AM209" s="90">
        <v>52</v>
      </c>
      <c r="AN209" s="99" t="s">
        <v>526</v>
      </c>
      <c r="AO209" s="99" t="s">
        <v>542</v>
      </c>
      <c r="AP209" s="90" t="b">
        <v>0</v>
      </c>
      <c r="AQ209" s="99" t="s">
        <v>526</v>
      </c>
      <c r="AR209" s="90" t="s">
        <v>187</v>
      </c>
      <c r="AS209" s="90">
        <v>0</v>
      </c>
      <c r="AT209" s="90">
        <v>0</v>
      </c>
      <c r="AU209" s="90"/>
      <c r="AV209" s="90"/>
      <c r="AW209" s="90"/>
      <c r="AX209" s="90"/>
      <c r="AY209" s="90"/>
      <c r="AZ209" s="90"/>
      <c r="BA209" s="90"/>
      <c r="BB209" s="90"/>
      <c r="BC209" s="90">
        <v>3</v>
      </c>
      <c r="BD209" s="89" t="str">
        <f>REPLACE(INDEX(GroupVertices[Group],MATCH(Edges[[#This Row],[Vertex 1]],GroupVertices[Vertex],0)),1,1,"")</f>
        <v>2</v>
      </c>
      <c r="BE209" s="89" t="str">
        <f>REPLACE(INDEX(GroupVertices[Group],MATCH(Edges[[#This Row],[Vertex 2]],GroupVertices[Vertex],0)),1,1,"")</f>
        <v>3</v>
      </c>
      <c r="BF209" s="49">
        <v>0</v>
      </c>
      <c r="BG209" s="50">
        <v>0</v>
      </c>
      <c r="BH209" s="49">
        <v>0</v>
      </c>
      <c r="BI209" s="50">
        <v>0</v>
      </c>
      <c r="BJ209" s="49">
        <v>0</v>
      </c>
      <c r="BK209" s="50">
        <v>0</v>
      </c>
      <c r="BL209" s="49">
        <v>28</v>
      </c>
      <c r="BM209" s="50">
        <v>100</v>
      </c>
      <c r="BN209" s="49">
        <v>28</v>
      </c>
    </row>
    <row r="210" spans="1:66" ht="15">
      <c r="A210" s="66" t="s">
        <v>284</v>
      </c>
      <c r="B210" s="66" t="s">
        <v>299</v>
      </c>
      <c r="C210" s="67" t="s">
        <v>2109</v>
      </c>
      <c r="D210" s="68">
        <v>10</v>
      </c>
      <c r="E210" s="69" t="s">
        <v>132</v>
      </c>
      <c r="F210" s="70">
        <v>10</v>
      </c>
      <c r="G210" s="67" t="s">
        <v>51</v>
      </c>
      <c r="H210" s="71"/>
      <c r="I210" s="72"/>
      <c r="J210" s="72"/>
      <c r="K210" s="35" t="s">
        <v>65</v>
      </c>
      <c r="L210" s="79">
        <v>210</v>
      </c>
      <c r="M210" s="79"/>
      <c r="N210" s="74"/>
      <c r="O210" s="90" t="s">
        <v>306</v>
      </c>
      <c r="P210" s="93">
        <v>44483.36280092593</v>
      </c>
      <c r="Q210" s="90" t="s">
        <v>2142</v>
      </c>
      <c r="R210" s="96" t="str">
        <f>HYPERLINK("https://twitter.com/HelsinkiGSE/status/1448530102837514240")</f>
        <v>https://twitter.com/HelsinkiGSE/status/1448530102837514240</v>
      </c>
      <c r="S210" s="90" t="s">
        <v>333</v>
      </c>
      <c r="T210" s="90"/>
      <c r="U210" s="90"/>
      <c r="V210" s="96" t="str">
        <f>HYPERLINK("https://pbs.twimg.com/profile_images/1164513934084399104/a04TakrA_normal.jpg")</f>
        <v>https://pbs.twimg.com/profile_images/1164513934084399104/a04TakrA_normal.jpg</v>
      </c>
      <c r="W210" s="93">
        <v>44483.36280092593</v>
      </c>
      <c r="X210" s="102">
        <v>44483</v>
      </c>
      <c r="Y210" s="99" t="s">
        <v>2170</v>
      </c>
      <c r="Z210" s="96" t="str">
        <f>HYPERLINK("https://twitter.com/aaltobiz/status/1448569876428300289")</f>
        <v>https://twitter.com/aaltobiz/status/1448569876428300289</v>
      </c>
      <c r="AA210" s="90"/>
      <c r="AB210" s="90"/>
      <c r="AC210" s="99" t="s">
        <v>2216</v>
      </c>
      <c r="AD210" s="90"/>
      <c r="AE210" s="90" t="b">
        <v>0</v>
      </c>
      <c r="AF210" s="90">
        <v>0</v>
      </c>
      <c r="AG210" s="99" t="s">
        <v>535</v>
      </c>
      <c r="AH210" s="90" t="b">
        <v>1</v>
      </c>
      <c r="AI210" s="90" t="s">
        <v>537</v>
      </c>
      <c r="AJ210" s="90"/>
      <c r="AK210" s="99" t="s">
        <v>526</v>
      </c>
      <c r="AL210" s="90" t="b">
        <v>0</v>
      </c>
      <c r="AM210" s="90">
        <v>6</v>
      </c>
      <c r="AN210" s="99" t="s">
        <v>2233</v>
      </c>
      <c r="AO210" s="99" t="s">
        <v>542</v>
      </c>
      <c r="AP210" s="90" t="b">
        <v>0</v>
      </c>
      <c r="AQ210" s="99" t="s">
        <v>2233</v>
      </c>
      <c r="AR210" s="90" t="s">
        <v>187</v>
      </c>
      <c r="AS210" s="90">
        <v>0</v>
      </c>
      <c r="AT210" s="90">
        <v>0</v>
      </c>
      <c r="AU210" s="90"/>
      <c r="AV210" s="90"/>
      <c r="AW210" s="90"/>
      <c r="AX210" s="90"/>
      <c r="AY210" s="90"/>
      <c r="AZ210" s="90"/>
      <c r="BA210" s="90"/>
      <c r="BB210" s="90"/>
      <c r="BC210" s="90">
        <v>3</v>
      </c>
      <c r="BD210" s="89" t="str">
        <f>REPLACE(INDEX(GroupVertices[Group],MATCH(Edges[[#This Row],[Vertex 1]],GroupVertices[Vertex],0)),1,1,"")</f>
        <v>2</v>
      </c>
      <c r="BE210" s="89" t="str">
        <f>REPLACE(INDEX(GroupVertices[Group],MATCH(Edges[[#This Row],[Vertex 2]],GroupVertices[Vertex],0)),1,1,"")</f>
        <v>1</v>
      </c>
      <c r="BF210" s="49"/>
      <c r="BG210" s="50"/>
      <c r="BH210" s="49"/>
      <c r="BI210" s="50"/>
      <c r="BJ210" s="49"/>
      <c r="BK210" s="50"/>
      <c r="BL210" s="49"/>
      <c r="BM210" s="50"/>
      <c r="BN210" s="49"/>
    </row>
    <row r="211" spans="1:66" ht="15">
      <c r="A211" s="66" t="s">
        <v>284</v>
      </c>
      <c r="B211" s="66" t="s">
        <v>302</v>
      </c>
      <c r="C211" s="67" t="s">
        <v>2109</v>
      </c>
      <c r="D211" s="68">
        <v>10</v>
      </c>
      <c r="E211" s="69" t="s">
        <v>132</v>
      </c>
      <c r="F211" s="70">
        <v>10</v>
      </c>
      <c r="G211" s="67" t="s">
        <v>51</v>
      </c>
      <c r="H211" s="71"/>
      <c r="I211" s="72"/>
      <c r="J211" s="72"/>
      <c r="K211" s="35" t="s">
        <v>65</v>
      </c>
      <c r="L211" s="79">
        <v>211</v>
      </c>
      <c r="M211" s="79"/>
      <c r="N211" s="74"/>
      <c r="O211" s="90" t="s">
        <v>306</v>
      </c>
      <c r="P211" s="93">
        <v>44483.36280092593</v>
      </c>
      <c r="Q211" s="90" t="s">
        <v>2142</v>
      </c>
      <c r="R211" s="96" t="str">
        <f>HYPERLINK("https://twitter.com/HelsinkiGSE/status/1448530102837514240")</f>
        <v>https://twitter.com/HelsinkiGSE/status/1448530102837514240</v>
      </c>
      <c r="S211" s="90" t="s">
        <v>333</v>
      </c>
      <c r="T211" s="90"/>
      <c r="U211" s="90"/>
      <c r="V211" s="96" t="str">
        <f>HYPERLINK("https://pbs.twimg.com/profile_images/1164513934084399104/a04TakrA_normal.jpg")</f>
        <v>https://pbs.twimg.com/profile_images/1164513934084399104/a04TakrA_normal.jpg</v>
      </c>
      <c r="W211" s="93">
        <v>44483.36280092593</v>
      </c>
      <c r="X211" s="102">
        <v>44483</v>
      </c>
      <c r="Y211" s="99" t="s">
        <v>2170</v>
      </c>
      <c r="Z211" s="96" t="str">
        <f>HYPERLINK("https://twitter.com/aaltobiz/status/1448569876428300289")</f>
        <v>https://twitter.com/aaltobiz/status/1448569876428300289</v>
      </c>
      <c r="AA211" s="90"/>
      <c r="AB211" s="90"/>
      <c r="AC211" s="99" t="s">
        <v>2216</v>
      </c>
      <c r="AD211" s="90"/>
      <c r="AE211" s="90" t="b">
        <v>0</v>
      </c>
      <c r="AF211" s="90">
        <v>0</v>
      </c>
      <c r="AG211" s="99" t="s">
        <v>535</v>
      </c>
      <c r="AH211" s="90" t="b">
        <v>1</v>
      </c>
      <c r="AI211" s="90" t="s">
        <v>537</v>
      </c>
      <c r="AJ211" s="90"/>
      <c r="AK211" s="99" t="s">
        <v>526</v>
      </c>
      <c r="AL211" s="90" t="b">
        <v>0</v>
      </c>
      <c r="AM211" s="90">
        <v>6</v>
      </c>
      <c r="AN211" s="99" t="s">
        <v>2233</v>
      </c>
      <c r="AO211" s="99" t="s">
        <v>542</v>
      </c>
      <c r="AP211" s="90" t="b">
        <v>0</v>
      </c>
      <c r="AQ211" s="99" t="s">
        <v>2233</v>
      </c>
      <c r="AR211" s="90" t="s">
        <v>187</v>
      </c>
      <c r="AS211" s="90">
        <v>0</v>
      </c>
      <c r="AT211" s="90">
        <v>0</v>
      </c>
      <c r="AU211" s="90"/>
      <c r="AV211" s="90"/>
      <c r="AW211" s="90"/>
      <c r="AX211" s="90"/>
      <c r="AY211" s="90"/>
      <c r="AZ211" s="90"/>
      <c r="BA211" s="90"/>
      <c r="BB211" s="90"/>
      <c r="BC211" s="90">
        <v>2</v>
      </c>
      <c r="BD211" s="89" t="str">
        <f>REPLACE(INDEX(GroupVertices[Group],MATCH(Edges[[#This Row],[Vertex 1]],GroupVertices[Vertex],0)),1,1,"")</f>
        <v>2</v>
      </c>
      <c r="BE211" s="89" t="str">
        <f>REPLACE(INDEX(GroupVertices[Group],MATCH(Edges[[#This Row],[Vertex 2]],GroupVertices[Vertex],0)),1,1,"")</f>
        <v>1</v>
      </c>
      <c r="BF211" s="49"/>
      <c r="BG211" s="50"/>
      <c r="BH211" s="49"/>
      <c r="BI211" s="50"/>
      <c r="BJ211" s="49"/>
      <c r="BK211" s="50"/>
      <c r="BL211" s="49"/>
      <c r="BM211" s="50"/>
      <c r="BN211" s="49"/>
    </row>
    <row r="212" spans="1:66" ht="15">
      <c r="A212" s="66" t="s">
        <v>284</v>
      </c>
      <c r="B212" s="66" t="s">
        <v>293</v>
      </c>
      <c r="C212" s="67" t="s">
        <v>2109</v>
      </c>
      <c r="D212" s="68">
        <v>10</v>
      </c>
      <c r="E212" s="69" t="s">
        <v>132</v>
      </c>
      <c r="F212" s="70">
        <v>10</v>
      </c>
      <c r="G212" s="67" t="s">
        <v>51</v>
      </c>
      <c r="H212" s="71"/>
      <c r="I212" s="72"/>
      <c r="J212" s="72"/>
      <c r="K212" s="35" t="s">
        <v>65</v>
      </c>
      <c r="L212" s="79">
        <v>212</v>
      </c>
      <c r="M212" s="79"/>
      <c r="N212" s="74"/>
      <c r="O212" s="90" t="s">
        <v>306</v>
      </c>
      <c r="P212" s="93">
        <v>44483.36280092593</v>
      </c>
      <c r="Q212" s="90" t="s">
        <v>2142</v>
      </c>
      <c r="R212" s="96" t="str">
        <f>HYPERLINK("https://twitter.com/HelsinkiGSE/status/1448530102837514240")</f>
        <v>https://twitter.com/HelsinkiGSE/status/1448530102837514240</v>
      </c>
      <c r="S212" s="90" t="s">
        <v>333</v>
      </c>
      <c r="T212" s="90"/>
      <c r="U212" s="90"/>
      <c r="V212" s="96" t="str">
        <f>HYPERLINK("https://pbs.twimg.com/profile_images/1164513934084399104/a04TakrA_normal.jpg")</f>
        <v>https://pbs.twimg.com/profile_images/1164513934084399104/a04TakrA_normal.jpg</v>
      </c>
      <c r="W212" s="93">
        <v>44483.36280092593</v>
      </c>
      <c r="X212" s="102">
        <v>44483</v>
      </c>
      <c r="Y212" s="99" t="s">
        <v>2170</v>
      </c>
      <c r="Z212" s="96" t="str">
        <f>HYPERLINK("https://twitter.com/aaltobiz/status/1448569876428300289")</f>
        <v>https://twitter.com/aaltobiz/status/1448569876428300289</v>
      </c>
      <c r="AA212" s="90"/>
      <c r="AB212" s="90"/>
      <c r="AC212" s="99" t="s">
        <v>2216</v>
      </c>
      <c r="AD212" s="90"/>
      <c r="AE212" s="90" t="b">
        <v>0</v>
      </c>
      <c r="AF212" s="90">
        <v>0</v>
      </c>
      <c r="AG212" s="99" t="s">
        <v>535</v>
      </c>
      <c r="AH212" s="90" t="b">
        <v>1</v>
      </c>
      <c r="AI212" s="90" t="s">
        <v>537</v>
      </c>
      <c r="AJ212" s="90"/>
      <c r="AK212" s="99" t="s">
        <v>526</v>
      </c>
      <c r="AL212" s="90" t="b">
        <v>0</v>
      </c>
      <c r="AM212" s="90">
        <v>6</v>
      </c>
      <c r="AN212" s="99" t="s">
        <v>2233</v>
      </c>
      <c r="AO212" s="99" t="s">
        <v>542</v>
      </c>
      <c r="AP212" s="90" t="b">
        <v>0</v>
      </c>
      <c r="AQ212" s="99" t="s">
        <v>2233</v>
      </c>
      <c r="AR212" s="90" t="s">
        <v>187</v>
      </c>
      <c r="AS212" s="90">
        <v>0</v>
      </c>
      <c r="AT212" s="90">
        <v>0</v>
      </c>
      <c r="AU212" s="90"/>
      <c r="AV212" s="90"/>
      <c r="AW212" s="90"/>
      <c r="AX212" s="90"/>
      <c r="AY212" s="90"/>
      <c r="AZ212" s="90"/>
      <c r="BA212" s="90"/>
      <c r="BB212" s="90"/>
      <c r="BC212" s="90">
        <v>3</v>
      </c>
      <c r="BD212" s="89" t="str">
        <f>REPLACE(INDEX(GroupVertices[Group],MATCH(Edges[[#This Row],[Vertex 1]],GroupVertices[Vertex],0)),1,1,"")</f>
        <v>2</v>
      </c>
      <c r="BE212" s="89" t="str">
        <f>REPLACE(INDEX(GroupVertices[Group],MATCH(Edges[[#This Row],[Vertex 2]],GroupVertices[Vertex],0)),1,1,"")</f>
        <v>3</v>
      </c>
      <c r="BF212" s="49"/>
      <c r="BG212" s="50"/>
      <c r="BH212" s="49"/>
      <c r="BI212" s="50"/>
      <c r="BJ212" s="49"/>
      <c r="BK212" s="50"/>
      <c r="BL212" s="49"/>
      <c r="BM212" s="50"/>
      <c r="BN212" s="49"/>
    </row>
    <row r="213" spans="1:66" ht="15">
      <c r="A213" s="66" t="s">
        <v>284</v>
      </c>
      <c r="B213" s="66" t="s">
        <v>2134</v>
      </c>
      <c r="C213" s="67" t="s">
        <v>2108</v>
      </c>
      <c r="D213" s="68">
        <v>1</v>
      </c>
      <c r="E213" s="69" t="s">
        <v>132</v>
      </c>
      <c r="F213" s="70">
        <v>32</v>
      </c>
      <c r="G213" s="67" t="s">
        <v>51</v>
      </c>
      <c r="H213" s="71"/>
      <c r="I213" s="72"/>
      <c r="J213" s="72"/>
      <c r="K213" s="35" t="s">
        <v>65</v>
      </c>
      <c r="L213" s="79">
        <v>213</v>
      </c>
      <c r="M213" s="79"/>
      <c r="N213" s="74"/>
      <c r="O213" s="90" t="s">
        <v>305</v>
      </c>
      <c r="P213" s="93">
        <v>44483.36280092593</v>
      </c>
      <c r="Q213" s="90" t="s">
        <v>2142</v>
      </c>
      <c r="R213" s="96" t="str">
        <f>HYPERLINK("https://twitter.com/HelsinkiGSE/status/1448530102837514240")</f>
        <v>https://twitter.com/HelsinkiGSE/status/1448530102837514240</v>
      </c>
      <c r="S213" s="90" t="s">
        <v>333</v>
      </c>
      <c r="T213" s="90"/>
      <c r="U213" s="90"/>
      <c r="V213" s="96" t="str">
        <f>HYPERLINK("https://pbs.twimg.com/profile_images/1164513934084399104/a04TakrA_normal.jpg")</f>
        <v>https://pbs.twimg.com/profile_images/1164513934084399104/a04TakrA_normal.jpg</v>
      </c>
      <c r="W213" s="93">
        <v>44483.36280092593</v>
      </c>
      <c r="X213" s="102">
        <v>44483</v>
      </c>
      <c r="Y213" s="99" t="s">
        <v>2170</v>
      </c>
      <c r="Z213" s="96" t="str">
        <f>HYPERLINK("https://twitter.com/aaltobiz/status/1448569876428300289")</f>
        <v>https://twitter.com/aaltobiz/status/1448569876428300289</v>
      </c>
      <c r="AA213" s="90"/>
      <c r="AB213" s="90"/>
      <c r="AC213" s="99" t="s">
        <v>2216</v>
      </c>
      <c r="AD213" s="90"/>
      <c r="AE213" s="90" t="b">
        <v>0</v>
      </c>
      <c r="AF213" s="90">
        <v>0</v>
      </c>
      <c r="AG213" s="99" t="s">
        <v>535</v>
      </c>
      <c r="AH213" s="90" t="b">
        <v>1</v>
      </c>
      <c r="AI213" s="90" t="s">
        <v>537</v>
      </c>
      <c r="AJ213" s="90"/>
      <c r="AK213" s="99" t="s">
        <v>526</v>
      </c>
      <c r="AL213" s="90" t="b">
        <v>0</v>
      </c>
      <c r="AM213" s="90">
        <v>6</v>
      </c>
      <c r="AN213" s="99" t="s">
        <v>2233</v>
      </c>
      <c r="AO213" s="99" t="s">
        <v>542</v>
      </c>
      <c r="AP213" s="90" t="b">
        <v>0</v>
      </c>
      <c r="AQ213" s="99" t="s">
        <v>2233</v>
      </c>
      <c r="AR213" s="90" t="s">
        <v>187</v>
      </c>
      <c r="AS213" s="90">
        <v>0</v>
      </c>
      <c r="AT213" s="90">
        <v>0</v>
      </c>
      <c r="AU213" s="90"/>
      <c r="AV213" s="90"/>
      <c r="AW213" s="90"/>
      <c r="AX213" s="90"/>
      <c r="AY213" s="90"/>
      <c r="AZ213" s="90"/>
      <c r="BA213" s="90"/>
      <c r="BB213" s="90"/>
      <c r="BC213" s="90">
        <v>1</v>
      </c>
      <c r="BD213" s="89" t="str">
        <f>REPLACE(INDEX(GroupVertices[Group],MATCH(Edges[[#This Row],[Vertex 1]],GroupVertices[Vertex],0)),1,1,"")</f>
        <v>2</v>
      </c>
      <c r="BE213" s="89"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6" t="s">
        <v>284</v>
      </c>
      <c r="B214" s="66" t="s">
        <v>252</v>
      </c>
      <c r="C214" s="67" t="s">
        <v>2108</v>
      </c>
      <c r="D214" s="68">
        <v>1</v>
      </c>
      <c r="E214" s="69" t="s">
        <v>132</v>
      </c>
      <c r="F214" s="70">
        <v>32</v>
      </c>
      <c r="G214" s="67" t="s">
        <v>51</v>
      </c>
      <c r="H214" s="71"/>
      <c r="I214" s="72"/>
      <c r="J214" s="72"/>
      <c r="K214" s="35" t="s">
        <v>65</v>
      </c>
      <c r="L214" s="79">
        <v>214</v>
      </c>
      <c r="M214" s="79"/>
      <c r="N214" s="74"/>
      <c r="O214" s="90" t="s">
        <v>306</v>
      </c>
      <c r="P214" s="93">
        <v>44483.363078703704</v>
      </c>
      <c r="Q214" s="90" t="s">
        <v>2140</v>
      </c>
      <c r="R214" s="96" t="str">
        <f>HYPERLINK("https://talouskurssi.fi")</f>
        <v>https://talouskurssi.fi</v>
      </c>
      <c r="S214" s="90" t="s">
        <v>334</v>
      </c>
      <c r="T214" s="90"/>
      <c r="U214" s="96" t="str">
        <f>HYPERLINK("https://pbs.twimg.com/media/FBpWom9XIAAjFw3.jpg")</f>
        <v>https://pbs.twimg.com/media/FBpWom9XIAAjFw3.jpg</v>
      </c>
      <c r="V214" s="96" t="str">
        <f>HYPERLINK("https://pbs.twimg.com/media/FBpWom9XIAAjFw3.jpg")</f>
        <v>https://pbs.twimg.com/media/FBpWom9XIAAjFw3.jpg</v>
      </c>
      <c r="W214" s="93">
        <v>44483.363078703704</v>
      </c>
      <c r="X214" s="102">
        <v>44483</v>
      </c>
      <c r="Y214" s="99" t="s">
        <v>2171</v>
      </c>
      <c r="Z214" s="96" t="str">
        <f>HYPERLINK("https://twitter.com/aaltobiz/status/1448569977515163649")</f>
        <v>https://twitter.com/aaltobiz/status/1448569977515163649</v>
      </c>
      <c r="AA214" s="90"/>
      <c r="AB214" s="90"/>
      <c r="AC214" s="99" t="s">
        <v>2217</v>
      </c>
      <c r="AD214" s="90"/>
      <c r="AE214" s="90" t="b">
        <v>0</v>
      </c>
      <c r="AF214" s="90">
        <v>0</v>
      </c>
      <c r="AG214" s="99" t="s">
        <v>535</v>
      </c>
      <c r="AH214" s="90" t="b">
        <v>0</v>
      </c>
      <c r="AI214" s="90" t="s">
        <v>537</v>
      </c>
      <c r="AJ214" s="90"/>
      <c r="AK214" s="99" t="s">
        <v>535</v>
      </c>
      <c r="AL214" s="90" t="b">
        <v>0</v>
      </c>
      <c r="AM214" s="90">
        <v>9</v>
      </c>
      <c r="AN214" s="99" t="s">
        <v>538</v>
      </c>
      <c r="AO214" s="99" t="s">
        <v>542</v>
      </c>
      <c r="AP214" s="90" t="b">
        <v>0</v>
      </c>
      <c r="AQ214" s="99" t="s">
        <v>538</v>
      </c>
      <c r="AR214" s="90" t="s">
        <v>187</v>
      </c>
      <c r="AS214" s="90">
        <v>0</v>
      </c>
      <c r="AT214" s="90">
        <v>0</v>
      </c>
      <c r="AU214" s="90"/>
      <c r="AV214" s="90"/>
      <c r="AW214" s="90"/>
      <c r="AX214" s="90"/>
      <c r="AY214" s="90"/>
      <c r="AZ214" s="90"/>
      <c r="BA214" s="90"/>
      <c r="BB214" s="90"/>
      <c r="BC214" s="90">
        <v>1</v>
      </c>
      <c r="BD214" s="89" t="str">
        <f>REPLACE(INDEX(GroupVertices[Group],MATCH(Edges[[#This Row],[Vertex 1]],GroupVertices[Vertex],0)),1,1,"")</f>
        <v>2</v>
      </c>
      <c r="BE214" s="89" t="str">
        <f>REPLACE(INDEX(GroupVertices[Group],MATCH(Edges[[#This Row],[Vertex 2]],GroupVertices[Vertex],0)),1,1,"")</f>
        <v>2</v>
      </c>
      <c r="BF214" s="49"/>
      <c r="BG214" s="50"/>
      <c r="BH214" s="49"/>
      <c r="BI214" s="50"/>
      <c r="BJ214" s="49"/>
      <c r="BK214" s="50"/>
      <c r="BL214" s="49"/>
      <c r="BM214" s="50"/>
      <c r="BN214" s="49"/>
    </row>
    <row r="215" spans="1:66" ht="15">
      <c r="A215" s="66" t="s">
        <v>284</v>
      </c>
      <c r="B215" s="66" t="s">
        <v>295</v>
      </c>
      <c r="C215" s="67" t="s">
        <v>2109</v>
      </c>
      <c r="D215" s="68">
        <v>10</v>
      </c>
      <c r="E215" s="69" t="s">
        <v>132</v>
      </c>
      <c r="F215" s="70">
        <v>10</v>
      </c>
      <c r="G215" s="67" t="s">
        <v>51</v>
      </c>
      <c r="H215" s="71"/>
      <c r="I215" s="72"/>
      <c r="J215" s="72"/>
      <c r="K215" s="35" t="s">
        <v>65</v>
      </c>
      <c r="L215" s="79">
        <v>215</v>
      </c>
      <c r="M215" s="79"/>
      <c r="N215" s="74"/>
      <c r="O215" s="90" t="s">
        <v>306</v>
      </c>
      <c r="P215" s="93">
        <v>44483.363078703704</v>
      </c>
      <c r="Q215" s="90" t="s">
        <v>2140</v>
      </c>
      <c r="R215" s="96" t="str">
        <f>HYPERLINK("https://talouskurssi.fi")</f>
        <v>https://talouskurssi.fi</v>
      </c>
      <c r="S215" s="90" t="s">
        <v>334</v>
      </c>
      <c r="T215" s="90"/>
      <c r="U215" s="96" t="str">
        <f>HYPERLINK("https://pbs.twimg.com/media/FBpWom9XIAAjFw3.jpg")</f>
        <v>https://pbs.twimg.com/media/FBpWom9XIAAjFw3.jpg</v>
      </c>
      <c r="V215" s="96" t="str">
        <f>HYPERLINK("https://pbs.twimg.com/media/FBpWom9XIAAjFw3.jpg")</f>
        <v>https://pbs.twimg.com/media/FBpWom9XIAAjFw3.jpg</v>
      </c>
      <c r="W215" s="93">
        <v>44483.363078703704</v>
      </c>
      <c r="X215" s="102">
        <v>44483</v>
      </c>
      <c r="Y215" s="99" t="s">
        <v>2171</v>
      </c>
      <c r="Z215" s="96" t="str">
        <f>HYPERLINK("https://twitter.com/aaltobiz/status/1448569977515163649")</f>
        <v>https://twitter.com/aaltobiz/status/1448569977515163649</v>
      </c>
      <c r="AA215" s="90"/>
      <c r="AB215" s="90"/>
      <c r="AC215" s="99" t="s">
        <v>2217</v>
      </c>
      <c r="AD215" s="90"/>
      <c r="AE215" s="90" t="b">
        <v>0</v>
      </c>
      <c r="AF215" s="90">
        <v>0</v>
      </c>
      <c r="AG215" s="99" t="s">
        <v>535</v>
      </c>
      <c r="AH215" s="90" t="b">
        <v>0</v>
      </c>
      <c r="AI215" s="90" t="s">
        <v>537</v>
      </c>
      <c r="AJ215" s="90"/>
      <c r="AK215" s="99" t="s">
        <v>535</v>
      </c>
      <c r="AL215" s="90" t="b">
        <v>0</v>
      </c>
      <c r="AM215" s="90">
        <v>9</v>
      </c>
      <c r="AN215" s="99" t="s">
        <v>538</v>
      </c>
      <c r="AO215" s="99" t="s">
        <v>542</v>
      </c>
      <c r="AP215" s="90" t="b">
        <v>0</v>
      </c>
      <c r="AQ215" s="99" t="s">
        <v>538</v>
      </c>
      <c r="AR215" s="90" t="s">
        <v>187</v>
      </c>
      <c r="AS215" s="90">
        <v>0</v>
      </c>
      <c r="AT215" s="90">
        <v>0</v>
      </c>
      <c r="AU215" s="90"/>
      <c r="AV215" s="90"/>
      <c r="AW215" s="90"/>
      <c r="AX215" s="90"/>
      <c r="AY215" s="90"/>
      <c r="AZ215" s="90"/>
      <c r="BA215" s="90"/>
      <c r="BB215" s="90"/>
      <c r="BC215" s="90">
        <v>2</v>
      </c>
      <c r="BD215" s="89" t="str">
        <f>REPLACE(INDEX(GroupVertices[Group],MATCH(Edges[[#This Row],[Vertex 1]],GroupVertices[Vertex],0)),1,1,"")</f>
        <v>2</v>
      </c>
      <c r="BE215" s="89" t="str">
        <f>REPLACE(INDEX(GroupVertices[Group],MATCH(Edges[[#This Row],[Vertex 2]],GroupVertices[Vertex],0)),1,1,"")</f>
        <v>2</v>
      </c>
      <c r="BF215" s="49"/>
      <c r="BG215" s="50"/>
      <c r="BH215" s="49"/>
      <c r="BI215" s="50"/>
      <c r="BJ215" s="49"/>
      <c r="BK215" s="50"/>
      <c r="BL215" s="49"/>
      <c r="BM215" s="50"/>
      <c r="BN215" s="49"/>
    </row>
    <row r="216" spans="1:66" ht="15">
      <c r="A216" s="66" t="s">
        <v>284</v>
      </c>
      <c r="B216" s="66" t="s">
        <v>260</v>
      </c>
      <c r="C216" s="67" t="s">
        <v>2109</v>
      </c>
      <c r="D216" s="68">
        <v>10</v>
      </c>
      <c r="E216" s="69" t="s">
        <v>132</v>
      </c>
      <c r="F216" s="70">
        <v>10</v>
      </c>
      <c r="G216" s="67" t="s">
        <v>51</v>
      </c>
      <c r="H216" s="71"/>
      <c r="I216" s="72"/>
      <c r="J216" s="72"/>
      <c r="K216" s="35" t="s">
        <v>65</v>
      </c>
      <c r="L216" s="79">
        <v>216</v>
      </c>
      <c r="M216" s="79"/>
      <c r="N216" s="74"/>
      <c r="O216" s="90" t="s">
        <v>306</v>
      </c>
      <c r="P216" s="93">
        <v>44483.363078703704</v>
      </c>
      <c r="Q216" s="90" t="s">
        <v>2140</v>
      </c>
      <c r="R216" s="96" t="str">
        <f>HYPERLINK("https://talouskurssi.fi")</f>
        <v>https://talouskurssi.fi</v>
      </c>
      <c r="S216" s="90" t="s">
        <v>334</v>
      </c>
      <c r="T216" s="90"/>
      <c r="U216" s="96" t="str">
        <f>HYPERLINK("https://pbs.twimg.com/media/FBpWom9XIAAjFw3.jpg")</f>
        <v>https://pbs.twimg.com/media/FBpWom9XIAAjFw3.jpg</v>
      </c>
      <c r="V216" s="96" t="str">
        <f>HYPERLINK("https://pbs.twimg.com/media/FBpWom9XIAAjFw3.jpg")</f>
        <v>https://pbs.twimg.com/media/FBpWom9XIAAjFw3.jpg</v>
      </c>
      <c r="W216" s="93">
        <v>44483.363078703704</v>
      </c>
      <c r="X216" s="102">
        <v>44483</v>
      </c>
      <c r="Y216" s="99" t="s">
        <v>2171</v>
      </c>
      <c r="Z216" s="96" t="str">
        <f>HYPERLINK("https://twitter.com/aaltobiz/status/1448569977515163649")</f>
        <v>https://twitter.com/aaltobiz/status/1448569977515163649</v>
      </c>
      <c r="AA216" s="90"/>
      <c r="AB216" s="90"/>
      <c r="AC216" s="99" t="s">
        <v>2217</v>
      </c>
      <c r="AD216" s="90"/>
      <c r="AE216" s="90" t="b">
        <v>0</v>
      </c>
      <c r="AF216" s="90">
        <v>0</v>
      </c>
      <c r="AG216" s="99" t="s">
        <v>535</v>
      </c>
      <c r="AH216" s="90" t="b">
        <v>0</v>
      </c>
      <c r="AI216" s="90" t="s">
        <v>537</v>
      </c>
      <c r="AJ216" s="90"/>
      <c r="AK216" s="99" t="s">
        <v>535</v>
      </c>
      <c r="AL216" s="90" t="b">
        <v>0</v>
      </c>
      <c r="AM216" s="90">
        <v>9</v>
      </c>
      <c r="AN216" s="99" t="s">
        <v>538</v>
      </c>
      <c r="AO216" s="99" t="s">
        <v>542</v>
      </c>
      <c r="AP216" s="90" t="b">
        <v>0</v>
      </c>
      <c r="AQ216" s="99" t="s">
        <v>538</v>
      </c>
      <c r="AR216" s="90" t="s">
        <v>187</v>
      </c>
      <c r="AS216" s="90">
        <v>0</v>
      </c>
      <c r="AT216" s="90">
        <v>0</v>
      </c>
      <c r="AU216" s="90"/>
      <c r="AV216" s="90"/>
      <c r="AW216" s="90"/>
      <c r="AX216" s="90"/>
      <c r="AY216" s="90"/>
      <c r="AZ216" s="90"/>
      <c r="BA216" s="90"/>
      <c r="BB216" s="90"/>
      <c r="BC216" s="90">
        <v>2</v>
      </c>
      <c r="BD216" s="89" t="str">
        <f>REPLACE(INDEX(GroupVertices[Group],MATCH(Edges[[#This Row],[Vertex 1]],GroupVertices[Vertex],0)),1,1,"")</f>
        <v>2</v>
      </c>
      <c r="BE216" s="89" t="str">
        <f>REPLACE(INDEX(GroupVertices[Group],MATCH(Edges[[#This Row],[Vertex 2]],GroupVertices[Vertex],0)),1,1,"")</f>
        <v>2</v>
      </c>
      <c r="BF216" s="49"/>
      <c r="BG216" s="50"/>
      <c r="BH216" s="49"/>
      <c r="BI216" s="50"/>
      <c r="BJ216" s="49"/>
      <c r="BK216" s="50"/>
      <c r="BL216" s="49"/>
      <c r="BM216" s="50"/>
      <c r="BN216" s="49"/>
    </row>
    <row r="217" spans="1:66" ht="15">
      <c r="A217" s="66" t="s">
        <v>284</v>
      </c>
      <c r="B217" s="66" t="s">
        <v>293</v>
      </c>
      <c r="C217" s="67" t="s">
        <v>2109</v>
      </c>
      <c r="D217" s="68">
        <v>10</v>
      </c>
      <c r="E217" s="69" t="s">
        <v>132</v>
      </c>
      <c r="F217" s="70">
        <v>10</v>
      </c>
      <c r="G217" s="67" t="s">
        <v>51</v>
      </c>
      <c r="H217" s="71"/>
      <c r="I217" s="72"/>
      <c r="J217" s="72"/>
      <c r="K217" s="35" t="s">
        <v>65</v>
      </c>
      <c r="L217" s="79">
        <v>217</v>
      </c>
      <c r="M217" s="79"/>
      <c r="N217" s="74"/>
      <c r="O217" s="90" t="s">
        <v>306</v>
      </c>
      <c r="P217" s="93">
        <v>44483.363078703704</v>
      </c>
      <c r="Q217" s="90" t="s">
        <v>2140</v>
      </c>
      <c r="R217" s="96" t="str">
        <f>HYPERLINK("https://talouskurssi.fi")</f>
        <v>https://talouskurssi.fi</v>
      </c>
      <c r="S217" s="90" t="s">
        <v>334</v>
      </c>
      <c r="T217" s="90"/>
      <c r="U217" s="96" t="str">
        <f>HYPERLINK("https://pbs.twimg.com/media/FBpWom9XIAAjFw3.jpg")</f>
        <v>https://pbs.twimg.com/media/FBpWom9XIAAjFw3.jpg</v>
      </c>
      <c r="V217" s="96" t="str">
        <f>HYPERLINK("https://pbs.twimg.com/media/FBpWom9XIAAjFw3.jpg")</f>
        <v>https://pbs.twimg.com/media/FBpWom9XIAAjFw3.jpg</v>
      </c>
      <c r="W217" s="93">
        <v>44483.363078703704</v>
      </c>
      <c r="X217" s="102">
        <v>44483</v>
      </c>
      <c r="Y217" s="99" t="s">
        <v>2171</v>
      </c>
      <c r="Z217" s="96" t="str">
        <f>HYPERLINK("https://twitter.com/aaltobiz/status/1448569977515163649")</f>
        <v>https://twitter.com/aaltobiz/status/1448569977515163649</v>
      </c>
      <c r="AA217" s="90"/>
      <c r="AB217" s="90"/>
      <c r="AC217" s="99" t="s">
        <v>2217</v>
      </c>
      <c r="AD217" s="90"/>
      <c r="AE217" s="90" t="b">
        <v>0</v>
      </c>
      <c r="AF217" s="90">
        <v>0</v>
      </c>
      <c r="AG217" s="99" t="s">
        <v>535</v>
      </c>
      <c r="AH217" s="90" t="b">
        <v>0</v>
      </c>
      <c r="AI217" s="90" t="s">
        <v>537</v>
      </c>
      <c r="AJ217" s="90"/>
      <c r="AK217" s="99" t="s">
        <v>535</v>
      </c>
      <c r="AL217" s="90" t="b">
        <v>0</v>
      </c>
      <c r="AM217" s="90">
        <v>9</v>
      </c>
      <c r="AN217" s="99" t="s">
        <v>538</v>
      </c>
      <c r="AO217" s="99" t="s">
        <v>542</v>
      </c>
      <c r="AP217" s="90" t="b">
        <v>0</v>
      </c>
      <c r="AQ217" s="99" t="s">
        <v>538</v>
      </c>
      <c r="AR217" s="90" t="s">
        <v>187</v>
      </c>
      <c r="AS217" s="90">
        <v>0</v>
      </c>
      <c r="AT217" s="90">
        <v>0</v>
      </c>
      <c r="AU217" s="90"/>
      <c r="AV217" s="90"/>
      <c r="AW217" s="90"/>
      <c r="AX217" s="90"/>
      <c r="AY217" s="90"/>
      <c r="AZ217" s="90"/>
      <c r="BA217" s="90"/>
      <c r="BB217" s="90"/>
      <c r="BC217" s="90">
        <v>3</v>
      </c>
      <c r="BD217" s="89" t="str">
        <f>REPLACE(INDEX(GroupVertices[Group],MATCH(Edges[[#This Row],[Vertex 1]],GroupVertices[Vertex],0)),1,1,"")</f>
        <v>2</v>
      </c>
      <c r="BE217" s="89" t="str">
        <f>REPLACE(INDEX(GroupVertices[Group],MATCH(Edges[[#This Row],[Vertex 2]],GroupVertices[Vertex],0)),1,1,"")</f>
        <v>3</v>
      </c>
      <c r="BF217" s="49"/>
      <c r="BG217" s="50"/>
      <c r="BH217" s="49"/>
      <c r="BI217" s="50"/>
      <c r="BJ217" s="49"/>
      <c r="BK217" s="50"/>
      <c r="BL217" s="49"/>
      <c r="BM217" s="50"/>
      <c r="BN217" s="49"/>
    </row>
    <row r="218" spans="1:66" ht="15">
      <c r="A218" s="66" t="s">
        <v>284</v>
      </c>
      <c r="B218" s="66" t="s">
        <v>250</v>
      </c>
      <c r="C218" s="67" t="s">
        <v>2108</v>
      </c>
      <c r="D218" s="68">
        <v>1</v>
      </c>
      <c r="E218" s="69" t="s">
        <v>132</v>
      </c>
      <c r="F218" s="70">
        <v>32</v>
      </c>
      <c r="G218" s="67" t="s">
        <v>51</v>
      </c>
      <c r="H218" s="71"/>
      <c r="I218" s="72"/>
      <c r="J218" s="72"/>
      <c r="K218" s="35" t="s">
        <v>65</v>
      </c>
      <c r="L218" s="79">
        <v>218</v>
      </c>
      <c r="M218" s="79"/>
      <c r="N218" s="74"/>
      <c r="O218" s="90" t="s">
        <v>305</v>
      </c>
      <c r="P218" s="93">
        <v>44483.363078703704</v>
      </c>
      <c r="Q218" s="90" t="s">
        <v>2140</v>
      </c>
      <c r="R218" s="96" t="str">
        <f>HYPERLINK("https://talouskurssi.fi")</f>
        <v>https://talouskurssi.fi</v>
      </c>
      <c r="S218" s="90" t="s">
        <v>334</v>
      </c>
      <c r="T218" s="90"/>
      <c r="U218" s="96" t="str">
        <f>HYPERLINK("https://pbs.twimg.com/media/FBpWom9XIAAjFw3.jpg")</f>
        <v>https://pbs.twimg.com/media/FBpWom9XIAAjFw3.jpg</v>
      </c>
      <c r="V218" s="96" t="str">
        <f>HYPERLINK("https://pbs.twimg.com/media/FBpWom9XIAAjFw3.jpg")</f>
        <v>https://pbs.twimg.com/media/FBpWom9XIAAjFw3.jpg</v>
      </c>
      <c r="W218" s="93">
        <v>44483.363078703704</v>
      </c>
      <c r="X218" s="102">
        <v>44483</v>
      </c>
      <c r="Y218" s="99" t="s">
        <v>2171</v>
      </c>
      <c r="Z218" s="96" t="str">
        <f>HYPERLINK("https://twitter.com/aaltobiz/status/1448569977515163649")</f>
        <v>https://twitter.com/aaltobiz/status/1448569977515163649</v>
      </c>
      <c r="AA218" s="90"/>
      <c r="AB218" s="90"/>
      <c r="AC218" s="99" t="s">
        <v>2217</v>
      </c>
      <c r="AD218" s="90"/>
      <c r="AE218" s="90" t="b">
        <v>0</v>
      </c>
      <c r="AF218" s="90">
        <v>0</v>
      </c>
      <c r="AG218" s="99" t="s">
        <v>535</v>
      </c>
      <c r="AH218" s="90" t="b">
        <v>0</v>
      </c>
      <c r="AI218" s="90" t="s">
        <v>537</v>
      </c>
      <c r="AJ218" s="90"/>
      <c r="AK218" s="99" t="s">
        <v>535</v>
      </c>
      <c r="AL218" s="90" t="b">
        <v>0</v>
      </c>
      <c r="AM218" s="90">
        <v>9</v>
      </c>
      <c r="AN218" s="99" t="s">
        <v>538</v>
      </c>
      <c r="AO218" s="99" t="s">
        <v>542</v>
      </c>
      <c r="AP218" s="90" t="b">
        <v>0</v>
      </c>
      <c r="AQ218" s="99" t="s">
        <v>538</v>
      </c>
      <c r="AR218" s="90" t="s">
        <v>187</v>
      </c>
      <c r="AS218" s="90">
        <v>0</v>
      </c>
      <c r="AT218" s="90">
        <v>0</v>
      </c>
      <c r="AU218" s="90"/>
      <c r="AV218" s="90"/>
      <c r="AW218" s="90"/>
      <c r="AX218" s="90"/>
      <c r="AY218" s="90"/>
      <c r="AZ218" s="90"/>
      <c r="BA218" s="90"/>
      <c r="BB218" s="90"/>
      <c r="BC218" s="90">
        <v>1</v>
      </c>
      <c r="BD218" s="89" t="str">
        <f>REPLACE(INDEX(GroupVertices[Group],MATCH(Edges[[#This Row],[Vertex 1]],GroupVertices[Vertex],0)),1,1,"")</f>
        <v>2</v>
      </c>
      <c r="BE218" s="89" t="str">
        <f>REPLACE(INDEX(GroupVertices[Group],MATCH(Edges[[#This Row],[Vertex 2]],GroupVertices[Vertex],0)),1,1,"")</f>
        <v>2</v>
      </c>
      <c r="BF218" s="49">
        <v>0</v>
      </c>
      <c r="BG218" s="50">
        <v>0</v>
      </c>
      <c r="BH218" s="49">
        <v>0</v>
      </c>
      <c r="BI218" s="50">
        <v>0</v>
      </c>
      <c r="BJ218" s="49">
        <v>0</v>
      </c>
      <c r="BK218" s="50">
        <v>0</v>
      </c>
      <c r="BL218" s="49">
        <v>32</v>
      </c>
      <c r="BM218" s="50">
        <v>100</v>
      </c>
      <c r="BN218" s="49">
        <v>32</v>
      </c>
    </row>
    <row r="219" spans="1:66" ht="15">
      <c r="A219" s="66" t="s">
        <v>284</v>
      </c>
      <c r="B219" s="66" t="s">
        <v>303</v>
      </c>
      <c r="C219" s="67" t="s">
        <v>2108</v>
      </c>
      <c r="D219" s="68">
        <v>1</v>
      </c>
      <c r="E219" s="69" t="s">
        <v>132</v>
      </c>
      <c r="F219" s="70">
        <v>32</v>
      </c>
      <c r="G219" s="67" t="s">
        <v>51</v>
      </c>
      <c r="H219" s="71"/>
      <c r="I219" s="72"/>
      <c r="J219" s="72"/>
      <c r="K219" s="35" t="s">
        <v>65</v>
      </c>
      <c r="L219" s="79">
        <v>219</v>
      </c>
      <c r="M219" s="79"/>
      <c r="N219" s="74"/>
      <c r="O219" s="90" t="s">
        <v>306</v>
      </c>
      <c r="P219" s="93">
        <v>44483.37744212963</v>
      </c>
      <c r="Q219" s="90" t="s">
        <v>314</v>
      </c>
      <c r="R219" s="90"/>
      <c r="S219" s="90"/>
      <c r="T219" s="99" t="s">
        <v>338</v>
      </c>
      <c r="U219" s="96" t="str">
        <f>HYPERLINK("https://pbs.twimg.com/media/FBpVUeuWUAAiBrw.jpg")</f>
        <v>https://pbs.twimg.com/media/FBpVUeuWUAAiBrw.jpg</v>
      </c>
      <c r="V219" s="96" t="str">
        <f>HYPERLINK("https://pbs.twimg.com/media/FBpVUeuWUAAiBrw.jpg")</f>
        <v>https://pbs.twimg.com/media/FBpVUeuWUAAiBrw.jpg</v>
      </c>
      <c r="W219" s="93">
        <v>44483.37744212963</v>
      </c>
      <c r="X219" s="102">
        <v>44483</v>
      </c>
      <c r="Y219" s="99" t="s">
        <v>408</v>
      </c>
      <c r="Z219" s="96" t="str">
        <f>HYPERLINK("https://twitter.com/aaltobiz/status/1448575183573430272")</f>
        <v>https://twitter.com/aaltobiz/status/1448575183573430272</v>
      </c>
      <c r="AA219" s="90"/>
      <c r="AB219" s="90"/>
      <c r="AC219" s="99" t="s">
        <v>502</v>
      </c>
      <c r="AD219" s="90"/>
      <c r="AE219" s="90" t="b">
        <v>0</v>
      </c>
      <c r="AF219" s="90">
        <v>0</v>
      </c>
      <c r="AG219" s="99" t="s">
        <v>535</v>
      </c>
      <c r="AH219" s="90" t="b">
        <v>0</v>
      </c>
      <c r="AI219" s="90" t="s">
        <v>537</v>
      </c>
      <c r="AJ219" s="90"/>
      <c r="AK219" s="99" t="s">
        <v>535</v>
      </c>
      <c r="AL219" s="90" t="b">
        <v>0</v>
      </c>
      <c r="AM219" s="90">
        <v>5</v>
      </c>
      <c r="AN219" s="99" t="s">
        <v>517</v>
      </c>
      <c r="AO219" s="99" t="s">
        <v>542</v>
      </c>
      <c r="AP219" s="90" t="b">
        <v>0</v>
      </c>
      <c r="AQ219" s="99" t="s">
        <v>517</v>
      </c>
      <c r="AR219" s="90" t="s">
        <v>187</v>
      </c>
      <c r="AS219" s="90">
        <v>0</v>
      </c>
      <c r="AT219" s="90">
        <v>0</v>
      </c>
      <c r="AU219" s="90"/>
      <c r="AV219" s="90"/>
      <c r="AW219" s="90"/>
      <c r="AX219" s="90"/>
      <c r="AY219" s="90"/>
      <c r="AZ219" s="90"/>
      <c r="BA219" s="90"/>
      <c r="BB219" s="90"/>
      <c r="BC219" s="90">
        <v>1</v>
      </c>
      <c r="BD219" s="89" t="str">
        <f>REPLACE(INDEX(GroupVertices[Group],MATCH(Edges[[#This Row],[Vertex 1]],GroupVertices[Vertex],0)),1,1,"")</f>
        <v>2</v>
      </c>
      <c r="BE219" s="89" t="str">
        <f>REPLACE(INDEX(GroupVertices[Group],MATCH(Edges[[#This Row],[Vertex 2]],GroupVertices[Vertex],0)),1,1,"")</f>
        <v>3</v>
      </c>
      <c r="BF219" s="49"/>
      <c r="BG219" s="50"/>
      <c r="BH219" s="49"/>
      <c r="BI219" s="50"/>
      <c r="BJ219" s="49"/>
      <c r="BK219" s="50"/>
      <c r="BL219" s="49"/>
      <c r="BM219" s="50"/>
      <c r="BN219" s="49"/>
    </row>
    <row r="220" spans="1:66" ht="15">
      <c r="A220" s="66" t="s">
        <v>284</v>
      </c>
      <c r="B220" s="66" t="s">
        <v>293</v>
      </c>
      <c r="C220" s="67" t="s">
        <v>2109</v>
      </c>
      <c r="D220" s="68">
        <v>10</v>
      </c>
      <c r="E220" s="69" t="s">
        <v>132</v>
      </c>
      <c r="F220" s="70">
        <v>10</v>
      </c>
      <c r="G220" s="67" t="s">
        <v>51</v>
      </c>
      <c r="H220" s="71"/>
      <c r="I220" s="72"/>
      <c r="J220" s="72"/>
      <c r="K220" s="35" t="s">
        <v>65</v>
      </c>
      <c r="L220" s="79">
        <v>220</v>
      </c>
      <c r="M220" s="79"/>
      <c r="N220" s="74"/>
      <c r="O220" s="90" t="s">
        <v>305</v>
      </c>
      <c r="P220" s="93">
        <v>44483.37744212963</v>
      </c>
      <c r="Q220" s="90" t="s">
        <v>314</v>
      </c>
      <c r="R220" s="90"/>
      <c r="S220" s="90"/>
      <c r="T220" s="99" t="s">
        <v>338</v>
      </c>
      <c r="U220" s="96" t="str">
        <f>HYPERLINK("https://pbs.twimg.com/media/FBpVUeuWUAAiBrw.jpg")</f>
        <v>https://pbs.twimg.com/media/FBpVUeuWUAAiBrw.jpg</v>
      </c>
      <c r="V220" s="96" t="str">
        <f>HYPERLINK("https://pbs.twimg.com/media/FBpVUeuWUAAiBrw.jpg")</f>
        <v>https://pbs.twimg.com/media/FBpVUeuWUAAiBrw.jpg</v>
      </c>
      <c r="W220" s="93">
        <v>44483.37744212963</v>
      </c>
      <c r="X220" s="102">
        <v>44483</v>
      </c>
      <c r="Y220" s="99" t="s">
        <v>408</v>
      </c>
      <c r="Z220" s="96" t="str">
        <f>HYPERLINK("https://twitter.com/aaltobiz/status/1448575183573430272")</f>
        <v>https://twitter.com/aaltobiz/status/1448575183573430272</v>
      </c>
      <c r="AA220" s="90"/>
      <c r="AB220" s="90"/>
      <c r="AC220" s="99" t="s">
        <v>502</v>
      </c>
      <c r="AD220" s="90"/>
      <c r="AE220" s="90" t="b">
        <v>0</v>
      </c>
      <c r="AF220" s="90">
        <v>0</v>
      </c>
      <c r="AG220" s="99" t="s">
        <v>535</v>
      </c>
      <c r="AH220" s="90" t="b">
        <v>0</v>
      </c>
      <c r="AI220" s="90" t="s">
        <v>537</v>
      </c>
      <c r="AJ220" s="90"/>
      <c r="AK220" s="99" t="s">
        <v>535</v>
      </c>
      <c r="AL220" s="90" t="b">
        <v>0</v>
      </c>
      <c r="AM220" s="90">
        <v>5</v>
      </c>
      <c r="AN220" s="99" t="s">
        <v>517</v>
      </c>
      <c r="AO220" s="99" t="s">
        <v>542</v>
      </c>
      <c r="AP220" s="90" t="b">
        <v>0</v>
      </c>
      <c r="AQ220" s="99" t="s">
        <v>517</v>
      </c>
      <c r="AR220" s="90" t="s">
        <v>187</v>
      </c>
      <c r="AS220" s="90">
        <v>0</v>
      </c>
      <c r="AT220" s="90">
        <v>0</v>
      </c>
      <c r="AU220" s="90"/>
      <c r="AV220" s="90"/>
      <c r="AW220" s="90"/>
      <c r="AX220" s="90"/>
      <c r="AY220" s="90"/>
      <c r="AZ220" s="90"/>
      <c r="BA220" s="90"/>
      <c r="BB220" s="90"/>
      <c r="BC220" s="90">
        <v>3</v>
      </c>
      <c r="BD220" s="89" t="str">
        <f>REPLACE(INDEX(GroupVertices[Group],MATCH(Edges[[#This Row],[Vertex 1]],GroupVertices[Vertex],0)),1,1,"")</f>
        <v>2</v>
      </c>
      <c r="BE220" s="89" t="str">
        <f>REPLACE(INDEX(GroupVertices[Group],MATCH(Edges[[#This Row],[Vertex 2]],GroupVertices[Vertex],0)),1,1,"")</f>
        <v>3</v>
      </c>
      <c r="BF220" s="49">
        <v>0</v>
      </c>
      <c r="BG220" s="50">
        <v>0</v>
      </c>
      <c r="BH220" s="49">
        <v>0</v>
      </c>
      <c r="BI220" s="50">
        <v>0</v>
      </c>
      <c r="BJ220" s="49">
        <v>0</v>
      </c>
      <c r="BK220" s="50">
        <v>0</v>
      </c>
      <c r="BL220" s="49">
        <v>17</v>
      </c>
      <c r="BM220" s="50">
        <v>100</v>
      </c>
      <c r="BN220" s="49">
        <v>17</v>
      </c>
    </row>
    <row r="221" spans="1:66" ht="15">
      <c r="A221" s="66" t="s">
        <v>284</v>
      </c>
      <c r="B221" s="66" t="s">
        <v>293</v>
      </c>
      <c r="C221" s="67" t="s">
        <v>2109</v>
      </c>
      <c r="D221" s="68">
        <v>10</v>
      </c>
      <c r="E221" s="69" t="s">
        <v>132</v>
      </c>
      <c r="F221" s="70">
        <v>10</v>
      </c>
      <c r="G221" s="67" t="s">
        <v>51</v>
      </c>
      <c r="H221" s="71"/>
      <c r="I221" s="72"/>
      <c r="J221" s="72"/>
      <c r="K221" s="35" t="s">
        <v>65</v>
      </c>
      <c r="L221" s="79">
        <v>221</v>
      </c>
      <c r="M221" s="79"/>
      <c r="N221" s="74"/>
      <c r="O221" s="90" t="s">
        <v>305</v>
      </c>
      <c r="P221" s="93">
        <v>44483.532372685186</v>
      </c>
      <c r="Q221" s="90" t="s">
        <v>321</v>
      </c>
      <c r="R221" s="96" t="str">
        <f>HYPERLINK("https://talouskurssi.fi/")</f>
        <v>https://talouskurssi.fi/</v>
      </c>
      <c r="S221" s="90" t="s">
        <v>334</v>
      </c>
      <c r="T221" s="99" t="s">
        <v>338</v>
      </c>
      <c r="U221" s="96" t="str">
        <f>HYPERLINK("https://pbs.twimg.com/media/FBqLWBNXoAEkKJ2.jpg")</f>
        <v>https://pbs.twimg.com/media/FBqLWBNXoAEkKJ2.jpg</v>
      </c>
      <c r="V221" s="96" t="str">
        <f>HYPERLINK("https://pbs.twimg.com/media/FBqLWBNXoAEkKJ2.jpg")</f>
        <v>https://pbs.twimg.com/media/FBqLWBNXoAEkKJ2.jpg</v>
      </c>
      <c r="W221" s="93">
        <v>44483.532372685186</v>
      </c>
      <c r="X221" s="102">
        <v>44483</v>
      </c>
      <c r="Y221" s="99" t="s">
        <v>409</v>
      </c>
      <c r="Z221" s="96" t="str">
        <f>HYPERLINK("https://twitter.com/aaltobiz/status/1448631327348121602")</f>
        <v>https://twitter.com/aaltobiz/status/1448631327348121602</v>
      </c>
      <c r="AA221" s="90"/>
      <c r="AB221" s="90"/>
      <c r="AC221" s="99" t="s">
        <v>503</v>
      </c>
      <c r="AD221" s="90"/>
      <c r="AE221" s="90" t="b">
        <v>0</v>
      </c>
      <c r="AF221" s="90">
        <v>0</v>
      </c>
      <c r="AG221" s="99" t="s">
        <v>535</v>
      </c>
      <c r="AH221" s="90" t="b">
        <v>0</v>
      </c>
      <c r="AI221" s="90" t="s">
        <v>537</v>
      </c>
      <c r="AJ221" s="90"/>
      <c r="AK221" s="99" t="s">
        <v>535</v>
      </c>
      <c r="AL221" s="90" t="b">
        <v>0</v>
      </c>
      <c r="AM221" s="90">
        <v>2</v>
      </c>
      <c r="AN221" s="99" t="s">
        <v>528</v>
      </c>
      <c r="AO221" s="99" t="s">
        <v>542</v>
      </c>
      <c r="AP221" s="90" t="b">
        <v>0</v>
      </c>
      <c r="AQ221" s="99" t="s">
        <v>528</v>
      </c>
      <c r="AR221" s="90" t="s">
        <v>187</v>
      </c>
      <c r="AS221" s="90">
        <v>0</v>
      </c>
      <c r="AT221" s="90">
        <v>0</v>
      </c>
      <c r="AU221" s="90"/>
      <c r="AV221" s="90"/>
      <c r="AW221" s="90"/>
      <c r="AX221" s="90"/>
      <c r="AY221" s="90"/>
      <c r="AZ221" s="90"/>
      <c r="BA221" s="90"/>
      <c r="BB221" s="90"/>
      <c r="BC221" s="90">
        <v>3</v>
      </c>
      <c r="BD221" s="89" t="str">
        <f>REPLACE(INDEX(GroupVertices[Group],MATCH(Edges[[#This Row],[Vertex 1]],GroupVertices[Vertex],0)),1,1,"")</f>
        <v>2</v>
      </c>
      <c r="BE221" s="89" t="str">
        <f>REPLACE(INDEX(GroupVertices[Group],MATCH(Edges[[#This Row],[Vertex 2]],GroupVertices[Vertex],0)),1,1,"")</f>
        <v>3</v>
      </c>
      <c r="BF221" s="49">
        <v>0</v>
      </c>
      <c r="BG221" s="50">
        <v>0</v>
      </c>
      <c r="BH221" s="49">
        <v>0</v>
      </c>
      <c r="BI221" s="50">
        <v>0</v>
      </c>
      <c r="BJ221" s="49">
        <v>0</v>
      </c>
      <c r="BK221" s="50">
        <v>0</v>
      </c>
      <c r="BL221" s="49">
        <v>22</v>
      </c>
      <c r="BM221" s="50">
        <v>100</v>
      </c>
      <c r="BN221" s="49">
        <v>22</v>
      </c>
    </row>
    <row r="222" spans="1:66" ht="15">
      <c r="A222" s="66" t="s">
        <v>285</v>
      </c>
      <c r="B222" s="66" t="s">
        <v>299</v>
      </c>
      <c r="C222" s="67" t="s">
        <v>2108</v>
      </c>
      <c r="D222" s="68">
        <v>1</v>
      </c>
      <c r="E222" s="69" t="s">
        <v>132</v>
      </c>
      <c r="F222" s="70">
        <v>32</v>
      </c>
      <c r="G222" s="67" t="s">
        <v>51</v>
      </c>
      <c r="H222" s="71"/>
      <c r="I222" s="72"/>
      <c r="J222" s="72"/>
      <c r="K222" s="35" t="s">
        <v>65</v>
      </c>
      <c r="L222" s="79">
        <v>222</v>
      </c>
      <c r="M222" s="79"/>
      <c r="N222" s="74"/>
      <c r="O222" s="90" t="s">
        <v>306</v>
      </c>
      <c r="P222" s="93">
        <v>44483.53435185185</v>
      </c>
      <c r="Q222" s="90" t="s">
        <v>310</v>
      </c>
      <c r="R222" s="96" t="str">
        <f>HYPERLINK("https://talouskurssi.fi/")</f>
        <v>https://talouskurssi.fi/</v>
      </c>
      <c r="S222" s="90" t="s">
        <v>334</v>
      </c>
      <c r="T222" s="99" t="s">
        <v>338</v>
      </c>
      <c r="U222" s="96" t="str">
        <f>HYPERLINK("https://pbs.twimg.com/ext_tw_video_thumb/1448527896562348036/pu/img/0PqSbNMaXHvzKHCc.jpg")</f>
        <v>https://pbs.twimg.com/ext_tw_video_thumb/1448527896562348036/pu/img/0PqSbNMaXHvzKHCc.jpg</v>
      </c>
      <c r="V222" s="96" t="str">
        <f>HYPERLINK("https://pbs.twimg.com/ext_tw_video_thumb/1448527896562348036/pu/img/0PqSbNMaXHvzKHCc.jpg")</f>
        <v>https://pbs.twimg.com/ext_tw_video_thumb/1448527896562348036/pu/img/0PqSbNMaXHvzKHCc.jpg</v>
      </c>
      <c r="W222" s="93">
        <v>44483.53435185185</v>
      </c>
      <c r="X222" s="102">
        <v>44483</v>
      </c>
      <c r="Y222" s="99" t="s">
        <v>410</v>
      </c>
      <c r="Z222" s="96" t="str">
        <f>HYPERLINK("https://twitter.com/jmerilainen/status/1448632043282239488")</f>
        <v>https://twitter.com/jmerilainen/status/1448632043282239488</v>
      </c>
      <c r="AA222" s="90"/>
      <c r="AB222" s="90"/>
      <c r="AC222" s="99" t="s">
        <v>504</v>
      </c>
      <c r="AD222" s="90"/>
      <c r="AE222" s="90" t="b">
        <v>0</v>
      </c>
      <c r="AF222" s="90">
        <v>0</v>
      </c>
      <c r="AG222" s="99" t="s">
        <v>535</v>
      </c>
      <c r="AH222" s="90" t="b">
        <v>0</v>
      </c>
      <c r="AI222" s="90" t="s">
        <v>537</v>
      </c>
      <c r="AJ222" s="90"/>
      <c r="AK222" s="99" t="s">
        <v>535</v>
      </c>
      <c r="AL222" s="90" t="b">
        <v>0</v>
      </c>
      <c r="AM222" s="90">
        <v>52</v>
      </c>
      <c r="AN222" s="99" t="s">
        <v>526</v>
      </c>
      <c r="AO222" s="99" t="s">
        <v>543</v>
      </c>
      <c r="AP222" s="90" t="b">
        <v>0</v>
      </c>
      <c r="AQ222" s="99" t="s">
        <v>526</v>
      </c>
      <c r="AR222" s="90" t="s">
        <v>187</v>
      </c>
      <c r="AS222" s="90">
        <v>0</v>
      </c>
      <c r="AT222" s="90">
        <v>0</v>
      </c>
      <c r="AU222" s="90"/>
      <c r="AV222" s="90"/>
      <c r="AW222" s="90"/>
      <c r="AX222" s="90"/>
      <c r="AY222" s="90"/>
      <c r="AZ222" s="90"/>
      <c r="BA222" s="90"/>
      <c r="BB222" s="90"/>
      <c r="BC222" s="90">
        <v>1</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6" t="s">
        <v>285</v>
      </c>
      <c r="B223" s="66" t="s">
        <v>302</v>
      </c>
      <c r="C223" s="67" t="s">
        <v>2108</v>
      </c>
      <c r="D223" s="68">
        <v>1</v>
      </c>
      <c r="E223" s="69" t="s">
        <v>132</v>
      </c>
      <c r="F223" s="70">
        <v>32</v>
      </c>
      <c r="G223" s="67" t="s">
        <v>51</v>
      </c>
      <c r="H223" s="71"/>
      <c r="I223" s="72"/>
      <c r="J223" s="72"/>
      <c r="K223" s="35" t="s">
        <v>65</v>
      </c>
      <c r="L223" s="79">
        <v>223</v>
      </c>
      <c r="M223" s="79"/>
      <c r="N223" s="74"/>
      <c r="O223" s="90" t="s">
        <v>306</v>
      </c>
      <c r="P223" s="93">
        <v>44483.53435185185</v>
      </c>
      <c r="Q223" s="90" t="s">
        <v>310</v>
      </c>
      <c r="R223" s="96" t="str">
        <f>HYPERLINK("https://talouskurssi.fi/")</f>
        <v>https://talouskurssi.fi/</v>
      </c>
      <c r="S223" s="90" t="s">
        <v>334</v>
      </c>
      <c r="T223" s="99" t="s">
        <v>338</v>
      </c>
      <c r="U223" s="96" t="str">
        <f>HYPERLINK("https://pbs.twimg.com/ext_tw_video_thumb/1448527896562348036/pu/img/0PqSbNMaXHvzKHCc.jpg")</f>
        <v>https://pbs.twimg.com/ext_tw_video_thumb/1448527896562348036/pu/img/0PqSbNMaXHvzKHCc.jpg</v>
      </c>
      <c r="V223" s="96" t="str">
        <f>HYPERLINK("https://pbs.twimg.com/ext_tw_video_thumb/1448527896562348036/pu/img/0PqSbNMaXHvzKHCc.jpg")</f>
        <v>https://pbs.twimg.com/ext_tw_video_thumb/1448527896562348036/pu/img/0PqSbNMaXHvzKHCc.jpg</v>
      </c>
      <c r="W223" s="93">
        <v>44483.53435185185</v>
      </c>
      <c r="X223" s="102">
        <v>44483</v>
      </c>
      <c r="Y223" s="99" t="s">
        <v>410</v>
      </c>
      <c r="Z223" s="96" t="str">
        <f>HYPERLINK("https://twitter.com/jmerilainen/status/1448632043282239488")</f>
        <v>https://twitter.com/jmerilainen/status/1448632043282239488</v>
      </c>
      <c r="AA223" s="90"/>
      <c r="AB223" s="90"/>
      <c r="AC223" s="99" t="s">
        <v>504</v>
      </c>
      <c r="AD223" s="90"/>
      <c r="AE223" s="90" t="b">
        <v>0</v>
      </c>
      <c r="AF223" s="90">
        <v>0</v>
      </c>
      <c r="AG223" s="99" t="s">
        <v>535</v>
      </c>
      <c r="AH223" s="90" t="b">
        <v>0</v>
      </c>
      <c r="AI223" s="90" t="s">
        <v>537</v>
      </c>
      <c r="AJ223" s="90"/>
      <c r="AK223" s="99" t="s">
        <v>535</v>
      </c>
      <c r="AL223" s="90" t="b">
        <v>0</v>
      </c>
      <c r="AM223" s="90">
        <v>52</v>
      </c>
      <c r="AN223" s="99" t="s">
        <v>526</v>
      </c>
      <c r="AO223" s="99" t="s">
        <v>543</v>
      </c>
      <c r="AP223" s="90" t="b">
        <v>0</v>
      </c>
      <c r="AQ223" s="99" t="s">
        <v>526</v>
      </c>
      <c r="AR223" s="90" t="s">
        <v>187</v>
      </c>
      <c r="AS223" s="90">
        <v>0</v>
      </c>
      <c r="AT223" s="90">
        <v>0</v>
      </c>
      <c r="AU223" s="90"/>
      <c r="AV223" s="90"/>
      <c r="AW223" s="90"/>
      <c r="AX223" s="90"/>
      <c r="AY223" s="90"/>
      <c r="AZ223" s="90"/>
      <c r="BA223" s="90"/>
      <c r="BB223" s="90"/>
      <c r="BC223" s="90">
        <v>1</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6" t="s">
        <v>285</v>
      </c>
      <c r="B224" s="66" t="s">
        <v>293</v>
      </c>
      <c r="C224" s="67" t="s">
        <v>2108</v>
      </c>
      <c r="D224" s="68">
        <v>1</v>
      </c>
      <c r="E224" s="69" t="s">
        <v>132</v>
      </c>
      <c r="F224" s="70">
        <v>32</v>
      </c>
      <c r="G224" s="67" t="s">
        <v>51</v>
      </c>
      <c r="H224" s="71"/>
      <c r="I224" s="72"/>
      <c r="J224" s="72"/>
      <c r="K224" s="35" t="s">
        <v>65</v>
      </c>
      <c r="L224" s="79">
        <v>224</v>
      </c>
      <c r="M224" s="79"/>
      <c r="N224" s="74"/>
      <c r="O224" s="90" t="s">
        <v>305</v>
      </c>
      <c r="P224" s="93">
        <v>44483.53435185185</v>
      </c>
      <c r="Q224" s="90" t="s">
        <v>310</v>
      </c>
      <c r="R224" s="96" t="str">
        <f>HYPERLINK("https://talouskurssi.fi/")</f>
        <v>https://talouskurssi.fi/</v>
      </c>
      <c r="S224" s="90" t="s">
        <v>334</v>
      </c>
      <c r="T224" s="99" t="s">
        <v>338</v>
      </c>
      <c r="U224" s="96" t="str">
        <f>HYPERLINK("https://pbs.twimg.com/ext_tw_video_thumb/1448527896562348036/pu/img/0PqSbNMaXHvzKHCc.jpg")</f>
        <v>https://pbs.twimg.com/ext_tw_video_thumb/1448527896562348036/pu/img/0PqSbNMaXHvzKHCc.jpg</v>
      </c>
      <c r="V224" s="96" t="str">
        <f>HYPERLINK("https://pbs.twimg.com/ext_tw_video_thumb/1448527896562348036/pu/img/0PqSbNMaXHvzKHCc.jpg")</f>
        <v>https://pbs.twimg.com/ext_tw_video_thumb/1448527896562348036/pu/img/0PqSbNMaXHvzKHCc.jpg</v>
      </c>
      <c r="W224" s="93">
        <v>44483.53435185185</v>
      </c>
      <c r="X224" s="102">
        <v>44483</v>
      </c>
      <c r="Y224" s="99" t="s">
        <v>410</v>
      </c>
      <c r="Z224" s="96" t="str">
        <f>HYPERLINK("https://twitter.com/jmerilainen/status/1448632043282239488")</f>
        <v>https://twitter.com/jmerilainen/status/1448632043282239488</v>
      </c>
      <c r="AA224" s="90"/>
      <c r="AB224" s="90"/>
      <c r="AC224" s="99" t="s">
        <v>504</v>
      </c>
      <c r="AD224" s="90"/>
      <c r="AE224" s="90" t="b">
        <v>0</v>
      </c>
      <c r="AF224" s="90">
        <v>0</v>
      </c>
      <c r="AG224" s="99" t="s">
        <v>535</v>
      </c>
      <c r="AH224" s="90" t="b">
        <v>0</v>
      </c>
      <c r="AI224" s="90" t="s">
        <v>537</v>
      </c>
      <c r="AJ224" s="90"/>
      <c r="AK224" s="99" t="s">
        <v>535</v>
      </c>
      <c r="AL224" s="90" t="b">
        <v>0</v>
      </c>
      <c r="AM224" s="90">
        <v>52</v>
      </c>
      <c r="AN224" s="99" t="s">
        <v>526</v>
      </c>
      <c r="AO224" s="99" t="s">
        <v>543</v>
      </c>
      <c r="AP224" s="90" t="b">
        <v>0</v>
      </c>
      <c r="AQ224" s="99" t="s">
        <v>526</v>
      </c>
      <c r="AR224" s="90" t="s">
        <v>187</v>
      </c>
      <c r="AS224" s="90">
        <v>0</v>
      </c>
      <c r="AT224" s="90">
        <v>0</v>
      </c>
      <c r="AU224" s="90"/>
      <c r="AV224" s="90"/>
      <c r="AW224" s="90"/>
      <c r="AX224" s="90"/>
      <c r="AY224" s="90"/>
      <c r="AZ224" s="90"/>
      <c r="BA224" s="90"/>
      <c r="BB224" s="90"/>
      <c r="BC224" s="90">
        <v>1</v>
      </c>
      <c r="BD224" s="89" t="str">
        <f>REPLACE(INDEX(GroupVertices[Group],MATCH(Edges[[#This Row],[Vertex 1]],GroupVertices[Vertex],0)),1,1,"")</f>
        <v>1</v>
      </c>
      <c r="BE224" s="89" t="str">
        <f>REPLACE(INDEX(GroupVertices[Group],MATCH(Edges[[#This Row],[Vertex 2]],GroupVertices[Vertex],0)),1,1,"")</f>
        <v>3</v>
      </c>
      <c r="BF224" s="49">
        <v>0</v>
      </c>
      <c r="BG224" s="50">
        <v>0</v>
      </c>
      <c r="BH224" s="49">
        <v>0</v>
      </c>
      <c r="BI224" s="50">
        <v>0</v>
      </c>
      <c r="BJ224" s="49">
        <v>0</v>
      </c>
      <c r="BK224" s="50">
        <v>0</v>
      </c>
      <c r="BL224" s="49">
        <v>28</v>
      </c>
      <c r="BM224" s="50">
        <v>100</v>
      </c>
      <c r="BN224" s="49">
        <v>28</v>
      </c>
    </row>
    <row r="225" spans="1:66" ht="15">
      <c r="A225" s="66" t="s">
        <v>286</v>
      </c>
      <c r="B225" s="66" t="s">
        <v>297</v>
      </c>
      <c r="C225" s="67" t="s">
        <v>2108</v>
      </c>
      <c r="D225" s="68">
        <v>1</v>
      </c>
      <c r="E225" s="69" t="s">
        <v>132</v>
      </c>
      <c r="F225" s="70">
        <v>32</v>
      </c>
      <c r="G225" s="67" t="s">
        <v>51</v>
      </c>
      <c r="H225" s="71"/>
      <c r="I225" s="72"/>
      <c r="J225" s="72"/>
      <c r="K225" s="35" t="s">
        <v>65</v>
      </c>
      <c r="L225" s="79">
        <v>225</v>
      </c>
      <c r="M225" s="79"/>
      <c r="N225" s="74"/>
      <c r="O225" s="90" t="s">
        <v>306</v>
      </c>
      <c r="P225" s="93">
        <v>44483.53627314815</v>
      </c>
      <c r="Q225" s="90" t="s">
        <v>322</v>
      </c>
      <c r="R225" s="90" t="s">
        <v>332</v>
      </c>
      <c r="S225" s="90" t="s">
        <v>336</v>
      </c>
      <c r="T225" s="99" t="s">
        <v>343</v>
      </c>
      <c r="U225" s="90"/>
      <c r="V225" s="96" t="str">
        <f>HYPERLINK("https://pbs.twimg.com/profile_images/744862752699727872/OXPEJg2M_normal.jpg")</f>
        <v>https://pbs.twimg.com/profile_images/744862752699727872/OXPEJg2M_normal.jpg</v>
      </c>
      <c r="W225" s="93">
        <v>44483.53627314815</v>
      </c>
      <c r="X225" s="102">
        <v>44483</v>
      </c>
      <c r="Y225" s="99" t="s">
        <v>411</v>
      </c>
      <c r="Z225" s="96" t="str">
        <f>HYPERLINK("https://twitter.com/mikaparkkari/status/1448632742032420867")</f>
        <v>https://twitter.com/mikaparkkari/status/1448632742032420867</v>
      </c>
      <c r="AA225" s="90"/>
      <c r="AB225" s="90"/>
      <c r="AC225" s="99" t="s">
        <v>505</v>
      </c>
      <c r="AD225" s="90"/>
      <c r="AE225" s="90" t="b">
        <v>0</v>
      </c>
      <c r="AF225" s="90">
        <v>0</v>
      </c>
      <c r="AG225" s="99" t="s">
        <v>535</v>
      </c>
      <c r="AH225" s="90" t="b">
        <v>1</v>
      </c>
      <c r="AI225" s="90" t="s">
        <v>537</v>
      </c>
      <c r="AJ225" s="90"/>
      <c r="AK225" s="99" t="s">
        <v>523</v>
      </c>
      <c r="AL225" s="90" t="b">
        <v>0</v>
      </c>
      <c r="AM225" s="90">
        <v>3</v>
      </c>
      <c r="AN225" s="99" t="s">
        <v>521</v>
      </c>
      <c r="AO225" s="99" t="s">
        <v>545</v>
      </c>
      <c r="AP225" s="90" t="b">
        <v>0</v>
      </c>
      <c r="AQ225" s="99" t="s">
        <v>521</v>
      </c>
      <c r="AR225" s="90" t="s">
        <v>187</v>
      </c>
      <c r="AS225" s="90">
        <v>0</v>
      </c>
      <c r="AT225" s="90">
        <v>0</v>
      </c>
      <c r="AU225" s="90"/>
      <c r="AV225" s="90"/>
      <c r="AW225" s="90"/>
      <c r="AX225" s="90"/>
      <c r="AY225" s="90"/>
      <c r="AZ225" s="90"/>
      <c r="BA225" s="90"/>
      <c r="BB225" s="90"/>
      <c r="BC225" s="90">
        <v>1</v>
      </c>
      <c r="BD225" s="89" t="str">
        <f>REPLACE(INDEX(GroupVertices[Group],MATCH(Edges[[#This Row],[Vertex 1]],GroupVertices[Vertex],0)),1,1,"")</f>
        <v>2</v>
      </c>
      <c r="BE225" s="89" t="str">
        <f>REPLACE(INDEX(GroupVertices[Group],MATCH(Edges[[#This Row],[Vertex 2]],GroupVertices[Vertex],0)),1,1,"")</f>
        <v>2</v>
      </c>
      <c r="BF225" s="49"/>
      <c r="BG225" s="50"/>
      <c r="BH225" s="49"/>
      <c r="BI225" s="50"/>
      <c r="BJ225" s="49"/>
      <c r="BK225" s="50"/>
      <c r="BL225" s="49"/>
      <c r="BM225" s="50"/>
      <c r="BN225" s="49"/>
    </row>
    <row r="226" spans="1:66" ht="15">
      <c r="A226" s="66" t="s">
        <v>286</v>
      </c>
      <c r="B226" s="66" t="s">
        <v>295</v>
      </c>
      <c r="C226" s="67" t="s">
        <v>2109</v>
      </c>
      <c r="D226" s="68">
        <v>10</v>
      </c>
      <c r="E226" s="69" t="s">
        <v>132</v>
      </c>
      <c r="F226" s="70">
        <v>10</v>
      </c>
      <c r="G226" s="67" t="s">
        <v>51</v>
      </c>
      <c r="H226" s="71"/>
      <c r="I226" s="72"/>
      <c r="J226" s="72"/>
      <c r="K226" s="35" t="s">
        <v>65</v>
      </c>
      <c r="L226" s="79">
        <v>226</v>
      </c>
      <c r="M226" s="79"/>
      <c r="N226" s="74"/>
      <c r="O226" s="90" t="s">
        <v>306</v>
      </c>
      <c r="P226" s="93">
        <v>44483.53627314815</v>
      </c>
      <c r="Q226" s="90" t="s">
        <v>322</v>
      </c>
      <c r="R226" s="90" t="s">
        <v>332</v>
      </c>
      <c r="S226" s="90" t="s">
        <v>336</v>
      </c>
      <c r="T226" s="99" t="s">
        <v>343</v>
      </c>
      <c r="U226" s="90"/>
      <c r="V226" s="96" t="str">
        <f>HYPERLINK("https://pbs.twimg.com/profile_images/744862752699727872/OXPEJg2M_normal.jpg")</f>
        <v>https://pbs.twimg.com/profile_images/744862752699727872/OXPEJg2M_normal.jpg</v>
      </c>
      <c r="W226" s="93">
        <v>44483.53627314815</v>
      </c>
      <c r="X226" s="102">
        <v>44483</v>
      </c>
      <c r="Y226" s="99" t="s">
        <v>411</v>
      </c>
      <c r="Z226" s="96" t="str">
        <f>HYPERLINK("https://twitter.com/mikaparkkari/status/1448632742032420867")</f>
        <v>https://twitter.com/mikaparkkari/status/1448632742032420867</v>
      </c>
      <c r="AA226" s="90"/>
      <c r="AB226" s="90"/>
      <c r="AC226" s="99" t="s">
        <v>505</v>
      </c>
      <c r="AD226" s="90"/>
      <c r="AE226" s="90" t="b">
        <v>0</v>
      </c>
      <c r="AF226" s="90">
        <v>0</v>
      </c>
      <c r="AG226" s="99" t="s">
        <v>535</v>
      </c>
      <c r="AH226" s="90" t="b">
        <v>1</v>
      </c>
      <c r="AI226" s="90" t="s">
        <v>537</v>
      </c>
      <c r="AJ226" s="90"/>
      <c r="AK226" s="99" t="s">
        <v>523</v>
      </c>
      <c r="AL226" s="90" t="b">
        <v>0</v>
      </c>
      <c r="AM226" s="90">
        <v>3</v>
      </c>
      <c r="AN226" s="99" t="s">
        <v>521</v>
      </c>
      <c r="AO226" s="99" t="s">
        <v>545</v>
      </c>
      <c r="AP226" s="90" t="b">
        <v>0</v>
      </c>
      <c r="AQ226" s="99" t="s">
        <v>521</v>
      </c>
      <c r="AR226" s="90" t="s">
        <v>187</v>
      </c>
      <c r="AS226" s="90">
        <v>0</v>
      </c>
      <c r="AT226" s="90">
        <v>0</v>
      </c>
      <c r="AU226" s="90"/>
      <c r="AV226" s="90"/>
      <c r="AW226" s="90"/>
      <c r="AX226" s="90"/>
      <c r="AY226" s="90"/>
      <c r="AZ226" s="90"/>
      <c r="BA226" s="90"/>
      <c r="BB226" s="90"/>
      <c r="BC226" s="90">
        <v>2</v>
      </c>
      <c r="BD226" s="89" t="str">
        <f>REPLACE(INDEX(GroupVertices[Group],MATCH(Edges[[#This Row],[Vertex 1]],GroupVertices[Vertex],0)),1,1,"")</f>
        <v>2</v>
      </c>
      <c r="BE226" s="89" t="str">
        <f>REPLACE(INDEX(GroupVertices[Group],MATCH(Edges[[#This Row],[Vertex 2]],GroupVertices[Vertex],0)),1,1,"")</f>
        <v>2</v>
      </c>
      <c r="BF226" s="49"/>
      <c r="BG226" s="50"/>
      <c r="BH226" s="49"/>
      <c r="BI226" s="50"/>
      <c r="BJ226" s="49"/>
      <c r="BK226" s="50"/>
      <c r="BL226" s="49"/>
      <c r="BM226" s="50"/>
      <c r="BN226" s="49"/>
    </row>
    <row r="227" spans="1:66" ht="15">
      <c r="A227" s="66" t="s">
        <v>286</v>
      </c>
      <c r="B227" s="66" t="s">
        <v>293</v>
      </c>
      <c r="C227" s="67" t="s">
        <v>2109</v>
      </c>
      <c r="D227" s="68">
        <v>10</v>
      </c>
      <c r="E227" s="69" t="s">
        <v>132</v>
      </c>
      <c r="F227" s="70">
        <v>10</v>
      </c>
      <c r="G227" s="67" t="s">
        <v>51</v>
      </c>
      <c r="H227" s="71"/>
      <c r="I227" s="72"/>
      <c r="J227" s="72"/>
      <c r="K227" s="35" t="s">
        <v>65</v>
      </c>
      <c r="L227" s="79">
        <v>227</v>
      </c>
      <c r="M227" s="79"/>
      <c r="N227" s="74"/>
      <c r="O227" s="90" t="s">
        <v>306</v>
      </c>
      <c r="P227" s="93">
        <v>44483.53627314815</v>
      </c>
      <c r="Q227" s="90" t="s">
        <v>322</v>
      </c>
      <c r="R227" s="90" t="s">
        <v>332</v>
      </c>
      <c r="S227" s="90" t="s">
        <v>336</v>
      </c>
      <c r="T227" s="99" t="s">
        <v>343</v>
      </c>
      <c r="U227" s="90"/>
      <c r="V227" s="96" t="str">
        <f>HYPERLINK("https://pbs.twimg.com/profile_images/744862752699727872/OXPEJg2M_normal.jpg")</f>
        <v>https://pbs.twimg.com/profile_images/744862752699727872/OXPEJg2M_normal.jpg</v>
      </c>
      <c r="W227" s="93">
        <v>44483.53627314815</v>
      </c>
      <c r="X227" s="102">
        <v>44483</v>
      </c>
      <c r="Y227" s="99" t="s">
        <v>411</v>
      </c>
      <c r="Z227" s="96" t="str">
        <f>HYPERLINK("https://twitter.com/mikaparkkari/status/1448632742032420867")</f>
        <v>https://twitter.com/mikaparkkari/status/1448632742032420867</v>
      </c>
      <c r="AA227" s="90"/>
      <c r="AB227" s="90"/>
      <c r="AC227" s="99" t="s">
        <v>505</v>
      </c>
      <c r="AD227" s="90"/>
      <c r="AE227" s="90" t="b">
        <v>0</v>
      </c>
      <c r="AF227" s="90">
        <v>0</v>
      </c>
      <c r="AG227" s="99" t="s">
        <v>535</v>
      </c>
      <c r="AH227" s="90" t="b">
        <v>1</v>
      </c>
      <c r="AI227" s="90" t="s">
        <v>537</v>
      </c>
      <c r="AJ227" s="90"/>
      <c r="AK227" s="99" t="s">
        <v>523</v>
      </c>
      <c r="AL227" s="90" t="b">
        <v>0</v>
      </c>
      <c r="AM227" s="90">
        <v>3</v>
      </c>
      <c r="AN227" s="99" t="s">
        <v>521</v>
      </c>
      <c r="AO227" s="99" t="s">
        <v>545</v>
      </c>
      <c r="AP227" s="90" t="b">
        <v>0</v>
      </c>
      <c r="AQ227" s="99" t="s">
        <v>521</v>
      </c>
      <c r="AR227" s="90" t="s">
        <v>187</v>
      </c>
      <c r="AS227" s="90">
        <v>0</v>
      </c>
      <c r="AT227" s="90">
        <v>0</v>
      </c>
      <c r="AU227" s="90"/>
      <c r="AV227" s="90"/>
      <c r="AW227" s="90"/>
      <c r="AX227" s="90"/>
      <c r="AY227" s="90"/>
      <c r="AZ227" s="90"/>
      <c r="BA227" s="90"/>
      <c r="BB227" s="90"/>
      <c r="BC227" s="90">
        <v>2</v>
      </c>
      <c r="BD227" s="89" t="str">
        <f>REPLACE(INDEX(GroupVertices[Group],MATCH(Edges[[#This Row],[Vertex 1]],GroupVertices[Vertex],0)),1,1,"")</f>
        <v>2</v>
      </c>
      <c r="BE227" s="89" t="str">
        <f>REPLACE(INDEX(GroupVertices[Group],MATCH(Edges[[#This Row],[Vertex 2]],GroupVertices[Vertex],0)),1,1,"")</f>
        <v>3</v>
      </c>
      <c r="BF227" s="49"/>
      <c r="BG227" s="50"/>
      <c r="BH227" s="49"/>
      <c r="BI227" s="50"/>
      <c r="BJ227" s="49"/>
      <c r="BK227" s="50"/>
      <c r="BL227" s="49"/>
      <c r="BM227" s="50"/>
      <c r="BN227" s="49"/>
    </row>
    <row r="228" spans="1:66" ht="15">
      <c r="A228" s="66" t="s">
        <v>286</v>
      </c>
      <c r="B228" s="66" t="s">
        <v>296</v>
      </c>
      <c r="C228" s="67" t="s">
        <v>2108</v>
      </c>
      <c r="D228" s="68">
        <v>1</v>
      </c>
      <c r="E228" s="69" t="s">
        <v>132</v>
      </c>
      <c r="F228" s="70">
        <v>32</v>
      </c>
      <c r="G228" s="67" t="s">
        <v>51</v>
      </c>
      <c r="H228" s="71"/>
      <c r="I228" s="72"/>
      <c r="J228" s="72"/>
      <c r="K228" s="35" t="s">
        <v>65</v>
      </c>
      <c r="L228" s="79">
        <v>228</v>
      </c>
      <c r="M228" s="79"/>
      <c r="N228" s="74"/>
      <c r="O228" s="90" t="s">
        <v>305</v>
      </c>
      <c r="P228" s="93">
        <v>44483.53627314815</v>
      </c>
      <c r="Q228" s="90" t="s">
        <v>322</v>
      </c>
      <c r="R228" s="90" t="s">
        <v>332</v>
      </c>
      <c r="S228" s="90" t="s">
        <v>336</v>
      </c>
      <c r="T228" s="99" t="s">
        <v>343</v>
      </c>
      <c r="U228" s="90"/>
      <c r="V228" s="96" t="str">
        <f>HYPERLINK("https://pbs.twimg.com/profile_images/744862752699727872/OXPEJg2M_normal.jpg")</f>
        <v>https://pbs.twimg.com/profile_images/744862752699727872/OXPEJg2M_normal.jpg</v>
      </c>
      <c r="W228" s="93">
        <v>44483.53627314815</v>
      </c>
      <c r="X228" s="102">
        <v>44483</v>
      </c>
      <c r="Y228" s="99" t="s">
        <v>411</v>
      </c>
      <c r="Z228" s="96" t="str">
        <f>HYPERLINK("https://twitter.com/mikaparkkari/status/1448632742032420867")</f>
        <v>https://twitter.com/mikaparkkari/status/1448632742032420867</v>
      </c>
      <c r="AA228" s="90"/>
      <c r="AB228" s="90"/>
      <c r="AC228" s="99" t="s">
        <v>505</v>
      </c>
      <c r="AD228" s="90"/>
      <c r="AE228" s="90" t="b">
        <v>0</v>
      </c>
      <c r="AF228" s="90">
        <v>0</v>
      </c>
      <c r="AG228" s="99" t="s">
        <v>535</v>
      </c>
      <c r="AH228" s="90" t="b">
        <v>1</v>
      </c>
      <c r="AI228" s="90" t="s">
        <v>537</v>
      </c>
      <c r="AJ228" s="90"/>
      <c r="AK228" s="99" t="s">
        <v>523</v>
      </c>
      <c r="AL228" s="90" t="b">
        <v>0</v>
      </c>
      <c r="AM228" s="90">
        <v>3</v>
      </c>
      <c r="AN228" s="99" t="s">
        <v>521</v>
      </c>
      <c r="AO228" s="99" t="s">
        <v>545</v>
      </c>
      <c r="AP228" s="90" t="b">
        <v>0</v>
      </c>
      <c r="AQ228" s="99" t="s">
        <v>521</v>
      </c>
      <c r="AR228" s="90" t="s">
        <v>187</v>
      </c>
      <c r="AS228" s="90">
        <v>0</v>
      </c>
      <c r="AT228" s="90">
        <v>0</v>
      </c>
      <c r="AU228" s="90"/>
      <c r="AV228" s="90"/>
      <c r="AW228" s="90"/>
      <c r="AX228" s="90"/>
      <c r="AY228" s="90"/>
      <c r="AZ228" s="90"/>
      <c r="BA228" s="90"/>
      <c r="BB228" s="90"/>
      <c r="BC228" s="90">
        <v>1</v>
      </c>
      <c r="BD228" s="89" t="str">
        <f>REPLACE(INDEX(GroupVertices[Group],MATCH(Edges[[#This Row],[Vertex 1]],GroupVertices[Vertex],0)),1,1,"")</f>
        <v>2</v>
      </c>
      <c r="BE228" s="89" t="str">
        <f>REPLACE(INDEX(GroupVertices[Group],MATCH(Edges[[#This Row],[Vertex 2]],GroupVertices[Vertex],0)),1,1,"")</f>
        <v>2</v>
      </c>
      <c r="BF228" s="49">
        <v>0</v>
      </c>
      <c r="BG228" s="50">
        <v>0</v>
      </c>
      <c r="BH228" s="49">
        <v>0</v>
      </c>
      <c r="BI228" s="50">
        <v>0</v>
      </c>
      <c r="BJ228" s="49">
        <v>0</v>
      </c>
      <c r="BK228" s="50">
        <v>0</v>
      </c>
      <c r="BL228" s="49">
        <v>25</v>
      </c>
      <c r="BM228" s="50">
        <v>100</v>
      </c>
      <c r="BN228" s="49">
        <v>25</v>
      </c>
    </row>
    <row r="229" spans="1:66" ht="15">
      <c r="A229" s="66" t="s">
        <v>286</v>
      </c>
      <c r="B229" s="66" t="s">
        <v>252</v>
      </c>
      <c r="C229" s="67" t="s">
        <v>2108</v>
      </c>
      <c r="D229" s="68">
        <v>1</v>
      </c>
      <c r="E229" s="69" t="s">
        <v>132</v>
      </c>
      <c r="F229" s="70">
        <v>32</v>
      </c>
      <c r="G229" s="67" t="s">
        <v>51</v>
      </c>
      <c r="H229" s="71"/>
      <c r="I229" s="72"/>
      <c r="J229" s="72"/>
      <c r="K229" s="35" t="s">
        <v>65</v>
      </c>
      <c r="L229" s="79">
        <v>229</v>
      </c>
      <c r="M229" s="79"/>
      <c r="N229" s="74"/>
      <c r="O229" s="90" t="s">
        <v>306</v>
      </c>
      <c r="P229" s="93">
        <v>44483.53864583333</v>
      </c>
      <c r="Q229" s="90" t="s">
        <v>2140</v>
      </c>
      <c r="R229" s="96" t="str">
        <f>HYPERLINK("https://talouskurssi.fi")</f>
        <v>https://talouskurssi.fi</v>
      </c>
      <c r="S229" s="90" t="s">
        <v>334</v>
      </c>
      <c r="T229" s="90"/>
      <c r="U229" s="96" t="str">
        <f>HYPERLINK("https://pbs.twimg.com/media/FBpWom9XIAAjFw3.jpg")</f>
        <v>https://pbs.twimg.com/media/FBpWom9XIAAjFw3.jpg</v>
      </c>
      <c r="V229" s="96" t="str">
        <f>HYPERLINK("https://pbs.twimg.com/media/FBpWom9XIAAjFw3.jpg")</f>
        <v>https://pbs.twimg.com/media/FBpWom9XIAAjFw3.jpg</v>
      </c>
      <c r="W229" s="93">
        <v>44483.53864583333</v>
      </c>
      <c r="X229" s="102">
        <v>44483</v>
      </c>
      <c r="Y229" s="99" t="s">
        <v>2172</v>
      </c>
      <c r="Z229" s="96" t="str">
        <f>HYPERLINK("https://twitter.com/mikaparkkari/status/1448633599511699457")</f>
        <v>https://twitter.com/mikaparkkari/status/1448633599511699457</v>
      </c>
      <c r="AA229" s="90"/>
      <c r="AB229" s="90"/>
      <c r="AC229" s="99" t="s">
        <v>2218</v>
      </c>
      <c r="AD229" s="90"/>
      <c r="AE229" s="90" t="b">
        <v>0</v>
      </c>
      <c r="AF229" s="90">
        <v>0</v>
      </c>
      <c r="AG229" s="99" t="s">
        <v>535</v>
      </c>
      <c r="AH229" s="90" t="b">
        <v>0</v>
      </c>
      <c r="AI229" s="90" t="s">
        <v>537</v>
      </c>
      <c r="AJ229" s="90"/>
      <c r="AK229" s="99" t="s">
        <v>535</v>
      </c>
      <c r="AL229" s="90" t="b">
        <v>0</v>
      </c>
      <c r="AM229" s="90">
        <v>9</v>
      </c>
      <c r="AN229" s="99" t="s">
        <v>538</v>
      </c>
      <c r="AO229" s="99" t="s">
        <v>545</v>
      </c>
      <c r="AP229" s="90" t="b">
        <v>0</v>
      </c>
      <c r="AQ229" s="99" t="s">
        <v>538</v>
      </c>
      <c r="AR229" s="90" t="s">
        <v>187</v>
      </c>
      <c r="AS229" s="90">
        <v>0</v>
      </c>
      <c r="AT229" s="90">
        <v>0</v>
      </c>
      <c r="AU229" s="90"/>
      <c r="AV229" s="90"/>
      <c r="AW229" s="90"/>
      <c r="AX229" s="90"/>
      <c r="AY229" s="90"/>
      <c r="AZ229" s="90"/>
      <c r="BA229" s="90"/>
      <c r="BB229" s="90"/>
      <c r="BC229" s="90">
        <v>1</v>
      </c>
      <c r="BD229" s="89" t="str">
        <f>REPLACE(INDEX(GroupVertices[Group],MATCH(Edges[[#This Row],[Vertex 1]],GroupVertices[Vertex],0)),1,1,"")</f>
        <v>2</v>
      </c>
      <c r="BE229" s="89" t="str">
        <f>REPLACE(INDEX(GroupVertices[Group],MATCH(Edges[[#This Row],[Vertex 2]],GroupVertices[Vertex],0)),1,1,"")</f>
        <v>2</v>
      </c>
      <c r="BF229" s="49"/>
      <c r="BG229" s="50"/>
      <c r="BH229" s="49"/>
      <c r="BI229" s="50"/>
      <c r="BJ229" s="49"/>
      <c r="BK229" s="50"/>
      <c r="BL229" s="49"/>
      <c r="BM229" s="50"/>
      <c r="BN229" s="49"/>
    </row>
    <row r="230" spans="1:66" ht="15">
      <c r="A230" s="66" t="s">
        <v>286</v>
      </c>
      <c r="B230" s="66" t="s">
        <v>295</v>
      </c>
      <c r="C230" s="67" t="s">
        <v>2109</v>
      </c>
      <c r="D230" s="68">
        <v>10</v>
      </c>
      <c r="E230" s="69" t="s">
        <v>132</v>
      </c>
      <c r="F230" s="70">
        <v>10</v>
      </c>
      <c r="G230" s="67" t="s">
        <v>51</v>
      </c>
      <c r="H230" s="71"/>
      <c r="I230" s="72"/>
      <c r="J230" s="72"/>
      <c r="K230" s="35" t="s">
        <v>65</v>
      </c>
      <c r="L230" s="79">
        <v>230</v>
      </c>
      <c r="M230" s="79"/>
      <c r="N230" s="74"/>
      <c r="O230" s="90" t="s">
        <v>306</v>
      </c>
      <c r="P230" s="93">
        <v>44483.53864583333</v>
      </c>
      <c r="Q230" s="90" t="s">
        <v>2140</v>
      </c>
      <c r="R230" s="96" t="str">
        <f>HYPERLINK("https://talouskurssi.fi")</f>
        <v>https://talouskurssi.fi</v>
      </c>
      <c r="S230" s="90" t="s">
        <v>334</v>
      </c>
      <c r="T230" s="90"/>
      <c r="U230" s="96" t="str">
        <f>HYPERLINK("https://pbs.twimg.com/media/FBpWom9XIAAjFw3.jpg")</f>
        <v>https://pbs.twimg.com/media/FBpWom9XIAAjFw3.jpg</v>
      </c>
      <c r="V230" s="96" t="str">
        <f>HYPERLINK("https://pbs.twimg.com/media/FBpWom9XIAAjFw3.jpg")</f>
        <v>https://pbs.twimg.com/media/FBpWom9XIAAjFw3.jpg</v>
      </c>
      <c r="W230" s="93">
        <v>44483.53864583333</v>
      </c>
      <c r="X230" s="102">
        <v>44483</v>
      </c>
      <c r="Y230" s="99" t="s">
        <v>2172</v>
      </c>
      <c r="Z230" s="96" t="str">
        <f>HYPERLINK("https://twitter.com/mikaparkkari/status/1448633599511699457")</f>
        <v>https://twitter.com/mikaparkkari/status/1448633599511699457</v>
      </c>
      <c r="AA230" s="90"/>
      <c r="AB230" s="90"/>
      <c r="AC230" s="99" t="s">
        <v>2218</v>
      </c>
      <c r="AD230" s="90"/>
      <c r="AE230" s="90" t="b">
        <v>0</v>
      </c>
      <c r="AF230" s="90">
        <v>0</v>
      </c>
      <c r="AG230" s="99" t="s">
        <v>535</v>
      </c>
      <c r="AH230" s="90" t="b">
        <v>0</v>
      </c>
      <c r="AI230" s="90" t="s">
        <v>537</v>
      </c>
      <c r="AJ230" s="90"/>
      <c r="AK230" s="99" t="s">
        <v>535</v>
      </c>
      <c r="AL230" s="90" t="b">
        <v>0</v>
      </c>
      <c r="AM230" s="90">
        <v>9</v>
      </c>
      <c r="AN230" s="99" t="s">
        <v>538</v>
      </c>
      <c r="AO230" s="99" t="s">
        <v>545</v>
      </c>
      <c r="AP230" s="90" t="b">
        <v>0</v>
      </c>
      <c r="AQ230" s="99" t="s">
        <v>538</v>
      </c>
      <c r="AR230" s="90" t="s">
        <v>187</v>
      </c>
      <c r="AS230" s="90">
        <v>0</v>
      </c>
      <c r="AT230" s="90">
        <v>0</v>
      </c>
      <c r="AU230" s="90"/>
      <c r="AV230" s="90"/>
      <c r="AW230" s="90"/>
      <c r="AX230" s="90"/>
      <c r="AY230" s="90"/>
      <c r="AZ230" s="90"/>
      <c r="BA230" s="90"/>
      <c r="BB230" s="90"/>
      <c r="BC230" s="90">
        <v>2</v>
      </c>
      <c r="BD230" s="89" t="str">
        <f>REPLACE(INDEX(GroupVertices[Group],MATCH(Edges[[#This Row],[Vertex 1]],GroupVertices[Vertex],0)),1,1,"")</f>
        <v>2</v>
      </c>
      <c r="BE230" s="89" t="str">
        <f>REPLACE(INDEX(GroupVertices[Group],MATCH(Edges[[#This Row],[Vertex 2]],GroupVertices[Vertex],0)),1,1,"")</f>
        <v>2</v>
      </c>
      <c r="BF230" s="49"/>
      <c r="BG230" s="50"/>
      <c r="BH230" s="49"/>
      <c r="BI230" s="50"/>
      <c r="BJ230" s="49"/>
      <c r="BK230" s="50"/>
      <c r="BL230" s="49"/>
      <c r="BM230" s="50"/>
      <c r="BN230" s="49"/>
    </row>
    <row r="231" spans="1:66" ht="15">
      <c r="A231" s="66" t="s">
        <v>286</v>
      </c>
      <c r="B231" s="66" t="s">
        <v>260</v>
      </c>
      <c r="C231" s="67" t="s">
        <v>2108</v>
      </c>
      <c r="D231" s="68">
        <v>1</v>
      </c>
      <c r="E231" s="69" t="s">
        <v>132</v>
      </c>
      <c r="F231" s="70">
        <v>32</v>
      </c>
      <c r="G231" s="67" t="s">
        <v>51</v>
      </c>
      <c r="H231" s="71"/>
      <c r="I231" s="72"/>
      <c r="J231" s="72"/>
      <c r="K231" s="35" t="s">
        <v>65</v>
      </c>
      <c r="L231" s="79">
        <v>231</v>
      </c>
      <c r="M231" s="79"/>
      <c r="N231" s="74"/>
      <c r="O231" s="90" t="s">
        <v>306</v>
      </c>
      <c r="P231" s="93">
        <v>44483.53864583333</v>
      </c>
      <c r="Q231" s="90" t="s">
        <v>2140</v>
      </c>
      <c r="R231" s="96" t="str">
        <f>HYPERLINK("https://talouskurssi.fi")</f>
        <v>https://talouskurssi.fi</v>
      </c>
      <c r="S231" s="90" t="s">
        <v>334</v>
      </c>
      <c r="T231" s="90"/>
      <c r="U231" s="96" t="str">
        <f>HYPERLINK("https://pbs.twimg.com/media/FBpWom9XIAAjFw3.jpg")</f>
        <v>https://pbs.twimg.com/media/FBpWom9XIAAjFw3.jpg</v>
      </c>
      <c r="V231" s="96" t="str">
        <f>HYPERLINK("https://pbs.twimg.com/media/FBpWom9XIAAjFw3.jpg")</f>
        <v>https://pbs.twimg.com/media/FBpWom9XIAAjFw3.jpg</v>
      </c>
      <c r="W231" s="93">
        <v>44483.53864583333</v>
      </c>
      <c r="X231" s="102">
        <v>44483</v>
      </c>
      <c r="Y231" s="99" t="s">
        <v>2172</v>
      </c>
      <c r="Z231" s="96" t="str">
        <f>HYPERLINK("https://twitter.com/mikaparkkari/status/1448633599511699457")</f>
        <v>https://twitter.com/mikaparkkari/status/1448633599511699457</v>
      </c>
      <c r="AA231" s="90"/>
      <c r="AB231" s="90"/>
      <c r="AC231" s="99" t="s">
        <v>2218</v>
      </c>
      <c r="AD231" s="90"/>
      <c r="AE231" s="90" t="b">
        <v>0</v>
      </c>
      <c r="AF231" s="90">
        <v>0</v>
      </c>
      <c r="AG231" s="99" t="s">
        <v>535</v>
      </c>
      <c r="AH231" s="90" t="b">
        <v>0</v>
      </c>
      <c r="AI231" s="90" t="s">
        <v>537</v>
      </c>
      <c r="AJ231" s="90"/>
      <c r="AK231" s="99" t="s">
        <v>535</v>
      </c>
      <c r="AL231" s="90" t="b">
        <v>0</v>
      </c>
      <c r="AM231" s="90">
        <v>9</v>
      </c>
      <c r="AN231" s="99" t="s">
        <v>538</v>
      </c>
      <c r="AO231" s="99" t="s">
        <v>545</v>
      </c>
      <c r="AP231" s="90" t="b">
        <v>0</v>
      </c>
      <c r="AQ231" s="99" t="s">
        <v>538</v>
      </c>
      <c r="AR231" s="90" t="s">
        <v>187</v>
      </c>
      <c r="AS231" s="90">
        <v>0</v>
      </c>
      <c r="AT231" s="90">
        <v>0</v>
      </c>
      <c r="AU231" s="90"/>
      <c r="AV231" s="90"/>
      <c r="AW231" s="90"/>
      <c r="AX231" s="90"/>
      <c r="AY231" s="90"/>
      <c r="AZ231" s="90"/>
      <c r="BA231" s="90"/>
      <c r="BB231" s="90"/>
      <c r="BC231" s="90">
        <v>1</v>
      </c>
      <c r="BD231" s="89" t="str">
        <f>REPLACE(INDEX(GroupVertices[Group],MATCH(Edges[[#This Row],[Vertex 1]],GroupVertices[Vertex],0)),1,1,"")</f>
        <v>2</v>
      </c>
      <c r="BE231" s="89" t="str">
        <f>REPLACE(INDEX(GroupVertices[Group],MATCH(Edges[[#This Row],[Vertex 2]],GroupVertices[Vertex],0)),1,1,"")</f>
        <v>2</v>
      </c>
      <c r="BF231" s="49"/>
      <c r="BG231" s="50"/>
      <c r="BH231" s="49"/>
      <c r="BI231" s="50"/>
      <c r="BJ231" s="49"/>
      <c r="BK231" s="50"/>
      <c r="BL231" s="49"/>
      <c r="BM231" s="50"/>
      <c r="BN231" s="49"/>
    </row>
    <row r="232" spans="1:66" ht="15">
      <c r="A232" s="66" t="s">
        <v>286</v>
      </c>
      <c r="B232" s="66" t="s">
        <v>293</v>
      </c>
      <c r="C232" s="67" t="s">
        <v>2109</v>
      </c>
      <c r="D232" s="68">
        <v>10</v>
      </c>
      <c r="E232" s="69" t="s">
        <v>132</v>
      </c>
      <c r="F232" s="70">
        <v>10</v>
      </c>
      <c r="G232" s="67" t="s">
        <v>51</v>
      </c>
      <c r="H232" s="71"/>
      <c r="I232" s="72"/>
      <c r="J232" s="72"/>
      <c r="K232" s="35" t="s">
        <v>65</v>
      </c>
      <c r="L232" s="79">
        <v>232</v>
      </c>
      <c r="M232" s="79"/>
      <c r="N232" s="74"/>
      <c r="O232" s="90" t="s">
        <v>306</v>
      </c>
      <c r="P232" s="93">
        <v>44483.53864583333</v>
      </c>
      <c r="Q232" s="90" t="s">
        <v>2140</v>
      </c>
      <c r="R232" s="96" t="str">
        <f>HYPERLINK("https://talouskurssi.fi")</f>
        <v>https://talouskurssi.fi</v>
      </c>
      <c r="S232" s="90" t="s">
        <v>334</v>
      </c>
      <c r="T232" s="90"/>
      <c r="U232" s="96" t="str">
        <f>HYPERLINK("https://pbs.twimg.com/media/FBpWom9XIAAjFw3.jpg")</f>
        <v>https://pbs.twimg.com/media/FBpWom9XIAAjFw3.jpg</v>
      </c>
      <c r="V232" s="96" t="str">
        <f>HYPERLINK("https://pbs.twimg.com/media/FBpWom9XIAAjFw3.jpg")</f>
        <v>https://pbs.twimg.com/media/FBpWom9XIAAjFw3.jpg</v>
      </c>
      <c r="W232" s="93">
        <v>44483.53864583333</v>
      </c>
      <c r="X232" s="102">
        <v>44483</v>
      </c>
      <c r="Y232" s="99" t="s">
        <v>2172</v>
      </c>
      <c r="Z232" s="96" t="str">
        <f>HYPERLINK("https://twitter.com/mikaparkkari/status/1448633599511699457")</f>
        <v>https://twitter.com/mikaparkkari/status/1448633599511699457</v>
      </c>
      <c r="AA232" s="90"/>
      <c r="AB232" s="90"/>
      <c r="AC232" s="99" t="s">
        <v>2218</v>
      </c>
      <c r="AD232" s="90"/>
      <c r="AE232" s="90" t="b">
        <v>0</v>
      </c>
      <c r="AF232" s="90">
        <v>0</v>
      </c>
      <c r="AG232" s="99" t="s">
        <v>535</v>
      </c>
      <c r="AH232" s="90" t="b">
        <v>0</v>
      </c>
      <c r="AI232" s="90" t="s">
        <v>537</v>
      </c>
      <c r="AJ232" s="90"/>
      <c r="AK232" s="99" t="s">
        <v>535</v>
      </c>
      <c r="AL232" s="90" t="b">
        <v>0</v>
      </c>
      <c r="AM232" s="90">
        <v>9</v>
      </c>
      <c r="AN232" s="99" t="s">
        <v>538</v>
      </c>
      <c r="AO232" s="99" t="s">
        <v>545</v>
      </c>
      <c r="AP232" s="90" t="b">
        <v>0</v>
      </c>
      <c r="AQ232" s="99" t="s">
        <v>538</v>
      </c>
      <c r="AR232" s="90" t="s">
        <v>187</v>
      </c>
      <c r="AS232" s="90">
        <v>0</v>
      </c>
      <c r="AT232" s="90">
        <v>0</v>
      </c>
      <c r="AU232" s="90"/>
      <c r="AV232" s="90"/>
      <c r="AW232" s="90"/>
      <c r="AX232" s="90"/>
      <c r="AY232" s="90"/>
      <c r="AZ232" s="90"/>
      <c r="BA232" s="90"/>
      <c r="BB232" s="90"/>
      <c r="BC232" s="90">
        <v>2</v>
      </c>
      <c r="BD232" s="89" t="str">
        <f>REPLACE(INDEX(GroupVertices[Group],MATCH(Edges[[#This Row],[Vertex 1]],GroupVertices[Vertex],0)),1,1,"")</f>
        <v>2</v>
      </c>
      <c r="BE232" s="89" t="str">
        <f>REPLACE(INDEX(GroupVertices[Group],MATCH(Edges[[#This Row],[Vertex 2]],GroupVertices[Vertex],0)),1,1,"")</f>
        <v>3</v>
      </c>
      <c r="BF232" s="49"/>
      <c r="BG232" s="50"/>
      <c r="BH232" s="49"/>
      <c r="BI232" s="50"/>
      <c r="BJ232" s="49"/>
      <c r="BK232" s="50"/>
      <c r="BL232" s="49"/>
      <c r="BM232" s="50"/>
      <c r="BN232" s="49"/>
    </row>
    <row r="233" spans="1:66" ht="15">
      <c r="A233" s="66" t="s">
        <v>286</v>
      </c>
      <c r="B233" s="66" t="s">
        <v>250</v>
      </c>
      <c r="C233" s="67" t="s">
        <v>2108</v>
      </c>
      <c r="D233" s="68">
        <v>1</v>
      </c>
      <c r="E233" s="69" t="s">
        <v>132</v>
      </c>
      <c r="F233" s="70">
        <v>32</v>
      </c>
      <c r="G233" s="67" t="s">
        <v>51</v>
      </c>
      <c r="H233" s="71"/>
      <c r="I233" s="72"/>
      <c r="J233" s="72"/>
      <c r="K233" s="35" t="s">
        <v>65</v>
      </c>
      <c r="L233" s="79">
        <v>233</v>
      </c>
      <c r="M233" s="79"/>
      <c r="N233" s="74"/>
      <c r="O233" s="90" t="s">
        <v>305</v>
      </c>
      <c r="P233" s="93">
        <v>44483.53864583333</v>
      </c>
      <c r="Q233" s="90" t="s">
        <v>2140</v>
      </c>
      <c r="R233" s="96" t="str">
        <f>HYPERLINK("https://talouskurssi.fi")</f>
        <v>https://talouskurssi.fi</v>
      </c>
      <c r="S233" s="90" t="s">
        <v>334</v>
      </c>
      <c r="T233" s="90"/>
      <c r="U233" s="96" t="str">
        <f>HYPERLINK("https://pbs.twimg.com/media/FBpWom9XIAAjFw3.jpg")</f>
        <v>https://pbs.twimg.com/media/FBpWom9XIAAjFw3.jpg</v>
      </c>
      <c r="V233" s="96" t="str">
        <f>HYPERLINK("https://pbs.twimg.com/media/FBpWom9XIAAjFw3.jpg")</f>
        <v>https://pbs.twimg.com/media/FBpWom9XIAAjFw3.jpg</v>
      </c>
      <c r="W233" s="93">
        <v>44483.53864583333</v>
      </c>
      <c r="X233" s="102">
        <v>44483</v>
      </c>
      <c r="Y233" s="99" t="s">
        <v>2172</v>
      </c>
      <c r="Z233" s="96" t="str">
        <f>HYPERLINK("https://twitter.com/mikaparkkari/status/1448633599511699457")</f>
        <v>https://twitter.com/mikaparkkari/status/1448633599511699457</v>
      </c>
      <c r="AA233" s="90"/>
      <c r="AB233" s="90"/>
      <c r="AC233" s="99" t="s">
        <v>2218</v>
      </c>
      <c r="AD233" s="90"/>
      <c r="AE233" s="90" t="b">
        <v>0</v>
      </c>
      <c r="AF233" s="90">
        <v>0</v>
      </c>
      <c r="AG233" s="99" t="s">
        <v>535</v>
      </c>
      <c r="AH233" s="90" t="b">
        <v>0</v>
      </c>
      <c r="AI233" s="90" t="s">
        <v>537</v>
      </c>
      <c r="AJ233" s="90"/>
      <c r="AK233" s="99" t="s">
        <v>535</v>
      </c>
      <c r="AL233" s="90" t="b">
        <v>0</v>
      </c>
      <c r="AM233" s="90">
        <v>9</v>
      </c>
      <c r="AN233" s="99" t="s">
        <v>538</v>
      </c>
      <c r="AO233" s="99" t="s">
        <v>545</v>
      </c>
      <c r="AP233" s="90" t="b">
        <v>0</v>
      </c>
      <c r="AQ233" s="99" t="s">
        <v>538</v>
      </c>
      <c r="AR233" s="90" t="s">
        <v>187</v>
      </c>
      <c r="AS233" s="90">
        <v>0</v>
      </c>
      <c r="AT233" s="90">
        <v>0</v>
      </c>
      <c r="AU233" s="90"/>
      <c r="AV233" s="90"/>
      <c r="AW233" s="90"/>
      <c r="AX233" s="90"/>
      <c r="AY233" s="90"/>
      <c r="AZ233" s="90"/>
      <c r="BA233" s="90"/>
      <c r="BB233" s="90"/>
      <c r="BC233" s="90">
        <v>1</v>
      </c>
      <c r="BD233" s="89" t="str">
        <f>REPLACE(INDEX(GroupVertices[Group],MATCH(Edges[[#This Row],[Vertex 1]],GroupVertices[Vertex],0)),1,1,"")</f>
        <v>2</v>
      </c>
      <c r="BE233" s="89" t="str">
        <f>REPLACE(INDEX(GroupVertices[Group],MATCH(Edges[[#This Row],[Vertex 2]],GroupVertices[Vertex],0)),1,1,"")</f>
        <v>2</v>
      </c>
      <c r="BF233" s="49">
        <v>0</v>
      </c>
      <c r="BG233" s="50">
        <v>0</v>
      </c>
      <c r="BH233" s="49">
        <v>0</v>
      </c>
      <c r="BI233" s="50">
        <v>0</v>
      </c>
      <c r="BJ233" s="49">
        <v>0</v>
      </c>
      <c r="BK233" s="50">
        <v>0</v>
      </c>
      <c r="BL233" s="49">
        <v>32</v>
      </c>
      <c r="BM233" s="50">
        <v>100</v>
      </c>
      <c r="BN233" s="49">
        <v>32</v>
      </c>
    </row>
    <row r="234" spans="1:66" ht="15">
      <c r="A234" s="66" t="s">
        <v>2127</v>
      </c>
      <c r="B234" s="66" t="s">
        <v>293</v>
      </c>
      <c r="C234" s="67" t="s">
        <v>2108</v>
      </c>
      <c r="D234" s="68">
        <v>1</v>
      </c>
      <c r="E234" s="69" t="s">
        <v>132</v>
      </c>
      <c r="F234" s="70">
        <v>32</v>
      </c>
      <c r="G234" s="67" t="s">
        <v>51</v>
      </c>
      <c r="H234" s="71"/>
      <c r="I234" s="72"/>
      <c r="J234" s="72"/>
      <c r="K234" s="35" t="s">
        <v>65</v>
      </c>
      <c r="L234" s="79">
        <v>234</v>
      </c>
      <c r="M234" s="79"/>
      <c r="N234" s="74"/>
      <c r="O234" s="90" t="s">
        <v>306</v>
      </c>
      <c r="P234" s="93">
        <v>44483.5715625</v>
      </c>
      <c r="Q234" s="90" t="s">
        <v>2146</v>
      </c>
      <c r="R234" s="96" t="str">
        <f>HYPERLINK("https://www.op.fi/op-ryhma/vastuullisuus/vastuullisuus/taloustaidot/talouskurssi")</f>
        <v>https://www.op.fi/op-ryhma/vastuullisuus/vastuullisuus/taloustaidot/talouskurssi</v>
      </c>
      <c r="S234" s="90" t="s">
        <v>2153</v>
      </c>
      <c r="T234" s="99" t="s">
        <v>1127</v>
      </c>
      <c r="U234" s="96" t="str">
        <f>HYPERLINK("https://pbs.twimg.com/amplify_video_thumb/1448643417429340165/img/lmb1Q6KF2kqCAAPT.jpg")</f>
        <v>https://pbs.twimg.com/amplify_video_thumb/1448643417429340165/img/lmb1Q6KF2kqCAAPT.jpg</v>
      </c>
      <c r="V234" s="96" t="str">
        <f>HYPERLINK("https://pbs.twimg.com/amplify_video_thumb/1448643417429340165/img/lmb1Q6KF2kqCAAPT.jpg")</f>
        <v>https://pbs.twimg.com/amplify_video_thumb/1448643417429340165/img/lmb1Q6KF2kqCAAPT.jpg</v>
      </c>
      <c r="W234" s="93">
        <v>44483.5715625</v>
      </c>
      <c r="X234" s="102">
        <v>44483</v>
      </c>
      <c r="Y234" s="99" t="s">
        <v>2173</v>
      </c>
      <c r="Z234" s="96" t="str">
        <f>HYPERLINK("https://twitter.com/susa_makinen/status/1448645530414895107")</f>
        <v>https://twitter.com/susa_makinen/status/1448645530414895107</v>
      </c>
      <c r="AA234" s="90"/>
      <c r="AB234" s="90"/>
      <c r="AC234" s="99" t="s">
        <v>2219</v>
      </c>
      <c r="AD234" s="90"/>
      <c r="AE234" s="90" t="b">
        <v>0</v>
      </c>
      <c r="AF234" s="90">
        <v>0</v>
      </c>
      <c r="AG234" s="99" t="s">
        <v>535</v>
      </c>
      <c r="AH234" s="90" t="b">
        <v>0</v>
      </c>
      <c r="AI234" s="90" t="s">
        <v>537</v>
      </c>
      <c r="AJ234" s="90"/>
      <c r="AK234" s="99" t="s">
        <v>535</v>
      </c>
      <c r="AL234" s="90" t="b">
        <v>0</v>
      </c>
      <c r="AM234" s="90">
        <v>3</v>
      </c>
      <c r="AN234" s="99" t="s">
        <v>534</v>
      </c>
      <c r="AO234" s="99" t="s">
        <v>543</v>
      </c>
      <c r="AP234" s="90" t="b">
        <v>0</v>
      </c>
      <c r="AQ234" s="99" t="s">
        <v>534</v>
      </c>
      <c r="AR234" s="90" t="s">
        <v>187</v>
      </c>
      <c r="AS234" s="90">
        <v>0</v>
      </c>
      <c r="AT234" s="90">
        <v>0</v>
      </c>
      <c r="AU234" s="90"/>
      <c r="AV234" s="90"/>
      <c r="AW234" s="90"/>
      <c r="AX234" s="90"/>
      <c r="AY234" s="90"/>
      <c r="AZ234" s="90"/>
      <c r="BA234" s="90"/>
      <c r="BB234" s="90"/>
      <c r="BC234" s="90">
        <v>1</v>
      </c>
      <c r="BD234" s="89" t="str">
        <f>REPLACE(INDEX(GroupVertices[Group],MATCH(Edges[[#This Row],[Vertex 1]],GroupVertices[Vertex],0)),1,1,"")</f>
        <v>2</v>
      </c>
      <c r="BE234" s="89" t="str">
        <f>REPLACE(INDEX(GroupVertices[Group],MATCH(Edges[[#This Row],[Vertex 2]],GroupVertices[Vertex],0)),1,1,"")</f>
        <v>3</v>
      </c>
      <c r="BF234" s="49"/>
      <c r="BG234" s="50"/>
      <c r="BH234" s="49"/>
      <c r="BI234" s="50"/>
      <c r="BJ234" s="49"/>
      <c r="BK234" s="50"/>
      <c r="BL234" s="49"/>
      <c r="BM234" s="50"/>
      <c r="BN234" s="49"/>
    </row>
    <row r="235" spans="1:66" ht="15">
      <c r="A235" s="66" t="s">
        <v>2127</v>
      </c>
      <c r="B235" s="66" t="s">
        <v>289</v>
      </c>
      <c r="C235" s="67" t="s">
        <v>2108</v>
      </c>
      <c r="D235" s="68">
        <v>1</v>
      </c>
      <c r="E235" s="69" t="s">
        <v>132</v>
      </c>
      <c r="F235" s="70">
        <v>32</v>
      </c>
      <c r="G235" s="67" t="s">
        <v>51</v>
      </c>
      <c r="H235" s="71"/>
      <c r="I235" s="72"/>
      <c r="J235" s="72"/>
      <c r="K235" s="35" t="s">
        <v>65</v>
      </c>
      <c r="L235" s="79">
        <v>235</v>
      </c>
      <c r="M235" s="79"/>
      <c r="N235" s="74"/>
      <c r="O235" s="90" t="s">
        <v>305</v>
      </c>
      <c r="P235" s="93">
        <v>44483.5715625</v>
      </c>
      <c r="Q235" s="90" t="s">
        <v>2146</v>
      </c>
      <c r="R235" s="96" t="str">
        <f>HYPERLINK("https://www.op.fi/op-ryhma/vastuullisuus/vastuullisuus/taloustaidot/talouskurssi")</f>
        <v>https://www.op.fi/op-ryhma/vastuullisuus/vastuullisuus/taloustaidot/talouskurssi</v>
      </c>
      <c r="S235" s="90" t="s">
        <v>2153</v>
      </c>
      <c r="T235" s="99" t="s">
        <v>1127</v>
      </c>
      <c r="U235" s="96" t="str">
        <f>HYPERLINK("https://pbs.twimg.com/amplify_video_thumb/1448643417429340165/img/lmb1Q6KF2kqCAAPT.jpg")</f>
        <v>https://pbs.twimg.com/amplify_video_thumb/1448643417429340165/img/lmb1Q6KF2kqCAAPT.jpg</v>
      </c>
      <c r="V235" s="96" t="str">
        <f>HYPERLINK("https://pbs.twimg.com/amplify_video_thumb/1448643417429340165/img/lmb1Q6KF2kqCAAPT.jpg")</f>
        <v>https://pbs.twimg.com/amplify_video_thumb/1448643417429340165/img/lmb1Q6KF2kqCAAPT.jpg</v>
      </c>
      <c r="W235" s="93">
        <v>44483.5715625</v>
      </c>
      <c r="X235" s="102">
        <v>44483</v>
      </c>
      <c r="Y235" s="99" t="s">
        <v>2173</v>
      </c>
      <c r="Z235" s="96" t="str">
        <f>HYPERLINK("https://twitter.com/susa_makinen/status/1448645530414895107")</f>
        <v>https://twitter.com/susa_makinen/status/1448645530414895107</v>
      </c>
      <c r="AA235" s="90"/>
      <c r="AB235" s="90"/>
      <c r="AC235" s="99" t="s">
        <v>2219</v>
      </c>
      <c r="AD235" s="90"/>
      <c r="AE235" s="90" t="b">
        <v>0</v>
      </c>
      <c r="AF235" s="90">
        <v>0</v>
      </c>
      <c r="AG235" s="99" t="s">
        <v>535</v>
      </c>
      <c r="AH235" s="90" t="b">
        <v>0</v>
      </c>
      <c r="AI235" s="90" t="s">
        <v>537</v>
      </c>
      <c r="AJ235" s="90"/>
      <c r="AK235" s="99" t="s">
        <v>535</v>
      </c>
      <c r="AL235" s="90" t="b">
        <v>0</v>
      </c>
      <c r="AM235" s="90">
        <v>3</v>
      </c>
      <c r="AN235" s="99" t="s">
        <v>534</v>
      </c>
      <c r="AO235" s="99" t="s">
        <v>543</v>
      </c>
      <c r="AP235" s="90" t="b">
        <v>0</v>
      </c>
      <c r="AQ235" s="99" t="s">
        <v>534</v>
      </c>
      <c r="AR235" s="90" t="s">
        <v>187</v>
      </c>
      <c r="AS235" s="90">
        <v>0</v>
      </c>
      <c r="AT235" s="90">
        <v>0</v>
      </c>
      <c r="AU235" s="90"/>
      <c r="AV235" s="90"/>
      <c r="AW235" s="90"/>
      <c r="AX235" s="90"/>
      <c r="AY235" s="90"/>
      <c r="AZ235" s="90"/>
      <c r="BA235" s="90"/>
      <c r="BB235" s="90"/>
      <c r="BC235" s="90">
        <v>1</v>
      </c>
      <c r="BD235" s="89" t="str">
        <f>REPLACE(INDEX(GroupVertices[Group],MATCH(Edges[[#This Row],[Vertex 1]],GroupVertices[Vertex],0)),1,1,"")</f>
        <v>2</v>
      </c>
      <c r="BE235" s="89" t="str">
        <f>REPLACE(INDEX(GroupVertices[Group],MATCH(Edges[[#This Row],[Vertex 2]],GroupVertices[Vertex],0)),1,1,"")</f>
        <v>2</v>
      </c>
      <c r="BF235" s="49">
        <v>0</v>
      </c>
      <c r="BG235" s="50">
        <v>0</v>
      </c>
      <c r="BH235" s="49">
        <v>0</v>
      </c>
      <c r="BI235" s="50">
        <v>0</v>
      </c>
      <c r="BJ235" s="49">
        <v>0</v>
      </c>
      <c r="BK235" s="50">
        <v>0</v>
      </c>
      <c r="BL235" s="49">
        <v>31</v>
      </c>
      <c r="BM235" s="50">
        <v>100</v>
      </c>
      <c r="BN235" s="49">
        <v>31</v>
      </c>
    </row>
    <row r="236" spans="1:66" ht="15">
      <c r="A236" s="66" t="s">
        <v>287</v>
      </c>
      <c r="B236" s="66" t="s">
        <v>299</v>
      </c>
      <c r="C236" s="67" t="s">
        <v>2108</v>
      </c>
      <c r="D236" s="68">
        <v>1</v>
      </c>
      <c r="E236" s="69" t="s">
        <v>132</v>
      </c>
      <c r="F236" s="70">
        <v>32</v>
      </c>
      <c r="G236" s="67" t="s">
        <v>51</v>
      </c>
      <c r="H236" s="71"/>
      <c r="I236" s="72"/>
      <c r="J236" s="72"/>
      <c r="K236" s="35" t="s">
        <v>65</v>
      </c>
      <c r="L236" s="79">
        <v>236</v>
      </c>
      <c r="M236" s="79"/>
      <c r="N236" s="74"/>
      <c r="O236" s="90" t="s">
        <v>306</v>
      </c>
      <c r="P236" s="93">
        <v>44483.586851851855</v>
      </c>
      <c r="Q236" s="90" t="s">
        <v>310</v>
      </c>
      <c r="R236" s="96" t="str">
        <f>HYPERLINK("https://talouskurssi.fi/")</f>
        <v>https://talouskurssi.fi/</v>
      </c>
      <c r="S236" s="90" t="s">
        <v>334</v>
      </c>
      <c r="T236" s="99" t="s">
        <v>338</v>
      </c>
      <c r="U236" s="96" t="str">
        <f>HYPERLINK("https://pbs.twimg.com/ext_tw_video_thumb/1448527896562348036/pu/img/0PqSbNMaXHvzKHCc.jpg")</f>
        <v>https://pbs.twimg.com/ext_tw_video_thumb/1448527896562348036/pu/img/0PqSbNMaXHvzKHCc.jpg</v>
      </c>
      <c r="V236" s="96" t="str">
        <f>HYPERLINK("https://pbs.twimg.com/ext_tw_video_thumb/1448527896562348036/pu/img/0PqSbNMaXHvzKHCc.jpg")</f>
        <v>https://pbs.twimg.com/ext_tw_video_thumb/1448527896562348036/pu/img/0PqSbNMaXHvzKHCc.jpg</v>
      </c>
      <c r="W236" s="93">
        <v>44483.586851851855</v>
      </c>
      <c r="X236" s="102">
        <v>44483</v>
      </c>
      <c r="Y236" s="99" t="s">
        <v>412</v>
      </c>
      <c r="Z236" s="96" t="str">
        <f>HYPERLINK("https://twitter.com/heikkio/status/1448651069546917903")</f>
        <v>https://twitter.com/heikkio/status/1448651069546917903</v>
      </c>
      <c r="AA236" s="90"/>
      <c r="AB236" s="90"/>
      <c r="AC236" s="99" t="s">
        <v>506</v>
      </c>
      <c r="AD236" s="90"/>
      <c r="AE236" s="90" t="b">
        <v>0</v>
      </c>
      <c r="AF236" s="90">
        <v>0</v>
      </c>
      <c r="AG236" s="99" t="s">
        <v>535</v>
      </c>
      <c r="AH236" s="90" t="b">
        <v>0</v>
      </c>
      <c r="AI236" s="90" t="s">
        <v>537</v>
      </c>
      <c r="AJ236" s="90"/>
      <c r="AK236" s="99" t="s">
        <v>535</v>
      </c>
      <c r="AL236" s="90" t="b">
        <v>0</v>
      </c>
      <c r="AM236" s="90">
        <v>52</v>
      </c>
      <c r="AN236" s="99" t="s">
        <v>526</v>
      </c>
      <c r="AO236" s="99" t="s">
        <v>545</v>
      </c>
      <c r="AP236" s="90" t="b">
        <v>0</v>
      </c>
      <c r="AQ236" s="99" t="s">
        <v>526</v>
      </c>
      <c r="AR236" s="90" t="s">
        <v>187</v>
      </c>
      <c r="AS236" s="90">
        <v>0</v>
      </c>
      <c r="AT236" s="90">
        <v>0</v>
      </c>
      <c r="AU236" s="90"/>
      <c r="AV236" s="90"/>
      <c r="AW236" s="90"/>
      <c r="AX236" s="90"/>
      <c r="AY236" s="90"/>
      <c r="AZ236" s="90"/>
      <c r="BA236" s="90"/>
      <c r="BB236" s="90"/>
      <c r="BC236" s="90">
        <v>1</v>
      </c>
      <c r="BD236" s="89" t="str">
        <f>REPLACE(INDEX(GroupVertices[Group],MATCH(Edges[[#This Row],[Vertex 1]],GroupVertices[Vertex],0)),1,1,"")</f>
        <v>1</v>
      </c>
      <c r="BE236" s="89" t="str">
        <f>REPLACE(INDEX(GroupVertices[Group],MATCH(Edges[[#This Row],[Vertex 2]],GroupVertices[Vertex],0)),1,1,"")</f>
        <v>1</v>
      </c>
      <c r="BF236" s="49"/>
      <c r="BG236" s="50"/>
      <c r="BH236" s="49"/>
      <c r="BI236" s="50"/>
      <c r="BJ236" s="49"/>
      <c r="BK236" s="50"/>
      <c r="BL236" s="49"/>
      <c r="BM236" s="50"/>
      <c r="BN236" s="49"/>
    </row>
    <row r="237" spans="1:66" ht="15">
      <c r="A237" s="66" t="s">
        <v>287</v>
      </c>
      <c r="B237" s="66" t="s">
        <v>302</v>
      </c>
      <c r="C237" s="67" t="s">
        <v>2108</v>
      </c>
      <c r="D237" s="68">
        <v>1</v>
      </c>
      <c r="E237" s="69" t="s">
        <v>132</v>
      </c>
      <c r="F237" s="70">
        <v>32</v>
      </c>
      <c r="G237" s="67" t="s">
        <v>51</v>
      </c>
      <c r="H237" s="71"/>
      <c r="I237" s="72"/>
      <c r="J237" s="72"/>
      <c r="K237" s="35" t="s">
        <v>65</v>
      </c>
      <c r="L237" s="79">
        <v>237</v>
      </c>
      <c r="M237" s="79"/>
      <c r="N237" s="74"/>
      <c r="O237" s="90" t="s">
        <v>306</v>
      </c>
      <c r="P237" s="93">
        <v>44483.586851851855</v>
      </c>
      <c r="Q237" s="90" t="s">
        <v>310</v>
      </c>
      <c r="R237" s="96" t="str">
        <f>HYPERLINK("https://talouskurssi.fi/")</f>
        <v>https://talouskurssi.fi/</v>
      </c>
      <c r="S237" s="90" t="s">
        <v>334</v>
      </c>
      <c r="T237" s="99" t="s">
        <v>338</v>
      </c>
      <c r="U237" s="96" t="str">
        <f>HYPERLINK("https://pbs.twimg.com/ext_tw_video_thumb/1448527896562348036/pu/img/0PqSbNMaXHvzKHCc.jpg")</f>
        <v>https://pbs.twimg.com/ext_tw_video_thumb/1448527896562348036/pu/img/0PqSbNMaXHvzKHCc.jpg</v>
      </c>
      <c r="V237" s="96" t="str">
        <f>HYPERLINK("https://pbs.twimg.com/ext_tw_video_thumb/1448527896562348036/pu/img/0PqSbNMaXHvzKHCc.jpg")</f>
        <v>https://pbs.twimg.com/ext_tw_video_thumb/1448527896562348036/pu/img/0PqSbNMaXHvzKHCc.jpg</v>
      </c>
      <c r="W237" s="93">
        <v>44483.586851851855</v>
      </c>
      <c r="X237" s="102">
        <v>44483</v>
      </c>
      <c r="Y237" s="99" t="s">
        <v>412</v>
      </c>
      <c r="Z237" s="96" t="str">
        <f>HYPERLINK("https://twitter.com/heikkio/status/1448651069546917903")</f>
        <v>https://twitter.com/heikkio/status/1448651069546917903</v>
      </c>
      <c r="AA237" s="90"/>
      <c r="AB237" s="90"/>
      <c r="AC237" s="99" t="s">
        <v>506</v>
      </c>
      <c r="AD237" s="90"/>
      <c r="AE237" s="90" t="b">
        <v>0</v>
      </c>
      <c r="AF237" s="90">
        <v>0</v>
      </c>
      <c r="AG237" s="99" t="s">
        <v>535</v>
      </c>
      <c r="AH237" s="90" t="b">
        <v>0</v>
      </c>
      <c r="AI237" s="90" t="s">
        <v>537</v>
      </c>
      <c r="AJ237" s="90"/>
      <c r="AK237" s="99" t="s">
        <v>535</v>
      </c>
      <c r="AL237" s="90" t="b">
        <v>0</v>
      </c>
      <c r="AM237" s="90">
        <v>52</v>
      </c>
      <c r="AN237" s="99" t="s">
        <v>526</v>
      </c>
      <c r="AO237" s="99" t="s">
        <v>545</v>
      </c>
      <c r="AP237" s="90" t="b">
        <v>0</v>
      </c>
      <c r="AQ237" s="99" t="s">
        <v>526</v>
      </c>
      <c r="AR237" s="90" t="s">
        <v>187</v>
      </c>
      <c r="AS237" s="90">
        <v>0</v>
      </c>
      <c r="AT237" s="90">
        <v>0</v>
      </c>
      <c r="AU237" s="90"/>
      <c r="AV237" s="90"/>
      <c r="AW237" s="90"/>
      <c r="AX237" s="90"/>
      <c r="AY237" s="90"/>
      <c r="AZ237" s="90"/>
      <c r="BA237" s="90"/>
      <c r="BB237" s="90"/>
      <c r="BC237" s="90">
        <v>1</v>
      </c>
      <c r="BD237" s="89" t="str">
        <f>REPLACE(INDEX(GroupVertices[Group],MATCH(Edges[[#This Row],[Vertex 1]],GroupVertices[Vertex],0)),1,1,"")</f>
        <v>1</v>
      </c>
      <c r="BE237" s="89" t="str">
        <f>REPLACE(INDEX(GroupVertices[Group],MATCH(Edges[[#This Row],[Vertex 2]],GroupVertices[Vertex],0)),1,1,"")</f>
        <v>1</v>
      </c>
      <c r="BF237" s="49"/>
      <c r="BG237" s="50"/>
      <c r="BH237" s="49"/>
      <c r="BI237" s="50"/>
      <c r="BJ237" s="49"/>
      <c r="BK237" s="50"/>
      <c r="BL237" s="49"/>
      <c r="BM237" s="50"/>
      <c r="BN237" s="49"/>
    </row>
    <row r="238" spans="1:66" ht="15">
      <c r="A238" s="66" t="s">
        <v>287</v>
      </c>
      <c r="B238" s="66" t="s">
        <v>293</v>
      </c>
      <c r="C238" s="67" t="s">
        <v>2108</v>
      </c>
      <c r="D238" s="68">
        <v>1</v>
      </c>
      <c r="E238" s="69" t="s">
        <v>132</v>
      </c>
      <c r="F238" s="70">
        <v>32</v>
      </c>
      <c r="G238" s="67" t="s">
        <v>51</v>
      </c>
      <c r="H238" s="71"/>
      <c r="I238" s="72"/>
      <c r="J238" s="72"/>
      <c r="K238" s="35" t="s">
        <v>65</v>
      </c>
      <c r="L238" s="79">
        <v>238</v>
      </c>
      <c r="M238" s="79"/>
      <c r="N238" s="74"/>
      <c r="O238" s="90" t="s">
        <v>305</v>
      </c>
      <c r="P238" s="93">
        <v>44483.586851851855</v>
      </c>
      <c r="Q238" s="90" t="s">
        <v>310</v>
      </c>
      <c r="R238" s="96" t="str">
        <f>HYPERLINK("https://talouskurssi.fi/")</f>
        <v>https://talouskurssi.fi/</v>
      </c>
      <c r="S238" s="90" t="s">
        <v>334</v>
      </c>
      <c r="T238" s="99" t="s">
        <v>338</v>
      </c>
      <c r="U238" s="96" t="str">
        <f>HYPERLINK("https://pbs.twimg.com/ext_tw_video_thumb/1448527896562348036/pu/img/0PqSbNMaXHvzKHCc.jpg")</f>
        <v>https://pbs.twimg.com/ext_tw_video_thumb/1448527896562348036/pu/img/0PqSbNMaXHvzKHCc.jpg</v>
      </c>
      <c r="V238" s="96" t="str">
        <f>HYPERLINK("https://pbs.twimg.com/ext_tw_video_thumb/1448527896562348036/pu/img/0PqSbNMaXHvzKHCc.jpg")</f>
        <v>https://pbs.twimg.com/ext_tw_video_thumb/1448527896562348036/pu/img/0PqSbNMaXHvzKHCc.jpg</v>
      </c>
      <c r="W238" s="93">
        <v>44483.586851851855</v>
      </c>
      <c r="X238" s="102">
        <v>44483</v>
      </c>
      <c r="Y238" s="99" t="s">
        <v>412</v>
      </c>
      <c r="Z238" s="96" t="str">
        <f>HYPERLINK("https://twitter.com/heikkio/status/1448651069546917903")</f>
        <v>https://twitter.com/heikkio/status/1448651069546917903</v>
      </c>
      <c r="AA238" s="90"/>
      <c r="AB238" s="90"/>
      <c r="AC238" s="99" t="s">
        <v>506</v>
      </c>
      <c r="AD238" s="90"/>
      <c r="AE238" s="90" t="b">
        <v>0</v>
      </c>
      <c r="AF238" s="90">
        <v>0</v>
      </c>
      <c r="AG238" s="99" t="s">
        <v>535</v>
      </c>
      <c r="AH238" s="90" t="b">
        <v>0</v>
      </c>
      <c r="AI238" s="90" t="s">
        <v>537</v>
      </c>
      <c r="AJ238" s="90"/>
      <c r="AK238" s="99" t="s">
        <v>535</v>
      </c>
      <c r="AL238" s="90" t="b">
        <v>0</v>
      </c>
      <c r="AM238" s="90">
        <v>52</v>
      </c>
      <c r="AN238" s="99" t="s">
        <v>526</v>
      </c>
      <c r="AO238" s="99" t="s">
        <v>545</v>
      </c>
      <c r="AP238" s="90" t="b">
        <v>0</v>
      </c>
      <c r="AQ238" s="99" t="s">
        <v>526</v>
      </c>
      <c r="AR238" s="90" t="s">
        <v>187</v>
      </c>
      <c r="AS238" s="90">
        <v>0</v>
      </c>
      <c r="AT238" s="90">
        <v>0</v>
      </c>
      <c r="AU238" s="90"/>
      <c r="AV238" s="90"/>
      <c r="AW238" s="90"/>
      <c r="AX238" s="90"/>
      <c r="AY238" s="90"/>
      <c r="AZ238" s="90"/>
      <c r="BA238" s="90"/>
      <c r="BB238" s="90"/>
      <c r="BC238" s="90">
        <v>1</v>
      </c>
      <c r="BD238" s="89" t="str">
        <f>REPLACE(INDEX(GroupVertices[Group],MATCH(Edges[[#This Row],[Vertex 1]],GroupVertices[Vertex],0)),1,1,"")</f>
        <v>1</v>
      </c>
      <c r="BE238" s="89" t="str">
        <f>REPLACE(INDEX(GroupVertices[Group],MATCH(Edges[[#This Row],[Vertex 2]],GroupVertices[Vertex],0)),1,1,"")</f>
        <v>3</v>
      </c>
      <c r="BF238" s="49">
        <v>0</v>
      </c>
      <c r="BG238" s="50">
        <v>0</v>
      </c>
      <c r="BH238" s="49">
        <v>0</v>
      </c>
      <c r="BI238" s="50">
        <v>0</v>
      </c>
      <c r="BJ238" s="49">
        <v>0</v>
      </c>
      <c r="BK238" s="50">
        <v>0</v>
      </c>
      <c r="BL238" s="49">
        <v>28</v>
      </c>
      <c r="BM238" s="50">
        <v>100</v>
      </c>
      <c r="BN238" s="49">
        <v>28</v>
      </c>
    </row>
    <row r="239" spans="1:66" ht="15">
      <c r="A239" s="66" t="s">
        <v>288</v>
      </c>
      <c r="B239" s="66" t="s">
        <v>299</v>
      </c>
      <c r="C239" s="67" t="s">
        <v>2108</v>
      </c>
      <c r="D239" s="68">
        <v>1</v>
      </c>
      <c r="E239" s="69" t="s">
        <v>132</v>
      </c>
      <c r="F239" s="70">
        <v>32</v>
      </c>
      <c r="G239" s="67" t="s">
        <v>51</v>
      </c>
      <c r="H239" s="71"/>
      <c r="I239" s="72"/>
      <c r="J239" s="72"/>
      <c r="K239" s="35" t="s">
        <v>65</v>
      </c>
      <c r="L239" s="79">
        <v>239</v>
      </c>
      <c r="M239" s="79"/>
      <c r="N239" s="74"/>
      <c r="O239" s="90" t="s">
        <v>306</v>
      </c>
      <c r="P239" s="93">
        <v>44483.59576388889</v>
      </c>
      <c r="Q239" s="90" t="s">
        <v>310</v>
      </c>
      <c r="R239" s="96" t="str">
        <f>HYPERLINK("https://talouskurssi.fi/")</f>
        <v>https://talouskurssi.fi/</v>
      </c>
      <c r="S239" s="90" t="s">
        <v>334</v>
      </c>
      <c r="T239" s="99" t="s">
        <v>338</v>
      </c>
      <c r="U239" s="96" t="str">
        <f>HYPERLINK("https://pbs.twimg.com/ext_tw_video_thumb/1448527896562348036/pu/img/0PqSbNMaXHvzKHCc.jpg")</f>
        <v>https://pbs.twimg.com/ext_tw_video_thumb/1448527896562348036/pu/img/0PqSbNMaXHvzKHCc.jpg</v>
      </c>
      <c r="V239" s="96" t="str">
        <f>HYPERLINK("https://pbs.twimg.com/ext_tw_video_thumb/1448527896562348036/pu/img/0PqSbNMaXHvzKHCc.jpg")</f>
        <v>https://pbs.twimg.com/ext_tw_video_thumb/1448527896562348036/pu/img/0PqSbNMaXHvzKHCc.jpg</v>
      </c>
      <c r="W239" s="93">
        <v>44483.59576388889</v>
      </c>
      <c r="X239" s="102">
        <v>44483</v>
      </c>
      <c r="Y239" s="99" t="s">
        <v>413</v>
      </c>
      <c r="Z239" s="96" t="str">
        <f>HYPERLINK("https://twitter.com/fysman/status/1448654300729643009")</f>
        <v>https://twitter.com/fysman/status/1448654300729643009</v>
      </c>
      <c r="AA239" s="90"/>
      <c r="AB239" s="90"/>
      <c r="AC239" s="99" t="s">
        <v>507</v>
      </c>
      <c r="AD239" s="90"/>
      <c r="AE239" s="90" t="b">
        <v>0</v>
      </c>
      <c r="AF239" s="90">
        <v>0</v>
      </c>
      <c r="AG239" s="99" t="s">
        <v>535</v>
      </c>
      <c r="AH239" s="90" t="b">
        <v>0</v>
      </c>
      <c r="AI239" s="90" t="s">
        <v>537</v>
      </c>
      <c r="AJ239" s="90"/>
      <c r="AK239" s="99" t="s">
        <v>535</v>
      </c>
      <c r="AL239" s="90" t="b">
        <v>0</v>
      </c>
      <c r="AM239" s="90">
        <v>52</v>
      </c>
      <c r="AN239" s="99" t="s">
        <v>526</v>
      </c>
      <c r="AO239" s="99" t="s">
        <v>545</v>
      </c>
      <c r="AP239" s="90" t="b">
        <v>0</v>
      </c>
      <c r="AQ239" s="99" t="s">
        <v>526</v>
      </c>
      <c r="AR239" s="90" t="s">
        <v>187</v>
      </c>
      <c r="AS239" s="90">
        <v>0</v>
      </c>
      <c r="AT239" s="90">
        <v>0</v>
      </c>
      <c r="AU239" s="90"/>
      <c r="AV239" s="90"/>
      <c r="AW239" s="90"/>
      <c r="AX239" s="90"/>
      <c r="AY239" s="90"/>
      <c r="AZ239" s="90"/>
      <c r="BA239" s="90"/>
      <c r="BB239" s="90"/>
      <c r="BC239" s="90">
        <v>1</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6" t="s">
        <v>288</v>
      </c>
      <c r="B240" s="66" t="s">
        <v>302</v>
      </c>
      <c r="C240" s="67" t="s">
        <v>2108</v>
      </c>
      <c r="D240" s="68">
        <v>1</v>
      </c>
      <c r="E240" s="69" t="s">
        <v>132</v>
      </c>
      <c r="F240" s="70">
        <v>32</v>
      </c>
      <c r="G240" s="67" t="s">
        <v>51</v>
      </c>
      <c r="H240" s="71"/>
      <c r="I240" s="72"/>
      <c r="J240" s="72"/>
      <c r="K240" s="35" t="s">
        <v>65</v>
      </c>
      <c r="L240" s="79">
        <v>240</v>
      </c>
      <c r="M240" s="79"/>
      <c r="N240" s="74"/>
      <c r="O240" s="90" t="s">
        <v>306</v>
      </c>
      <c r="P240" s="93">
        <v>44483.59576388889</v>
      </c>
      <c r="Q240" s="90" t="s">
        <v>310</v>
      </c>
      <c r="R240" s="96" t="str">
        <f>HYPERLINK("https://talouskurssi.fi/")</f>
        <v>https://talouskurssi.fi/</v>
      </c>
      <c r="S240" s="90" t="s">
        <v>334</v>
      </c>
      <c r="T240" s="99" t="s">
        <v>338</v>
      </c>
      <c r="U240" s="96" t="str">
        <f>HYPERLINK("https://pbs.twimg.com/ext_tw_video_thumb/1448527896562348036/pu/img/0PqSbNMaXHvzKHCc.jpg")</f>
        <v>https://pbs.twimg.com/ext_tw_video_thumb/1448527896562348036/pu/img/0PqSbNMaXHvzKHCc.jpg</v>
      </c>
      <c r="V240" s="96" t="str">
        <f>HYPERLINK("https://pbs.twimg.com/ext_tw_video_thumb/1448527896562348036/pu/img/0PqSbNMaXHvzKHCc.jpg")</f>
        <v>https://pbs.twimg.com/ext_tw_video_thumb/1448527896562348036/pu/img/0PqSbNMaXHvzKHCc.jpg</v>
      </c>
      <c r="W240" s="93">
        <v>44483.59576388889</v>
      </c>
      <c r="X240" s="102">
        <v>44483</v>
      </c>
      <c r="Y240" s="99" t="s">
        <v>413</v>
      </c>
      <c r="Z240" s="96" t="str">
        <f>HYPERLINK("https://twitter.com/fysman/status/1448654300729643009")</f>
        <v>https://twitter.com/fysman/status/1448654300729643009</v>
      </c>
      <c r="AA240" s="90"/>
      <c r="AB240" s="90"/>
      <c r="AC240" s="99" t="s">
        <v>507</v>
      </c>
      <c r="AD240" s="90"/>
      <c r="AE240" s="90" t="b">
        <v>0</v>
      </c>
      <c r="AF240" s="90">
        <v>0</v>
      </c>
      <c r="AG240" s="99" t="s">
        <v>535</v>
      </c>
      <c r="AH240" s="90" t="b">
        <v>0</v>
      </c>
      <c r="AI240" s="90" t="s">
        <v>537</v>
      </c>
      <c r="AJ240" s="90"/>
      <c r="AK240" s="99" t="s">
        <v>535</v>
      </c>
      <c r="AL240" s="90" t="b">
        <v>0</v>
      </c>
      <c r="AM240" s="90">
        <v>52</v>
      </c>
      <c r="AN240" s="99" t="s">
        <v>526</v>
      </c>
      <c r="AO240" s="99" t="s">
        <v>545</v>
      </c>
      <c r="AP240" s="90" t="b">
        <v>0</v>
      </c>
      <c r="AQ240" s="99" t="s">
        <v>526</v>
      </c>
      <c r="AR240" s="90" t="s">
        <v>187</v>
      </c>
      <c r="AS240" s="90">
        <v>0</v>
      </c>
      <c r="AT240" s="90">
        <v>0</v>
      </c>
      <c r="AU240" s="90"/>
      <c r="AV240" s="90"/>
      <c r="AW240" s="90"/>
      <c r="AX240" s="90"/>
      <c r="AY240" s="90"/>
      <c r="AZ240" s="90"/>
      <c r="BA240" s="90"/>
      <c r="BB240" s="90"/>
      <c r="BC240" s="90">
        <v>1</v>
      </c>
      <c r="BD240" s="89" t="str">
        <f>REPLACE(INDEX(GroupVertices[Group],MATCH(Edges[[#This Row],[Vertex 1]],GroupVertices[Vertex],0)),1,1,"")</f>
        <v>1</v>
      </c>
      <c r="BE240" s="89" t="str">
        <f>REPLACE(INDEX(GroupVertices[Group],MATCH(Edges[[#This Row],[Vertex 2]],GroupVertices[Vertex],0)),1,1,"")</f>
        <v>1</v>
      </c>
      <c r="BF240" s="49"/>
      <c r="BG240" s="50"/>
      <c r="BH240" s="49"/>
      <c r="BI240" s="50"/>
      <c r="BJ240" s="49"/>
      <c r="BK240" s="50"/>
      <c r="BL240" s="49"/>
      <c r="BM240" s="50"/>
      <c r="BN240" s="49"/>
    </row>
    <row r="241" spans="1:66" ht="15">
      <c r="A241" s="66" t="s">
        <v>288</v>
      </c>
      <c r="B241" s="66" t="s">
        <v>293</v>
      </c>
      <c r="C241" s="67" t="s">
        <v>2108</v>
      </c>
      <c r="D241" s="68">
        <v>1</v>
      </c>
      <c r="E241" s="69" t="s">
        <v>132</v>
      </c>
      <c r="F241" s="70">
        <v>32</v>
      </c>
      <c r="G241" s="67" t="s">
        <v>51</v>
      </c>
      <c r="H241" s="71"/>
      <c r="I241" s="72"/>
      <c r="J241" s="72"/>
      <c r="K241" s="35" t="s">
        <v>65</v>
      </c>
      <c r="L241" s="79">
        <v>241</v>
      </c>
      <c r="M241" s="79"/>
      <c r="N241" s="74"/>
      <c r="O241" s="90" t="s">
        <v>305</v>
      </c>
      <c r="P241" s="93">
        <v>44483.59576388889</v>
      </c>
      <c r="Q241" s="90" t="s">
        <v>310</v>
      </c>
      <c r="R241" s="96" t="str">
        <f>HYPERLINK("https://talouskurssi.fi/")</f>
        <v>https://talouskurssi.fi/</v>
      </c>
      <c r="S241" s="90" t="s">
        <v>334</v>
      </c>
      <c r="T241" s="99" t="s">
        <v>338</v>
      </c>
      <c r="U241" s="96" t="str">
        <f>HYPERLINK("https://pbs.twimg.com/ext_tw_video_thumb/1448527896562348036/pu/img/0PqSbNMaXHvzKHCc.jpg")</f>
        <v>https://pbs.twimg.com/ext_tw_video_thumb/1448527896562348036/pu/img/0PqSbNMaXHvzKHCc.jpg</v>
      </c>
      <c r="V241" s="96" t="str">
        <f>HYPERLINK("https://pbs.twimg.com/ext_tw_video_thumb/1448527896562348036/pu/img/0PqSbNMaXHvzKHCc.jpg")</f>
        <v>https://pbs.twimg.com/ext_tw_video_thumb/1448527896562348036/pu/img/0PqSbNMaXHvzKHCc.jpg</v>
      </c>
      <c r="W241" s="93">
        <v>44483.59576388889</v>
      </c>
      <c r="X241" s="102">
        <v>44483</v>
      </c>
      <c r="Y241" s="99" t="s">
        <v>413</v>
      </c>
      <c r="Z241" s="96" t="str">
        <f>HYPERLINK("https://twitter.com/fysman/status/1448654300729643009")</f>
        <v>https://twitter.com/fysman/status/1448654300729643009</v>
      </c>
      <c r="AA241" s="90"/>
      <c r="AB241" s="90"/>
      <c r="AC241" s="99" t="s">
        <v>507</v>
      </c>
      <c r="AD241" s="90"/>
      <c r="AE241" s="90" t="b">
        <v>0</v>
      </c>
      <c r="AF241" s="90">
        <v>0</v>
      </c>
      <c r="AG241" s="99" t="s">
        <v>535</v>
      </c>
      <c r="AH241" s="90" t="b">
        <v>0</v>
      </c>
      <c r="AI241" s="90" t="s">
        <v>537</v>
      </c>
      <c r="AJ241" s="90"/>
      <c r="AK241" s="99" t="s">
        <v>535</v>
      </c>
      <c r="AL241" s="90" t="b">
        <v>0</v>
      </c>
      <c r="AM241" s="90">
        <v>52</v>
      </c>
      <c r="AN241" s="99" t="s">
        <v>526</v>
      </c>
      <c r="AO241" s="99" t="s">
        <v>545</v>
      </c>
      <c r="AP241" s="90" t="b">
        <v>0</v>
      </c>
      <c r="AQ241" s="99" t="s">
        <v>526</v>
      </c>
      <c r="AR241" s="90" t="s">
        <v>187</v>
      </c>
      <c r="AS241" s="90">
        <v>0</v>
      </c>
      <c r="AT241" s="90">
        <v>0</v>
      </c>
      <c r="AU241" s="90"/>
      <c r="AV241" s="90"/>
      <c r="AW241" s="90"/>
      <c r="AX241" s="90"/>
      <c r="AY241" s="90"/>
      <c r="AZ241" s="90"/>
      <c r="BA241" s="90"/>
      <c r="BB241" s="90"/>
      <c r="BC241" s="90">
        <v>1</v>
      </c>
      <c r="BD241" s="89" t="str">
        <f>REPLACE(INDEX(GroupVertices[Group],MATCH(Edges[[#This Row],[Vertex 1]],GroupVertices[Vertex],0)),1,1,"")</f>
        <v>1</v>
      </c>
      <c r="BE241" s="89" t="str">
        <f>REPLACE(INDEX(GroupVertices[Group],MATCH(Edges[[#This Row],[Vertex 2]],GroupVertices[Vertex],0)),1,1,"")</f>
        <v>3</v>
      </c>
      <c r="BF241" s="49">
        <v>0</v>
      </c>
      <c r="BG241" s="50">
        <v>0</v>
      </c>
      <c r="BH241" s="49">
        <v>0</v>
      </c>
      <c r="BI241" s="50">
        <v>0</v>
      </c>
      <c r="BJ241" s="49">
        <v>0</v>
      </c>
      <c r="BK241" s="50">
        <v>0</v>
      </c>
      <c r="BL241" s="49">
        <v>28</v>
      </c>
      <c r="BM241" s="50">
        <v>100</v>
      </c>
      <c r="BN241" s="49">
        <v>28</v>
      </c>
    </row>
    <row r="242" spans="1:66" ht="15">
      <c r="A242" s="66" t="s">
        <v>2128</v>
      </c>
      <c r="B242" s="66" t="s">
        <v>2128</v>
      </c>
      <c r="C242" s="67" t="s">
        <v>2108</v>
      </c>
      <c r="D242" s="68">
        <v>1</v>
      </c>
      <c r="E242" s="69" t="s">
        <v>132</v>
      </c>
      <c r="F242" s="70">
        <v>32</v>
      </c>
      <c r="G242" s="67" t="s">
        <v>51</v>
      </c>
      <c r="H242" s="71"/>
      <c r="I242" s="72"/>
      <c r="J242" s="72"/>
      <c r="K242" s="35" t="s">
        <v>65</v>
      </c>
      <c r="L242" s="79">
        <v>242</v>
      </c>
      <c r="M242" s="79"/>
      <c r="N242" s="74"/>
      <c r="O242" s="90" t="s">
        <v>187</v>
      </c>
      <c r="P242" s="93">
        <v>44483.57944444445</v>
      </c>
      <c r="Q242" s="90" t="s">
        <v>2147</v>
      </c>
      <c r="R242" s="90" t="s">
        <v>331</v>
      </c>
      <c r="S242" s="90" t="s">
        <v>335</v>
      </c>
      <c r="T242" s="99" t="s">
        <v>2154</v>
      </c>
      <c r="U242" s="90"/>
      <c r="V242" s="96" t="str">
        <f>HYPERLINK("https://pbs.twimg.com/profile_images/1351780178343690241/UUHBnryO_normal.jpg")</f>
        <v>https://pbs.twimg.com/profile_images/1351780178343690241/UUHBnryO_normal.jpg</v>
      </c>
      <c r="W242" s="93">
        <v>44483.57944444445</v>
      </c>
      <c r="X242" s="102">
        <v>44483</v>
      </c>
      <c r="Y242" s="99" t="s">
        <v>2174</v>
      </c>
      <c r="Z242" s="96" t="str">
        <f>HYPERLINK("https://twitter.com/tedapter/status/1448648386064699393")</f>
        <v>https://twitter.com/tedapter/status/1448648386064699393</v>
      </c>
      <c r="AA242" s="90"/>
      <c r="AB242" s="90"/>
      <c r="AC242" s="99" t="s">
        <v>2220</v>
      </c>
      <c r="AD242" s="90"/>
      <c r="AE242" s="90" t="b">
        <v>0</v>
      </c>
      <c r="AF242" s="90">
        <v>13</v>
      </c>
      <c r="AG242" s="99" t="s">
        <v>535</v>
      </c>
      <c r="AH242" s="90" t="b">
        <v>1</v>
      </c>
      <c r="AI242" s="90" t="s">
        <v>537</v>
      </c>
      <c r="AJ242" s="90"/>
      <c r="AK242" s="99" t="s">
        <v>526</v>
      </c>
      <c r="AL242" s="90" t="b">
        <v>0</v>
      </c>
      <c r="AM242" s="90">
        <v>1</v>
      </c>
      <c r="AN242" s="99" t="s">
        <v>535</v>
      </c>
      <c r="AO242" s="99" t="s">
        <v>542</v>
      </c>
      <c r="AP242" s="90" t="b">
        <v>0</v>
      </c>
      <c r="AQ242" s="99" t="s">
        <v>2220</v>
      </c>
      <c r="AR242" s="90" t="s">
        <v>187</v>
      </c>
      <c r="AS242" s="90">
        <v>0</v>
      </c>
      <c r="AT242" s="90">
        <v>0</v>
      </c>
      <c r="AU242" s="90"/>
      <c r="AV242" s="90"/>
      <c r="AW242" s="90"/>
      <c r="AX242" s="90"/>
      <c r="AY242" s="90"/>
      <c r="AZ242" s="90"/>
      <c r="BA242" s="90"/>
      <c r="BB242" s="90"/>
      <c r="BC242" s="90">
        <v>1</v>
      </c>
      <c r="BD242" s="89" t="str">
        <f>REPLACE(INDEX(GroupVertices[Group],MATCH(Edges[[#This Row],[Vertex 1]],GroupVertices[Vertex],0)),1,1,"")</f>
        <v>5</v>
      </c>
      <c r="BE242" s="89" t="str">
        <f>REPLACE(INDEX(GroupVertices[Group],MATCH(Edges[[#This Row],[Vertex 2]],GroupVertices[Vertex],0)),1,1,"")</f>
        <v>5</v>
      </c>
      <c r="BF242" s="49">
        <v>0</v>
      </c>
      <c r="BG242" s="50">
        <v>0</v>
      </c>
      <c r="BH242" s="49">
        <v>0</v>
      </c>
      <c r="BI242" s="50">
        <v>0</v>
      </c>
      <c r="BJ242" s="49">
        <v>0</v>
      </c>
      <c r="BK242" s="50">
        <v>0</v>
      </c>
      <c r="BL242" s="49">
        <v>26</v>
      </c>
      <c r="BM242" s="50">
        <v>100</v>
      </c>
      <c r="BN242" s="49">
        <v>26</v>
      </c>
    </row>
    <row r="243" spans="1:66" ht="15">
      <c r="A243" s="66" t="s">
        <v>2129</v>
      </c>
      <c r="B243" s="66" t="s">
        <v>2128</v>
      </c>
      <c r="C243" s="67" t="s">
        <v>2108</v>
      </c>
      <c r="D243" s="68">
        <v>1</v>
      </c>
      <c r="E243" s="69" t="s">
        <v>132</v>
      </c>
      <c r="F243" s="70">
        <v>32</v>
      </c>
      <c r="G243" s="67" t="s">
        <v>51</v>
      </c>
      <c r="H243" s="71"/>
      <c r="I243" s="72"/>
      <c r="J243" s="72"/>
      <c r="K243" s="35" t="s">
        <v>65</v>
      </c>
      <c r="L243" s="79">
        <v>243</v>
      </c>
      <c r="M243" s="79"/>
      <c r="N243" s="74"/>
      <c r="O243" s="90" t="s">
        <v>305</v>
      </c>
      <c r="P243" s="93">
        <v>44483.64942129629</v>
      </c>
      <c r="Q243" s="90" t="s">
        <v>2147</v>
      </c>
      <c r="R243" s="90" t="s">
        <v>331</v>
      </c>
      <c r="S243" s="90" t="s">
        <v>335</v>
      </c>
      <c r="T243" s="99" t="s">
        <v>2154</v>
      </c>
      <c r="U243" s="90"/>
      <c r="V243" s="96" t="str">
        <f>HYPERLINK("https://pbs.twimg.com/profile_images/1218154636990930945/iJmmaRxR_normal.jpg")</f>
        <v>https://pbs.twimg.com/profile_images/1218154636990930945/iJmmaRxR_normal.jpg</v>
      </c>
      <c r="W243" s="93">
        <v>44483.64942129629</v>
      </c>
      <c r="X243" s="102">
        <v>44483</v>
      </c>
      <c r="Y243" s="99" t="s">
        <v>2175</v>
      </c>
      <c r="Z243" s="96" t="str">
        <f>HYPERLINK("https://twitter.com/martinpaasi/status/1448673745904848899")</f>
        <v>https://twitter.com/martinpaasi/status/1448673745904848899</v>
      </c>
      <c r="AA243" s="90"/>
      <c r="AB243" s="90"/>
      <c r="AC243" s="99" t="s">
        <v>2221</v>
      </c>
      <c r="AD243" s="90"/>
      <c r="AE243" s="90" t="b">
        <v>0</v>
      </c>
      <c r="AF243" s="90">
        <v>0</v>
      </c>
      <c r="AG243" s="99" t="s">
        <v>535</v>
      </c>
      <c r="AH243" s="90" t="b">
        <v>1</v>
      </c>
      <c r="AI243" s="90" t="s">
        <v>537</v>
      </c>
      <c r="AJ243" s="90"/>
      <c r="AK243" s="99" t="s">
        <v>526</v>
      </c>
      <c r="AL243" s="90" t="b">
        <v>0</v>
      </c>
      <c r="AM243" s="90">
        <v>1</v>
      </c>
      <c r="AN243" s="99" t="s">
        <v>2220</v>
      </c>
      <c r="AO243" s="99" t="s">
        <v>543</v>
      </c>
      <c r="AP243" s="90" t="b">
        <v>0</v>
      </c>
      <c r="AQ243" s="99" t="s">
        <v>2220</v>
      </c>
      <c r="AR243" s="90" t="s">
        <v>187</v>
      </c>
      <c r="AS243" s="90">
        <v>0</v>
      </c>
      <c r="AT243" s="90">
        <v>0</v>
      </c>
      <c r="AU243" s="90"/>
      <c r="AV243" s="90"/>
      <c r="AW243" s="90"/>
      <c r="AX243" s="90"/>
      <c r="AY243" s="90"/>
      <c r="AZ243" s="90"/>
      <c r="BA243" s="90"/>
      <c r="BB243" s="90"/>
      <c r="BC243" s="90">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26</v>
      </c>
      <c r="BM243" s="50">
        <v>100</v>
      </c>
      <c r="BN243" s="49">
        <v>26</v>
      </c>
    </row>
    <row r="244" spans="1:66" ht="15">
      <c r="A244" s="66" t="s">
        <v>2130</v>
      </c>
      <c r="B244" s="66" t="s">
        <v>252</v>
      </c>
      <c r="C244" s="67" t="s">
        <v>2108</v>
      </c>
      <c r="D244" s="68">
        <v>1</v>
      </c>
      <c r="E244" s="69" t="s">
        <v>132</v>
      </c>
      <c r="F244" s="70">
        <v>32</v>
      </c>
      <c r="G244" s="67" t="s">
        <v>51</v>
      </c>
      <c r="H244" s="71"/>
      <c r="I244" s="72"/>
      <c r="J244" s="72"/>
      <c r="K244" s="35" t="s">
        <v>65</v>
      </c>
      <c r="L244" s="79">
        <v>244</v>
      </c>
      <c r="M244" s="79"/>
      <c r="N244" s="74"/>
      <c r="O244" s="90" t="s">
        <v>306</v>
      </c>
      <c r="P244" s="93">
        <v>44483.64945601852</v>
      </c>
      <c r="Q244" s="90" t="s">
        <v>2140</v>
      </c>
      <c r="R244" s="96" t="str">
        <f>HYPERLINK("https://talouskurssi.fi")</f>
        <v>https://talouskurssi.fi</v>
      </c>
      <c r="S244" s="90" t="s">
        <v>334</v>
      </c>
      <c r="T244" s="90"/>
      <c r="U244" s="96" t="str">
        <f>HYPERLINK("https://pbs.twimg.com/media/FBpWom9XIAAjFw3.jpg")</f>
        <v>https://pbs.twimg.com/media/FBpWom9XIAAjFw3.jpg</v>
      </c>
      <c r="V244" s="96" t="str">
        <f>HYPERLINK("https://pbs.twimg.com/media/FBpWom9XIAAjFw3.jpg")</f>
        <v>https://pbs.twimg.com/media/FBpWom9XIAAjFw3.jpg</v>
      </c>
      <c r="W244" s="93">
        <v>44483.64945601852</v>
      </c>
      <c r="X244" s="102">
        <v>44483</v>
      </c>
      <c r="Y244" s="99" t="s">
        <v>2176</v>
      </c>
      <c r="Z244" s="96" t="str">
        <f>HYPERLINK("https://twitter.com/visafin/status/1448673759280472069")</f>
        <v>https://twitter.com/visafin/status/1448673759280472069</v>
      </c>
      <c r="AA244" s="90"/>
      <c r="AB244" s="90"/>
      <c r="AC244" s="99" t="s">
        <v>2222</v>
      </c>
      <c r="AD244" s="90"/>
      <c r="AE244" s="90" t="b">
        <v>0</v>
      </c>
      <c r="AF244" s="90">
        <v>0</v>
      </c>
      <c r="AG244" s="99" t="s">
        <v>535</v>
      </c>
      <c r="AH244" s="90" t="b">
        <v>0</v>
      </c>
      <c r="AI244" s="90" t="s">
        <v>537</v>
      </c>
      <c r="AJ244" s="90"/>
      <c r="AK244" s="99" t="s">
        <v>535</v>
      </c>
      <c r="AL244" s="90" t="b">
        <v>0</v>
      </c>
      <c r="AM244" s="90">
        <v>9</v>
      </c>
      <c r="AN244" s="99" t="s">
        <v>538</v>
      </c>
      <c r="AO244" s="99" t="s">
        <v>545</v>
      </c>
      <c r="AP244" s="90" t="b">
        <v>0</v>
      </c>
      <c r="AQ244" s="99" t="s">
        <v>538</v>
      </c>
      <c r="AR244" s="90" t="s">
        <v>187</v>
      </c>
      <c r="AS244" s="90">
        <v>0</v>
      </c>
      <c r="AT244" s="90">
        <v>0</v>
      </c>
      <c r="AU244" s="90"/>
      <c r="AV244" s="90"/>
      <c r="AW244" s="90"/>
      <c r="AX244" s="90"/>
      <c r="AY244" s="90"/>
      <c r="AZ244" s="90"/>
      <c r="BA244" s="90"/>
      <c r="BB244" s="90"/>
      <c r="BC244" s="90">
        <v>1</v>
      </c>
      <c r="BD244" s="89" t="str">
        <f>REPLACE(INDEX(GroupVertices[Group],MATCH(Edges[[#This Row],[Vertex 1]],GroupVertices[Vertex],0)),1,1,"")</f>
        <v>2</v>
      </c>
      <c r="BE244" s="89" t="str">
        <f>REPLACE(INDEX(GroupVertices[Group],MATCH(Edges[[#This Row],[Vertex 2]],GroupVertices[Vertex],0)),1,1,"")</f>
        <v>2</v>
      </c>
      <c r="BF244" s="49"/>
      <c r="BG244" s="50"/>
      <c r="BH244" s="49"/>
      <c r="BI244" s="50"/>
      <c r="BJ244" s="49"/>
      <c r="BK244" s="50"/>
      <c r="BL244" s="49"/>
      <c r="BM244" s="50"/>
      <c r="BN244" s="49"/>
    </row>
    <row r="245" spans="1:66" ht="15">
      <c r="A245" s="66" t="s">
        <v>2130</v>
      </c>
      <c r="B245" s="66" t="s">
        <v>295</v>
      </c>
      <c r="C245" s="67" t="s">
        <v>2108</v>
      </c>
      <c r="D245" s="68">
        <v>1</v>
      </c>
      <c r="E245" s="69" t="s">
        <v>132</v>
      </c>
      <c r="F245" s="70">
        <v>32</v>
      </c>
      <c r="G245" s="67" t="s">
        <v>51</v>
      </c>
      <c r="H245" s="71"/>
      <c r="I245" s="72"/>
      <c r="J245" s="72"/>
      <c r="K245" s="35" t="s">
        <v>65</v>
      </c>
      <c r="L245" s="79">
        <v>245</v>
      </c>
      <c r="M245" s="79"/>
      <c r="N245" s="74"/>
      <c r="O245" s="90" t="s">
        <v>306</v>
      </c>
      <c r="P245" s="93">
        <v>44483.64945601852</v>
      </c>
      <c r="Q245" s="90" t="s">
        <v>2140</v>
      </c>
      <c r="R245" s="96" t="str">
        <f>HYPERLINK("https://talouskurssi.fi")</f>
        <v>https://talouskurssi.fi</v>
      </c>
      <c r="S245" s="90" t="s">
        <v>334</v>
      </c>
      <c r="T245" s="90"/>
      <c r="U245" s="96" t="str">
        <f>HYPERLINK("https://pbs.twimg.com/media/FBpWom9XIAAjFw3.jpg")</f>
        <v>https://pbs.twimg.com/media/FBpWom9XIAAjFw3.jpg</v>
      </c>
      <c r="V245" s="96" t="str">
        <f>HYPERLINK("https://pbs.twimg.com/media/FBpWom9XIAAjFw3.jpg")</f>
        <v>https://pbs.twimg.com/media/FBpWom9XIAAjFw3.jpg</v>
      </c>
      <c r="W245" s="93">
        <v>44483.64945601852</v>
      </c>
      <c r="X245" s="102">
        <v>44483</v>
      </c>
      <c r="Y245" s="99" t="s">
        <v>2176</v>
      </c>
      <c r="Z245" s="96" t="str">
        <f>HYPERLINK("https://twitter.com/visafin/status/1448673759280472069")</f>
        <v>https://twitter.com/visafin/status/1448673759280472069</v>
      </c>
      <c r="AA245" s="90"/>
      <c r="AB245" s="90"/>
      <c r="AC245" s="99" t="s">
        <v>2222</v>
      </c>
      <c r="AD245" s="90"/>
      <c r="AE245" s="90" t="b">
        <v>0</v>
      </c>
      <c r="AF245" s="90">
        <v>0</v>
      </c>
      <c r="AG245" s="99" t="s">
        <v>535</v>
      </c>
      <c r="AH245" s="90" t="b">
        <v>0</v>
      </c>
      <c r="AI245" s="90" t="s">
        <v>537</v>
      </c>
      <c r="AJ245" s="90"/>
      <c r="AK245" s="99" t="s">
        <v>535</v>
      </c>
      <c r="AL245" s="90" t="b">
        <v>0</v>
      </c>
      <c r="AM245" s="90">
        <v>9</v>
      </c>
      <c r="AN245" s="99" t="s">
        <v>538</v>
      </c>
      <c r="AO245" s="99" t="s">
        <v>545</v>
      </c>
      <c r="AP245" s="90" t="b">
        <v>0</v>
      </c>
      <c r="AQ245" s="99" t="s">
        <v>538</v>
      </c>
      <c r="AR245" s="90" t="s">
        <v>187</v>
      </c>
      <c r="AS245" s="90">
        <v>0</v>
      </c>
      <c r="AT245" s="90">
        <v>0</v>
      </c>
      <c r="AU245" s="90"/>
      <c r="AV245" s="90"/>
      <c r="AW245" s="90"/>
      <c r="AX245" s="90"/>
      <c r="AY245" s="90"/>
      <c r="AZ245" s="90"/>
      <c r="BA245" s="90"/>
      <c r="BB245" s="90"/>
      <c r="BC245" s="90">
        <v>1</v>
      </c>
      <c r="BD245" s="89" t="str">
        <f>REPLACE(INDEX(GroupVertices[Group],MATCH(Edges[[#This Row],[Vertex 1]],GroupVertices[Vertex],0)),1,1,"")</f>
        <v>2</v>
      </c>
      <c r="BE245" s="89" t="str">
        <f>REPLACE(INDEX(GroupVertices[Group],MATCH(Edges[[#This Row],[Vertex 2]],GroupVertices[Vertex],0)),1,1,"")</f>
        <v>2</v>
      </c>
      <c r="BF245" s="49"/>
      <c r="BG245" s="50"/>
      <c r="BH245" s="49"/>
      <c r="BI245" s="50"/>
      <c r="BJ245" s="49"/>
      <c r="BK245" s="50"/>
      <c r="BL245" s="49"/>
      <c r="BM245" s="50"/>
      <c r="BN245" s="49"/>
    </row>
    <row r="246" spans="1:66" ht="15">
      <c r="A246" s="66" t="s">
        <v>2130</v>
      </c>
      <c r="B246" s="66" t="s">
        <v>260</v>
      </c>
      <c r="C246" s="67" t="s">
        <v>2108</v>
      </c>
      <c r="D246" s="68">
        <v>1</v>
      </c>
      <c r="E246" s="69" t="s">
        <v>132</v>
      </c>
      <c r="F246" s="70">
        <v>32</v>
      </c>
      <c r="G246" s="67" t="s">
        <v>51</v>
      </c>
      <c r="H246" s="71"/>
      <c r="I246" s="72"/>
      <c r="J246" s="72"/>
      <c r="K246" s="35" t="s">
        <v>65</v>
      </c>
      <c r="L246" s="79">
        <v>246</v>
      </c>
      <c r="M246" s="79"/>
      <c r="N246" s="74"/>
      <c r="O246" s="90" t="s">
        <v>306</v>
      </c>
      <c r="P246" s="93">
        <v>44483.64945601852</v>
      </c>
      <c r="Q246" s="90" t="s">
        <v>2140</v>
      </c>
      <c r="R246" s="96" t="str">
        <f>HYPERLINK("https://talouskurssi.fi")</f>
        <v>https://talouskurssi.fi</v>
      </c>
      <c r="S246" s="90" t="s">
        <v>334</v>
      </c>
      <c r="T246" s="90"/>
      <c r="U246" s="96" t="str">
        <f>HYPERLINK("https://pbs.twimg.com/media/FBpWom9XIAAjFw3.jpg")</f>
        <v>https://pbs.twimg.com/media/FBpWom9XIAAjFw3.jpg</v>
      </c>
      <c r="V246" s="96" t="str">
        <f>HYPERLINK("https://pbs.twimg.com/media/FBpWom9XIAAjFw3.jpg")</f>
        <v>https://pbs.twimg.com/media/FBpWom9XIAAjFw3.jpg</v>
      </c>
      <c r="W246" s="93">
        <v>44483.64945601852</v>
      </c>
      <c r="X246" s="102">
        <v>44483</v>
      </c>
      <c r="Y246" s="99" t="s">
        <v>2176</v>
      </c>
      <c r="Z246" s="96" t="str">
        <f>HYPERLINK("https://twitter.com/visafin/status/1448673759280472069")</f>
        <v>https://twitter.com/visafin/status/1448673759280472069</v>
      </c>
      <c r="AA246" s="90"/>
      <c r="AB246" s="90"/>
      <c r="AC246" s="99" t="s">
        <v>2222</v>
      </c>
      <c r="AD246" s="90"/>
      <c r="AE246" s="90" t="b">
        <v>0</v>
      </c>
      <c r="AF246" s="90">
        <v>0</v>
      </c>
      <c r="AG246" s="99" t="s">
        <v>535</v>
      </c>
      <c r="AH246" s="90" t="b">
        <v>0</v>
      </c>
      <c r="AI246" s="90" t="s">
        <v>537</v>
      </c>
      <c r="AJ246" s="90"/>
      <c r="AK246" s="99" t="s">
        <v>535</v>
      </c>
      <c r="AL246" s="90" t="b">
        <v>0</v>
      </c>
      <c r="AM246" s="90">
        <v>9</v>
      </c>
      <c r="AN246" s="99" t="s">
        <v>538</v>
      </c>
      <c r="AO246" s="99" t="s">
        <v>545</v>
      </c>
      <c r="AP246" s="90" t="b">
        <v>0</v>
      </c>
      <c r="AQ246" s="99" t="s">
        <v>538</v>
      </c>
      <c r="AR246" s="90" t="s">
        <v>187</v>
      </c>
      <c r="AS246" s="90">
        <v>0</v>
      </c>
      <c r="AT246" s="90">
        <v>0</v>
      </c>
      <c r="AU246" s="90"/>
      <c r="AV246" s="90"/>
      <c r="AW246" s="90"/>
      <c r="AX246" s="90"/>
      <c r="AY246" s="90"/>
      <c r="AZ246" s="90"/>
      <c r="BA246" s="90"/>
      <c r="BB246" s="90"/>
      <c r="BC246" s="90">
        <v>1</v>
      </c>
      <c r="BD246" s="89" t="str">
        <f>REPLACE(INDEX(GroupVertices[Group],MATCH(Edges[[#This Row],[Vertex 1]],GroupVertices[Vertex],0)),1,1,"")</f>
        <v>2</v>
      </c>
      <c r="BE246" s="89" t="str">
        <f>REPLACE(INDEX(GroupVertices[Group],MATCH(Edges[[#This Row],[Vertex 2]],GroupVertices[Vertex],0)),1,1,"")</f>
        <v>2</v>
      </c>
      <c r="BF246" s="49"/>
      <c r="BG246" s="50"/>
      <c r="BH246" s="49"/>
      <c r="BI246" s="50"/>
      <c r="BJ246" s="49"/>
      <c r="BK246" s="50"/>
      <c r="BL246" s="49"/>
      <c r="BM246" s="50"/>
      <c r="BN246" s="49"/>
    </row>
    <row r="247" spans="1:66" ht="15">
      <c r="A247" s="66" t="s">
        <v>2130</v>
      </c>
      <c r="B247" s="66" t="s">
        <v>293</v>
      </c>
      <c r="C247" s="67" t="s">
        <v>2108</v>
      </c>
      <c r="D247" s="68">
        <v>1</v>
      </c>
      <c r="E247" s="69" t="s">
        <v>132</v>
      </c>
      <c r="F247" s="70">
        <v>32</v>
      </c>
      <c r="G247" s="67" t="s">
        <v>51</v>
      </c>
      <c r="H247" s="71"/>
      <c r="I247" s="72"/>
      <c r="J247" s="72"/>
      <c r="K247" s="35" t="s">
        <v>65</v>
      </c>
      <c r="L247" s="79">
        <v>247</v>
      </c>
      <c r="M247" s="79"/>
      <c r="N247" s="74"/>
      <c r="O247" s="90" t="s">
        <v>306</v>
      </c>
      <c r="P247" s="93">
        <v>44483.64945601852</v>
      </c>
      <c r="Q247" s="90" t="s">
        <v>2140</v>
      </c>
      <c r="R247" s="96" t="str">
        <f>HYPERLINK("https://talouskurssi.fi")</f>
        <v>https://talouskurssi.fi</v>
      </c>
      <c r="S247" s="90" t="s">
        <v>334</v>
      </c>
      <c r="T247" s="90"/>
      <c r="U247" s="96" t="str">
        <f>HYPERLINK("https://pbs.twimg.com/media/FBpWom9XIAAjFw3.jpg")</f>
        <v>https://pbs.twimg.com/media/FBpWom9XIAAjFw3.jpg</v>
      </c>
      <c r="V247" s="96" t="str">
        <f>HYPERLINK("https://pbs.twimg.com/media/FBpWom9XIAAjFw3.jpg")</f>
        <v>https://pbs.twimg.com/media/FBpWom9XIAAjFw3.jpg</v>
      </c>
      <c r="W247" s="93">
        <v>44483.64945601852</v>
      </c>
      <c r="X247" s="102">
        <v>44483</v>
      </c>
      <c r="Y247" s="99" t="s">
        <v>2176</v>
      </c>
      <c r="Z247" s="96" t="str">
        <f>HYPERLINK("https://twitter.com/visafin/status/1448673759280472069")</f>
        <v>https://twitter.com/visafin/status/1448673759280472069</v>
      </c>
      <c r="AA247" s="90"/>
      <c r="AB247" s="90"/>
      <c r="AC247" s="99" t="s">
        <v>2222</v>
      </c>
      <c r="AD247" s="90"/>
      <c r="AE247" s="90" t="b">
        <v>0</v>
      </c>
      <c r="AF247" s="90">
        <v>0</v>
      </c>
      <c r="AG247" s="99" t="s">
        <v>535</v>
      </c>
      <c r="AH247" s="90" t="b">
        <v>0</v>
      </c>
      <c r="AI247" s="90" t="s">
        <v>537</v>
      </c>
      <c r="AJ247" s="90"/>
      <c r="AK247" s="99" t="s">
        <v>535</v>
      </c>
      <c r="AL247" s="90" t="b">
        <v>0</v>
      </c>
      <c r="AM247" s="90">
        <v>9</v>
      </c>
      <c r="AN247" s="99" t="s">
        <v>538</v>
      </c>
      <c r="AO247" s="99" t="s">
        <v>545</v>
      </c>
      <c r="AP247" s="90" t="b">
        <v>0</v>
      </c>
      <c r="AQ247" s="99" t="s">
        <v>538</v>
      </c>
      <c r="AR247" s="90" t="s">
        <v>187</v>
      </c>
      <c r="AS247" s="90">
        <v>0</v>
      </c>
      <c r="AT247" s="90">
        <v>0</v>
      </c>
      <c r="AU247" s="90"/>
      <c r="AV247" s="90"/>
      <c r="AW247" s="90"/>
      <c r="AX247" s="90"/>
      <c r="AY247" s="90"/>
      <c r="AZ247" s="90"/>
      <c r="BA247" s="90"/>
      <c r="BB247" s="90"/>
      <c r="BC247" s="90">
        <v>1</v>
      </c>
      <c r="BD247" s="89" t="str">
        <f>REPLACE(INDEX(GroupVertices[Group],MATCH(Edges[[#This Row],[Vertex 1]],GroupVertices[Vertex],0)),1,1,"")</f>
        <v>2</v>
      </c>
      <c r="BE247" s="89" t="str">
        <f>REPLACE(INDEX(GroupVertices[Group],MATCH(Edges[[#This Row],[Vertex 2]],GroupVertices[Vertex],0)),1,1,"")</f>
        <v>3</v>
      </c>
      <c r="BF247" s="49"/>
      <c r="BG247" s="50"/>
      <c r="BH247" s="49"/>
      <c r="BI247" s="50"/>
      <c r="BJ247" s="49"/>
      <c r="BK247" s="50"/>
      <c r="BL247" s="49"/>
      <c r="BM247" s="50"/>
      <c r="BN247" s="49"/>
    </row>
    <row r="248" spans="1:66" ht="15">
      <c r="A248" s="66" t="s">
        <v>2130</v>
      </c>
      <c r="B248" s="66" t="s">
        <v>250</v>
      </c>
      <c r="C248" s="67" t="s">
        <v>2108</v>
      </c>
      <c r="D248" s="68">
        <v>1</v>
      </c>
      <c r="E248" s="69" t="s">
        <v>132</v>
      </c>
      <c r="F248" s="70">
        <v>32</v>
      </c>
      <c r="G248" s="67" t="s">
        <v>51</v>
      </c>
      <c r="H248" s="71"/>
      <c r="I248" s="72"/>
      <c r="J248" s="72"/>
      <c r="K248" s="35" t="s">
        <v>65</v>
      </c>
      <c r="L248" s="79">
        <v>248</v>
      </c>
      <c r="M248" s="79"/>
      <c r="N248" s="74"/>
      <c r="O248" s="90" t="s">
        <v>305</v>
      </c>
      <c r="P248" s="93">
        <v>44483.64945601852</v>
      </c>
      <c r="Q248" s="90" t="s">
        <v>2140</v>
      </c>
      <c r="R248" s="96" t="str">
        <f>HYPERLINK("https://talouskurssi.fi")</f>
        <v>https://talouskurssi.fi</v>
      </c>
      <c r="S248" s="90" t="s">
        <v>334</v>
      </c>
      <c r="T248" s="90"/>
      <c r="U248" s="96" t="str">
        <f>HYPERLINK("https://pbs.twimg.com/media/FBpWom9XIAAjFw3.jpg")</f>
        <v>https://pbs.twimg.com/media/FBpWom9XIAAjFw3.jpg</v>
      </c>
      <c r="V248" s="96" t="str">
        <f>HYPERLINK("https://pbs.twimg.com/media/FBpWom9XIAAjFw3.jpg")</f>
        <v>https://pbs.twimg.com/media/FBpWom9XIAAjFw3.jpg</v>
      </c>
      <c r="W248" s="93">
        <v>44483.64945601852</v>
      </c>
      <c r="X248" s="102">
        <v>44483</v>
      </c>
      <c r="Y248" s="99" t="s">
        <v>2176</v>
      </c>
      <c r="Z248" s="96" t="str">
        <f>HYPERLINK("https://twitter.com/visafin/status/1448673759280472069")</f>
        <v>https://twitter.com/visafin/status/1448673759280472069</v>
      </c>
      <c r="AA248" s="90"/>
      <c r="AB248" s="90"/>
      <c r="AC248" s="99" t="s">
        <v>2222</v>
      </c>
      <c r="AD248" s="90"/>
      <c r="AE248" s="90" t="b">
        <v>0</v>
      </c>
      <c r="AF248" s="90">
        <v>0</v>
      </c>
      <c r="AG248" s="99" t="s">
        <v>535</v>
      </c>
      <c r="AH248" s="90" t="b">
        <v>0</v>
      </c>
      <c r="AI248" s="90" t="s">
        <v>537</v>
      </c>
      <c r="AJ248" s="90"/>
      <c r="AK248" s="99" t="s">
        <v>535</v>
      </c>
      <c r="AL248" s="90" t="b">
        <v>0</v>
      </c>
      <c r="AM248" s="90">
        <v>9</v>
      </c>
      <c r="AN248" s="99" t="s">
        <v>538</v>
      </c>
      <c r="AO248" s="99" t="s">
        <v>545</v>
      </c>
      <c r="AP248" s="90" t="b">
        <v>0</v>
      </c>
      <c r="AQ248" s="99" t="s">
        <v>538</v>
      </c>
      <c r="AR248" s="90" t="s">
        <v>187</v>
      </c>
      <c r="AS248" s="90">
        <v>0</v>
      </c>
      <c r="AT248" s="90">
        <v>0</v>
      </c>
      <c r="AU248" s="90"/>
      <c r="AV248" s="90"/>
      <c r="AW248" s="90"/>
      <c r="AX248" s="90"/>
      <c r="AY248" s="90"/>
      <c r="AZ248" s="90"/>
      <c r="BA248" s="90"/>
      <c r="BB248" s="90"/>
      <c r="BC248" s="90">
        <v>1</v>
      </c>
      <c r="BD248" s="89" t="str">
        <f>REPLACE(INDEX(GroupVertices[Group],MATCH(Edges[[#This Row],[Vertex 1]],GroupVertices[Vertex],0)),1,1,"")</f>
        <v>2</v>
      </c>
      <c r="BE248" s="89" t="str">
        <f>REPLACE(INDEX(GroupVertices[Group],MATCH(Edges[[#This Row],[Vertex 2]],GroupVertices[Vertex],0)),1,1,"")</f>
        <v>2</v>
      </c>
      <c r="BF248" s="49">
        <v>0</v>
      </c>
      <c r="BG248" s="50">
        <v>0</v>
      </c>
      <c r="BH248" s="49">
        <v>0</v>
      </c>
      <c r="BI248" s="50">
        <v>0</v>
      </c>
      <c r="BJ248" s="49">
        <v>0</v>
      </c>
      <c r="BK248" s="50">
        <v>0</v>
      </c>
      <c r="BL248" s="49">
        <v>32</v>
      </c>
      <c r="BM248" s="50">
        <v>100</v>
      </c>
      <c r="BN248" s="49">
        <v>32</v>
      </c>
    </row>
    <row r="249" spans="1:66" ht="15">
      <c r="A249" s="66" t="s">
        <v>289</v>
      </c>
      <c r="B249" s="66" t="s">
        <v>304</v>
      </c>
      <c r="C249" s="67" t="s">
        <v>2108</v>
      </c>
      <c r="D249" s="68">
        <v>1</v>
      </c>
      <c r="E249" s="69" t="s">
        <v>132</v>
      </c>
      <c r="F249" s="70">
        <v>32</v>
      </c>
      <c r="G249" s="67" t="s">
        <v>51</v>
      </c>
      <c r="H249" s="71"/>
      <c r="I249" s="72"/>
      <c r="J249" s="72"/>
      <c r="K249" s="35" t="s">
        <v>65</v>
      </c>
      <c r="L249" s="79">
        <v>249</v>
      </c>
      <c r="M249" s="79"/>
      <c r="N249" s="74"/>
      <c r="O249" s="90" t="s">
        <v>307</v>
      </c>
      <c r="P249" s="93">
        <v>44483.56658564815</v>
      </c>
      <c r="Q249" s="90" t="s">
        <v>323</v>
      </c>
      <c r="R249" s="90"/>
      <c r="S249" s="90"/>
      <c r="T249" s="99" t="s">
        <v>344</v>
      </c>
      <c r="U249" s="90"/>
      <c r="V249" s="96" t="str">
        <f>HYPERLINK("https://pbs.twimg.com/profile_images/550208070584786944/XIkH6cRe_normal.png")</f>
        <v>https://pbs.twimg.com/profile_images/550208070584786944/XIkH6cRe_normal.png</v>
      </c>
      <c r="W249" s="93">
        <v>44483.56658564815</v>
      </c>
      <c r="X249" s="102">
        <v>44483</v>
      </c>
      <c r="Y249" s="99" t="s">
        <v>414</v>
      </c>
      <c r="Z249" s="96" t="str">
        <f>HYPERLINK("https://twitter.com/op_ryhma/status/1448643726872485889")</f>
        <v>https://twitter.com/op_ryhma/status/1448643726872485889</v>
      </c>
      <c r="AA249" s="90"/>
      <c r="AB249" s="90"/>
      <c r="AC249" s="99" t="s">
        <v>508</v>
      </c>
      <c r="AD249" s="99" t="s">
        <v>534</v>
      </c>
      <c r="AE249" s="90" t="b">
        <v>0</v>
      </c>
      <c r="AF249" s="90">
        <v>5</v>
      </c>
      <c r="AG249" s="99" t="s">
        <v>536</v>
      </c>
      <c r="AH249" s="90" t="b">
        <v>0</v>
      </c>
      <c r="AI249" s="90" t="s">
        <v>537</v>
      </c>
      <c r="AJ249" s="90"/>
      <c r="AK249" s="99" t="s">
        <v>535</v>
      </c>
      <c r="AL249" s="90" t="b">
        <v>0</v>
      </c>
      <c r="AM249" s="90">
        <v>1</v>
      </c>
      <c r="AN249" s="99" t="s">
        <v>535</v>
      </c>
      <c r="AO249" s="99" t="s">
        <v>542</v>
      </c>
      <c r="AP249" s="90" t="b">
        <v>0</v>
      </c>
      <c r="AQ249" s="99" t="s">
        <v>534</v>
      </c>
      <c r="AR249" s="90" t="s">
        <v>187</v>
      </c>
      <c r="AS249" s="90">
        <v>0</v>
      </c>
      <c r="AT249" s="90">
        <v>0</v>
      </c>
      <c r="AU249" s="90"/>
      <c r="AV249" s="90"/>
      <c r="AW249" s="90"/>
      <c r="AX249" s="90"/>
      <c r="AY249" s="90"/>
      <c r="AZ249" s="90"/>
      <c r="BA249" s="90"/>
      <c r="BB249" s="90"/>
      <c r="BC249" s="90">
        <v>1</v>
      </c>
      <c r="BD249" s="89" t="str">
        <f>REPLACE(INDEX(GroupVertices[Group],MATCH(Edges[[#This Row],[Vertex 1]],GroupVertices[Vertex],0)),1,1,"")</f>
        <v>2</v>
      </c>
      <c r="BE249" s="89" t="str">
        <f>REPLACE(INDEX(GroupVertices[Group],MATCH(Edges[[#This Row],[Vertex 2]],GroupVertices[Vertex],0)),1,1,"")</f>
        <v>2</v>
      </c>
      <c r="BF249" s="49">
        <v>0</v>
      </c>
      <c r="BG249" s="50">
        <v>0</v>
      </c>
      <c r="BH249" s="49">
        <v>0</v>
      </c>
      <c r="BI249" s="50">
        <v>0</v>
      </c>
      <c r="BJ249" s="49">
        <v>0</v>
      </c>
      <c r="BK249" s="50">
        <v>0</v>
      </c>
      <c r="BL249" s="49">
        <v>26</v>
      </c>
      <c r="BM249" s="50">
        <v>100</v>
      </c>
      <c r="BN249" s="49">
        <v>26</v>
      </c>
    </row>
    <row r="250" spans="1:66" ht="15">
      <c r="A250" s="66" t="s">
        <v>290</v>
      </c>
      <c r="B250" s="66" t="s">
        <v>304</v>
      </c>
      <c r="C250" s="67" t="s">
        <v>2108</v>
      </c>
      <c r="D250" s="68">
        <v>1</v>
      </c>
      <c r="E250" s="69" t="s">
        <v>132</v>
      </c>
      <c r="F250" s="70">
        <v>32</v>
      </c>
      <c r="G250" s="67" t="s">
        <v>51</v>
      </c>
      <c r="H250" s="71"/>
      <c r="I250" s="72"/>
      <c r="J250" s="72"/>
      <c r="K250" s="35" t="s">
        <v>65</v>
      </c>
      <c r="L250" s="79">
        <v>250</v>
      </c>
      <c r="M250" s="79"/>
      <c r="N250" s="74"/>
      <c r="O250" s="90" t="s">
        <v>306</v>
      </c>
      <c r="P250" s="93">
        <v>44483.581145833334</v>
      </c>
      <c r="Q250" s="90" t="s">
        <v>323</v>
      </c>
      <c r="R250" s="90"/>
      <c r="S250" s="90"/>
      <c r="T250" s="99" t="s">
        <v>344</v>
      </c>
      <c r="U250" s="90"/>
      <c r="V250" s="96" t="str">
        <f>HYPERLINK("https://pbs.twimg.com/profile_images/1227613933382590464/r3aMcZGM_normal.jpg")</f>
        <v>https://pbs.twimg.com/profile_images/1227613933382590464/r3aMcZGM_normal.jpg</v>
      </c>
      <c r="W250" s="93">
        <v>44483.581145833334</v>
      </c>
      <c r="X250" s="102">
        <v>44483</v>
      </c>
      <c r="Y250" s="99" t="s">
        <v>415</v>
      </c>
      <c r="Z250" s="96" t="str">
        <f>HYPERLINK("https://twitter.com/oskarinokso/status/1448649002853888002")</f>
        <v>https://twitter.com/oskarinokso/status/1448649002853888002</v>
      </c>
      <c r="AA250" s="90"/>
      <c r="AB250" s="90"/>
      <c r="AC250" s="99" t="s">
        <v>509</v>
      </c>
      <c r="AD250" s="90"/>
      <c r="AE250" s="90" t="b">
        <v>0</v>
      </c>
      <c r="AF250" s="90">
        <v>0</v>
      </c>
      <c r="AG250" s="99" t="s">
        <v>535</v>
      </c>
      <c r="AH250" s="90" t="b">
        <v>0</v>
      </c>
      <c r="AI250" s="90" t="s">
        <v>537</v>
      </c>
      <c r="AJ250" s="90"/>
      <c r="AK250" s="99" t="s">
        <v>535</v>
      </c>
      <c r="AL250" s="90" t="b">
        <v>0</v>
      </c>
      <c r="AM250" s="90">
        <v>1</v>
      </c>
      <c r="AN250" s="99" t="s">
        <v>508</v>
      </c>
      <c r="AO250" s="99" t="s">
        <v>545</v>
      </c>
      <c r="AP250" s="90" t="b">
        <v>0</v>
      </c>
      <c r="AQ250" s="99" t="s">
        <v>508</v>
      </c>
      <c r="AR250" s="90" t="s">
        <v>187</v>
      </c>
      <c r="AS250" s="90">
        <v>0</v>
      </c>
      <c r="AT250" s="90">
        <v>0</v>
      </c>
      <c r="AU250" s="90"/>
      <c r="AV250" s="90"/>
      <c r="AW250" s="90"/>
      <c r="AX250" s="90"/>
      <c r="AY250" s="90"/>
      <c r="AZ250" s="90"/>
      <c r="BA250" s="90"/>
      <c r="BB250" s="90"/>
      <c r="BC250" s="90">
        <v>1</v>
      </c>
      <c r="BD250" s="89" t="str">
        <f>REPLACE(INDEX(GroupVertices[Group],MATCH(Edges[[#This Row],[Vertex 1]],GroupVertices[Vertex],0)),1,1,"")</f>
        <v>2</v>
      </c>
      <c r="BE250" s="89" t="str">
        <f>REPLACE(INDEX(GroupVertices[Group],MATCH(Edges[[#This Row],[Vertex 2]],GroupVertices[Vertex],0)),1,1,"")</f>
        <v>2</v>
      </c>
      <c r="BF250" s="49"/>
      <c r="BG250" s="50"/>
      <c r="BH250" s="49"/>
      <c r="BI250" s="50"/>
      <c r="BJ250" s="49"/>
      <c r="BK250" s="50"/>
      <c r="BL250" s="49"/>
      <c r="BM250" s="50"/>
      <c r="BN250" s="49"/>
    </row>
    <row r="251" spans="1:66" ht="15">
      <c r="A251" s="66" t="s">
        <v>291</v>
      </c>
      <c r="B251" s="66" t="s">
        <v>293</v>
      </c>
      <c r="C251" s="67" t="s">
        <v>2108</v>
      </c>
      <c r="D251" s="68">
        <v>1</v>
      </c>
      <c r="E251" s="69" t="s">
        <v>132</v>
      </c>
      <c r="F251" s="70">
        <v>32</v>
      </c>
      <c r="G251" s="67" t="s">
        <v>51</v>
      </c>
      <c r="H251" s="71"/>
      <c r="I251" s="72"/>
      <c r="J251" s="72"/>
      <c r="K251" s="35" t="s">
        <v>65</v>
      </c>
      <c r="L251" s="79">
        <v>251</v>
      </c>
      <c r="M251" s="79"/>
      <c r="N251" s="74"/>
      <c r="O251" s="90" t="s">
        <v>307</v>
      </c>
      <c r="P251" s="93">
        <v>44483.675</v>
      </c>
      <c r="Q251" s="90" t="s">
        <v>324</v>
      </c>
      <c r="R251" s="96" t="str">
        <f>HYPERLINK("https://talouskurssi.fi/")</f>
        <v>https://talouskurssi.fi/</v>
      </c>
      <c r="S251" s="90" t="s">
        <v>334</v>
      </c>
      <c r="T251" s="99" t="s">
        <v>338</v>
      </c>
      <c r="U251" s="90"/>
      <c r="V251" s="96" t="str">
        <f>HYPERLINK("https://pbs.twimg.com/profile_images/1027451411058106368/m3cLNfQh_normal.jpg")</f>
        <v>https://pbs.twimg.com/profile_images/1027451411058106368/m3cLNfQh_normal.jpg</v>
      </c>
      <c r="W251" s="93">
        <v>44483.675</v>
      </c>
      <c r="X251" s="102">
        <v>44483</v>
      </c>
      <c r="Y251" s="99" t="s">
        <v>416</v>
      </c>
      <c r="Z251" s="96" t="str">
        <f>HYPERLINK("https://twitter.com/socscihelsinki/status/1448683013412433927")</f>
        <v>https://twitter.com/socscihelsinki/status/1448683013412433927</v>
      </c>
      <c r="AA251" s="90"/>
      <c r="AB251" s="90"/>
      <c r="AC251" s="99" t="s">
        <v>510</v>
      </c>
      <c r="AD251" s="90"/>
      <c r="AE251" s="90" t="b">
        <v>0</v>
      </c>
      <c r="AF251" s="90">
        <v>3</v>
      </c>
      <c r="AG251" s="99" t="s">
        <v>535</v>
      </c>
      <c r="AH251" s="90" t="b">
        <v>0</v>
      </c>
      <c r="AI251" s="90" t="s">
        <v>537</v>
      </c>
      <c r="AJ251" s="90"/>
      <c r="AK251" s="99" t="s">
        <v>535</v>
      </c>
      <c r="AL251" s="90" t="b">
        <v>0</v>
      </c>
      <c r="AM251" s="90">
        <v>1</v>
      </c>
      <c r="AN251" s="99" t="s">
        <v>535</v>
      </c>
      <c r="AO251" s="99" t="s">
        <v>542</v>
      </c>
      <c r="AP251" s="90" t="b">
        <v>0</v>
      </c>
      <c r="AQ251" s="99" t="s">
        <v>510</v>
      </c>
      <c r="AR251" s="90" t="s">
        <v>187</v>
      </c>
      <c r="AS251" s="90">
        <v>0</v>
      </c>
      <c r="AT251" s="90">
        <v>0</v>
      </c>
      <c r="AU251" s="90"/>
      <c r="AV251" s="90"/>
      <c r="AW251" s="90"/>
      <c r="AX251" s="90"/>
      <c r="AY251" s="90"/>
      <c r="AZ251" s="90"/>
      <c r="BA251" s="90"/>
      <c r="BB251" s="90"/>
      <c r="BC251" s="90">
        <v>1</v>
      </c>
      <c r="BD251" s="89" t="str">
        <f>REPLACE(INDEX(GroupVertices[Group],MATCH(Edges[[#This Row],[Vertex 1]],GroupVertices[Vertex],0)),1,1,"")</f>
        <v>3</v>
      </c>
      <c r="BE251" s="89" t="str">
        <f>REPLACE(INDEX(GroupVertices[Group],MATCH(Edges[[#This Row],[Vertex 2]],GroupVertices[Vertex],0)),1,1,"")</f>
        <v>3</v>
      </c>
      <c r="BF251" s="49">
        <v>0</v>
      </c>
      <c r="BG251" s="50">
        <v>0</v>
      </c>
      <c r="BH251" s="49">
        <v>0</v>
      </c>
      <c r="BI251" s="50">
        <v>0</v>
      </c>
      <c r="BJ251" s="49">
        <v>0</v>
      </c>
      <c r="BK251" s="50">
        <v>0</v>
      </c>
      <c r="BL251" s="49">
        <v>26</v>
      </c>
      <c r="BM251" s="50">
        <v>100</v>
      </c>
      <c r="BN251" s="49">
        <v>26</v>
      </c>
    </row>
    <row r="252" spans="1:66" ht="15">
      <c r="A252" s="66" t="s">
        <v>290</v>
      </c>
      <c r="B252" s="66" t="s">
        <v>291</v>
      </c>
      <c r="C252" s="67" t="s">
        <v>2108</v>
      </c>
      <c r="D252" s="68">
        <v>1</v>
      </c>
      <c r="E252" s="69" t="s">
        <v>132</v>
      </c>
      <c r="F252" s="70">
        <v>32</v>
      </c>
      <c r="G252" s="67" t="s">
        <v>51</v>
      </c>
      <c r="H252" s="71"/>
      <c r="I252" s="72"/>
      <c r="J252" s="72"/>
      <c r="K252" s="35" t="s">
        <v>65</v>
      </c>
      <c r="L252" s="79">
        <v>252</v>
      </c>
      <c r="M252" s="79"/>
      <c r="N252" s="74"/>
      <c r="O252" s="90" t="s">
        <v>305</v>
      </c>
      <c r="P252" s="93">
        <v>44483.67631944444</v>
      </c>
      <c r="Q252" s="90" t="s">
        <v>324</v>
      </c>
      <c r="R252" s="96" t="str">
        <f>HYPERLINK("https://talouskurssi.fi/")</f>
        <v>https://talouskurssi.fi/</v>
      </c>
      <c r="S252" s="90" t="s">
        <v>334</v>
      </c>
      <c r="T252" s="99" t="s">
        <v>338</v>
      </c>
      <c r="U252" s="90"/>
      <c r="V252" s="96" t="str">
        <f>HYPERLINK("https://pbs.twimg.com/profile_images/1227613933382590464/r3aMcZGM_normal.jpg")</f>
        <v>https://pbs.twimg.com/profile_images/1227613933382590464/r3aMcZGM_normal.jpg</v>
      </c>
      <c r="W252" s="93">
        <v>44483.67631944444</v>
      </c>
      <c r="X252" s="102">
        <v>44483</v>
      </c>
      <c r="Y252" s="99" t="s">
        <v>417</v>
      </c>
      <c r="Z252" s="96" t="str">
        <f>HYPERLINK("https://twitter.com/oskarinokso/status/1448683492506804230")</f>
        <v>https://twitter.com/oskarinokso/status/1448683492506804230</v>
      </c>
      <c r="AA252" s="90"/>
      <c r="AB252" s="90"/>
      <c r="AC252" s="99" t="s">
        <v>511</v>
      </c>
      <c r="AD252" s="90"/>
      <c r="AE252" s="90" t="b">
        <v>0</v>
      </c>
      <c r="AF252" s="90">
        <v>0</v>
      </c>
      <c r="AG252" s="99" t="s">
        <v>535</v>
      </c>
      <c r="AH252" s="90" t="b">
        <v>0</v>
      </c>
      <c r="AI252" s="90" t="s">
        <v>537</v>
      </c>
      <c r="AJ252" s="90"/>
      <c r="AK252" s="99" t="s">
        <v>535</v>
      </c>
      <c r="AL252" s="90" t="b">
        <v>0</v>
      </c>
      <c r="AM252" s="90">
        <v>1</v>
      </c>
      <c r="AN252" s="99" t="s">
        <v>510</v>
      </c>
      <c r="AO252" s="99" t="s">
        <v>545</v>
      </c>
      <c r="AP252" s="90" t="b">
        <v>0</v>
      </c>
      <c r="AQ252" s="99" t="s">
        <v>510</v>
      </c>
      <c r="AR252" s="90" t="s">
        <v>187</v>
      </c>
      <c r="AS252" s="90">
        <v>0</v>
      </c>
      <c r="AT252" s="90">
        <v>0</v>
      </c>
      <c r="AU252" s="90"/>
      <c r="AV252" s="90"/>
      <c r="AW252" s="90"/>
      <c r="AX252" s="90"/>
      <c r="AY252" s="90"/>
      <c r="AZ252" s="90"/>
      <c r="BA252" s="90"/>
      <c r="BB252" s="90"/>
      <c r="BC252" s="90">
        <v>1</v>
      </c>
      <c r="BD252" s="89" t="str">
        <f>REPLACE(INDEX(GroupVertices[Group],MATCH(Edges[[#This Row],[Vertex 1]],GroupVertices[Vertex],0)),1,1,"")</f>
        <v>2</v>
      </c>
      <c r="BE252" s="89" t="str">
        <f>REPLACE(INDEX(GroupVertices[Group],MATCH(Edges[[#This Row],[Vertex 2]],GroupVertices[Vertex],0)),1,1,"")</f>
        <v>3</v>
      </c>
      <c r="BF252" s="49">
        <v>0</v>
      </c>
      <c r="BG252" s="50">
        <v>0</v>
      </c>
      <c r="BH252" s="49">
        <v>0</v>
      </c>
      <c r="BI252" s="50">
        <v>0</v>
      </c>
      <c r="BJ252" s="49">
        <v>0</v>
      </c>
      <c r="BK252" s="50">
        <v>0</v>
      </c>
      <c r="BL252" s="49">
        <v>26</v>
      </c>
      <c r="BM252" s="50">
        <v>100</v>
      </c>
      <c r="BN252" s="49">
        <v>26</v>
      </c>
    </row>
    <row r="253" spans="1:66" ht="15">
      <c r="A253" s="66" t="s">
        <v>290</v>
      </c>
      <c r="B253" s="66" t="s">
        <v>299</v>
      </c>
      <c r="C253" s="67" t="s">
        <v>2109</v>
      </c>
      <c r="D253" s="68">
        <v>10</v>
      </c>
      <c r="E253" s="69" t="s">
        <v>132</v>
      </c>
      <c r="F253" s="70">
        <v>10</v>
      </c>
      <c r="G253" s="67" t="s">
        <v>51</v>
      </c>
      <c r="H253" s="71"/>
      <c r="I253" s="72"/>
      <c r="J253" s="72"/>
      <c r="K253" s="35" t="s">
        <v>65</v>
      </c>
      <c r="L253" s="79">
        <v>253</v>
      </c>
      <c r="M253" s="79"/>
      <c r="N253" s="74"/>
      <c r="O253" s="90" t="s">
        <v>306</v>
      </c>
      <c r="P253" s="93">
        <v>44483.254212962966</v>
      </c>
      <c r="Q253" s="90" t="s">
        <v>310</v>
      </c>
      <c r="R253" s="96" t="str">
        <f>HYPERLINK("https://talouskurssi.fi/")</f>
        <v>https://talouskurssi.fi/</v>
      </c>
      <c r="S253" s="90" t="s">
        <v>334</v>
      </c>
      <c r="T253" s="99" t="s">
        <v>338</v>
      </c>
      <c r="U253" s="96" t="str">
        <f>HYPERLINK("https://pbs.twimg.com/ext_tw_video_thumb/1448527896562348036/pu/img/0PqSbNMaXHvzKHCc.jpg")</f>
        <v>https://pbs.twimg.com/ext_tw_video_thumb/1448527896562348036/pu/img/0PqSbNMaXHvzKHCc.jpg</v>
      </c>
      <c r="V253" s="96" t="str">
        <f>HYPERLINK("https://pbs.twimg.com/ext_tw_video_thumb/1448527896562348036/pu/img/0PqSbNMaXHvzKHCc.jpg")</f>
        <v>https://pbs.twimg.com/ext_tw_video_thumb/1448527896562348036/pu/img/0PqSbNMaXHvzKHCc.jpg</v>
      </c>
      <c r="W253" s="93">
        <v>44483.254212962966</v>
      </c>
      <c r="X253" s="102">
        <v>44483</v>
      </c>
      <c r="Y253" s="99" t="s">
        <v>418</v>
      </c>
      <c r="Z253" s="96" t="str">
        <f>HYPERLINK("https://twitter.com/oskarinokso/status/1448530527087206401")</f>
        <v>https://twitter.com/oskarinokso/status/1448530527087206401</v>
      </c>
      <c r="AA253" s="90"/>
      <c r="AB253" s="90"/>
      <c r="AC253" s="99" t="s">
        <v>512</v>
      </c>
      <c r="AD253" s="90"/>
      <c r="AE253" s="90" t="b">
        <v>0</v>
      </c>
      <c r="AF253" s="90">
        <v>0</v>
      </c>
      <c r="AG253" s="99" t="s">
        <v>535</v>
      </c>
      <c r="AH253" s="90" t="b">
        <v>0</v>
      </c>
      <c r="AI253" s="90" t="s">
        <v>537</v>
      </c>
      <c r="AJ253" s="90"/>
      <c r="AK253" s="99" t="s">
        <v>535</v>
      </c>
      <c r="AL253" s="90" t="b">
        <v>0</v>
      </c>
      <c r="AM253" s="90">
        <v>52</v>
      </c>
      <c r="AN253" s="99" t="s">
        <v>526</v>
      </c>
      <c r="AO253" s="99" t="s">
        <v>545</v>
      </c>
      <c r="AP253" s="90" t="b">
        <v>0</v>
      </c>
      <c r="AQ253" s="99" t="s">
        <v>526</v>
      </c>
      <c r="AR253" s="90" t="s">
        <v>187</v>
      </c>
      <c r="AS253" s="90">
        <v>0</v>
      </c>
      <c r="AT253" s="90">
        <v>0</v>
      </c>
      <c r="AU253" s="90"/>
      <c r="AV253" s="90"/>
      <c r="AW253" s="90"/>
      <c r="AX253" s="90"/>
      <c r="AY253" s="90"/>
      <c r="AZ253" s="90"/>
      <c r="BA253" s="90"/>
      <c r="BB253" s="90"/>
      <c r="BC253" s="90">
        <v>3</v>
      </c>
      <c r="BD253" s="89" t="str">
        <f>REPLACE(INDEX(GroupVertices[Group],MATCH(Edges[[#This Row],[Vertex 1]],GroupVertices[Vertex],0)),1,1,"")</f>
        <v>2</v>
      </c>
      <c r="BE253" s="89" t="str">
        <f>REPLACE(INDEX(GroupVertices[Group],MATCH(Edges[[#This Row],[Vertex 2]],GroupVertices[Vertex],0)),1,1,"")</f>
        <v>1</v>
      </c>
      <c r="BF253" s="49"/>
      <c r="BG253" s="50"/>
      <c r="BH253" s="49"/>
      <c r="BI253" s="50"/>
      <c r="BJ253" s="49"/>
      <c r="BK253" s="50"/>
      <c r="BL253" s="49"/>
      <c r="BM253" s="50"/>
      <c r="BN253" s="49"/>
    </row>
    <row r="254" spans="1:66" ht="15">
      <c r="A254" s="66" t="s">
        <v>290</v>
      </c>
      <c r="B254" s="66" t="s">
        <v>302</v>
      </c>
      <c r="C254" s="67" t="s">
        <v>2109</v>
      </c>
      <c r="D254" s="68">
        <v>10</v>
      </c>
      <c r="E254" s="69" t="s">
        <v>132</v>
      </c>
      <c r="F254" s="70">
        <v>10</v>
      </c>
      <c r="G254" s="67" t="s">
        <v>51</v>
      </c>
      <c r="H254" s="71"/>
      <c r="I254" s="72"/>
      <c r="J254" s="72"/>
      <c r="K254" s="35" t="s">
        <v>65</v>
      </c>
      <c r="L254" s="79">
        <v>254</v>
      </c>
      <c r="M254" s="79"/>
      <c r="N254" s="74"/>
      <c r="O254" s="90" t="s">
        <v>306</v>
      </c>
      <c r="P254" s="93">
        <v>44483.254212962966</v>
      </c>
      <c r="Q254" s="90" t="s">
        <v>310</v>
      </c>
      <c r="R254" s="96" t="str">
        <f>HYPERLINK("https://talouskurssi.fi/")</f>
        <v>https://talouskurssi.fi/</v>
      </c>
      <c r="S254" s="90" t="s">
        <v>334</v>
      </c>
      <c r="T254" s="99" t="s">
        <v>338</v>
      </c>
      <c r="U254" s="96" t="str">
        <f>HYPERLINK("https://pbs.twimg.com/ext_tw_video_thumb/1448527896562348036/pu/img/0PqSbNMaXHvzKHCc.jpg")</f>
        <v>https://pbs.twimg.com/ext_tw_video_thumb/1448527896562348036/pu/img/0PqSbNMaXHvzKHCc.jpg</v>
      </c>
      <c r="V254" s="96" t="str">
        <f>HYPERLINK("https://pbs.twimg.com/ext_tw_video_thumb/1448527896562348036/pu/img/0PqSbNMaXHvzKHCc.jpg")</f>
        <v>https://pbs.twimg.com/ext_tw_video_thumb/1448527896562348036/pu/img/0PqSbNMaXHvzKHCc.jpg</v>
      </c>
      <c r="W254" s="93">
        <v>44483.254212962966</v>
      </c>
      <c r="X254" s="102">
        <v>44483</v>
      </c>
      <c r="Y254" s="99" t="s">
        <v>418</v>
      </c>
      <c r="Z254" s="96" t="str">
        <f>HYPERLINK("https://twitter.com/oskarinokso/status/1448530527087206401")</f>
        <v>https://twitter.com/oskarinokso/status/1448530527087206401</v>
      </c>
      <c r="AA254" s="90"/>
      <c r="AB254" s="90"/>
      <c r="AC254" s="99" t="s">
        <v>512</v>
      </c>
      <c r="AD254" s="90"/>
      <c r="AE254" s="90" t="b">
        <v>0</v>
      </c>
      <c r="AF254" s="90">
        <v>0</v>
      </c>
      <c r="AG254" s="99" t="s">
        <v>535</v>
      </c>
      <c r="AH254" s="90" t="b">
        <v>0</v>
      </c>
      <c r="AI254" s="90" t="s">
        <v>537</v>
      </c>
      <c r="AJ254" s="90"/>
      <c r="AK254" s="99" t="s">
        <v>535</v>
      </c>
      <c r="AL254" s="90" t="b">
        <v>0</v>
      </c>
      <c r="AM254" s="90">
        <v>52</v>
      </c>
      <c r="AN254" s="99" t="s">
        <v>526</v>
      </c>
      <c r="AO254" s="99" t="s">
        <v>545</v>
      </c>
      <c r="AP254" s="90" t="b">
        <v>0</v>
      </c>
      <c r="AQ254" s="99" t="s">
        <v>526</v>
      </c>
      <c r="AR254" s="90" t="s">
        <v>187</v>
      </c>
      <c r="AS254" s="90">
        <v>0</v>
      </c>
      <c r="AT254" s="90">
        <v>0</v>
      </c>
      <c r="AU254" s="90"/>
      <c r="AV254" s="90"/>
      <c r="AW254" s="90"/>
      <c r="AX254" s="90"/>
      <c r="AY254" s="90"/>
      <c r="AZ254" s="90"/>
      <c r="BA254" s="90"/>
      <c r="BB254" s="90"/>
      <c r="BC254" s="90">
        <v>2</v>
      </c>
      <c r="BD254" s="89" t="str">
        <f>REPLACE(INDEX(GroupVertices[Group],MATCH(Edges[[#This Row],[Vertex 1]],GroupVertices[Vertex],0)),1,1,"")</f>
        <v>2</v>
      </c>
      <c r="BE254" s="89" t="str">
        <f>REPLACE(INDEX(GroupVertices[Group],MATCH(Edges[[#This Row],[Vertex 2]],GroupVertices[Vertex],0)),1,1,"")</f>
        <v>1</v>
      </c>
      <c r="BF254" s="49"/>
      <c r="BG254" s="50"/>
      <c r="BH254" s="49"/>
      <c r="BI254" s="50"/>
      <c r="BJ254" s="49"/>
      <c r="BK254" s="50"/>
      <c r="BL254" s="49"/>
      <c r="BM254" s="50"/>
      <c r="BN254" s="49"/>
    </row>
    <row r="255" spans="1:66" ht="15">
      <c r="A255" s="66" t="s">
        <v>290</v>
      </c>
      <c r="B255" s="66" t="s">
        <v>293</v>
      </c>
      <c r="C255" s="67" t="s">
        <v>2109</v>
      </c>
      <c r="D255" s="68">
        <v>10</v>
      </c>
      <c r="E255" s="69" t="s">
        <v>132</v>
      </c>
      <c r="F255" s="70">
        <v>10</v>
      </c>
      <c r="G255" s="67" t="s">
        <v>51</v>
      </c>
      <c r="H255" s="71"/>
      <c r="I255" s="72"/>
      <c r="J255" s="72"/>
      <c r="K255" s="35" t="s">
        <v>65</v>
      </c>
      <c r="L255" s="79">
        <v>255</v>
      </c>
      <c r="M255" s="79"/>
      <c r="N255" s="74"/>
      <c r="O255" s="90" t="s">
        <v>305</v>
      </c>
      <c r="P255" s="93">
        <v>44483.254212962966</v>
      </c>
      <c r="Q255" s="90" t="s">
        <v>310</v>
      </c>
      <c r="R255" s="96" t="str">
        <f>HYPERLINK("https://talouskurssi.fi/")</f>
        <v>https://talouskurssi.fi/</v>
      </c>
      <c r="S255" s="90" t="s">
        <v>334</v>
      </c>
      <c r="T255" s="99" t="s">
        <v>338</v>
      </c>
      <c r="U255" s="96" t="str">
        <f>HYPERLINK("https://pbs.twimg.com/ext_tw_video_thumb/1448527896562348036/pu/img/0PqSbNMaXHvzKHCc.jpg")</f>
        <v>https://pbs.twimg.com/ext_tw_video_thumb/1448527896562348036/pu/img/0PqSbNMaXHvzKHCc.jpg</v>
      </c>
      <c r="V255" s="96" t="str">
        <f>HYPERLINK("https://pbs.twimg.com/ext_tw_video_thumb/1448527896562348036/pu/img/0PqSbNMaXHvzKHCc.jpg")</f>
        <v>https://pbs.twimg.com/ext_tw_video_thumb/1448527896562348036/pu/img/0PqSbNMaXHvzKHCc.jpg</v>
      </c>
      <c r="W255" s="93">
        <v>44483.254212962966</v>
      </c>
      <c r="X255" s="102">
        <v>44483</v>
      </c>
      <c r="Y255" s="99" t="s">
        <v>418</v>
      </c>
      <c r="Z255" s="96" t="str">
        <f>HYPERLINK("https://twitter.com/oskarinokso/status/1448530527087206401")</f>
        <v>https://twitter.com/oskarinokso/status/1448530527087206401</v>
      </c>
      <c r="AA255" s="90"/>
      <c r="AB255" s="90"/>
      <c r="AC255" s="99" t="s">
        <v>512</v>
      </c>
      <c r="AD255" s="90"/>
      <c r="AE255" s="90" t="b">
        <v>0</v>
      </c>
      <c r="AF255" s="90">
        <v>0</v>
      </c>
      <c r="AG255" s="99" t="s">
        <v>535</v>
      </c>
      <c r="AH255" s="90" t="b">
        <v>0</v>
      </c>
      <c r="AI255" s="90" t="s">
        <v>537</v>
      </c>
      <c r="AJ255" s="90"/>
      <c r="AK255" s="99" t="s">
        <v>535</v>
      </c>
      <c r="AL255" s="90" t="b">
        <v>0</v>
      </c>
      <c r="AM255" s="90">
        <v>52</v>
      </c>
      <c r="AN255" s="99" t="s">
        <v>526</v>
      </c>
      <c r="AO255" s="99" t="s">
        <v>545</v>
      </c>
      <c r="AP255" s="90" t="b">
        <v>0</v>
      </c>
      <c r="AQ255" s="99" t="s">
        <v>526</v>
      </c>
      <c r="AR255" s="90" t="s">
        <v>187</v>
      </c>
      <c r="AS255" s="90">
        <v>0</v>
      </c>
      <c r="AT255" s="90">
        <v>0</v>
      </c>
      <c r="AU255" s="90"/>
      <c r="AV255" s="90"/>
      <c r="AW255" s="90"/>
      <c r="AX255" s="90"/>
      <c r="AY255" s="90"/>
      <c r="AZ255" s="90"/>
      <c r="BA255" s="90"/>
      <c r="BB255" s="90"/>
      <c r="BC255" s="90">
        <v>3</v>
      </c>
      <c r="BD255" s="89" t="str">
        <f>REPLACE(INDEX(GroupVertices[Group],MATCH(Edges[[#This Row],[Vertex 1]],GroupVertices[Vertex],0)),1,1,"")</f>
        <v>2</v>
      </c>
      <c r="BE255" s="89" t="str">
        <f>REPLACE(INDEX(GroupVertices[Group],MATCH(Edges[[#This Row],[Vertex 2]],GroupVertices[Vertex],0)),1,1,"")</f>
        <v>3</v>
      </c>
      <c r="BF255" s="49">
        <v>0</v>
      </c>
      <c r="BG255" s="50">
        <v>0</v>
      </c>
      <c r="BH255" s="49">
        <v>0</v>
      </c>
      <c r="BI255" s="50">
        <v>0</v>
      </c>
      <c r="BJ255" s="49">
        <v>0</v>
      </c>
      <c r="BK255" s="50">
        <v>0</v>
      </c>
      <c r="BL255" s="49">
        <v>28</v>
      </c>
      <c r="BM255" s="50">
        <v>100</v>
      </c>
      <c r="BN255" s="49">
        <v>28</v>
      </c>
    </row>
    <row r="256" spans="1:66" ht="15">
      <c r="A256" s="66" t="s">
        <v>290</v>
      </c>
      <c r="B256" s="66" t="s">
        <v>295</v>
      </c>
      <c r="C256" s="67" t="s">
        <v>2109</v>
      </c>
      <c r="D256" s="68">
        <v>10</v>
      </c>
      <c r="E256" s="69" t="s">
        <v>132</v>
      </c>
      <c r="F256" s="70">
        <v>10</v>
      </c>
      <c r="G256" s="67" t="s">
        <v>51</v>
      </c>
      <c r="H256" s="71"/>
      <c r="I256" s="72"/>
      <c r="J256" s="72"/>
      <c r="K256" s="35" t="s">
        <v>65</v>
      </c>
      <c r="L256" s="79">
        <v>256</v>
      </c>
      <c r="M256" s="79"/>
      <c r="N256" s="74"/>
      <c r="O256" s="90" t="s">
        <v>306</v>
      </c>
      <c r="P256" s="93">
        <v>44483.29549768518</v>
      </c>
      <c r="Q256" s="90" t="s">
        <v>2139</v>
      </c>
      <c r="R256" s="96" t="str">
        <f>HYPERLINK("https://talouskurssi.fi/?fbclid=IwAR3lQxACK6cI50BBFObd0zCsOMC4Cq1tFNNNCY5sktWLRNSCs13ALYuQ2cg")</f>
        <v>https://talouskurssi.fi/?fbclid=IwAR3lQxACK6cI50BBFObd0zCsOMC4Cq1tFNNNCY5sktWLRNSCs13ALYuQ2cg</v>
      </c>
      <c r="S256" s="90" t="s">
        <v>334</v>
      </c>
      <c r="T256" s="90"/>
      <c r="U256" s="90"/>
      <c r="V256" s="96" t="str">
        <f>HYPERLINK("https://pbs.twimg.com/profile_images/1227613933382590464/r3aMcZGM_normal.jpg")</f>
        <v>https://pbs.twimg.com/profile_images/1227613933382590464/r3aMcZGM_normal.jpg</v>
      </c>
      <c r="W256" s="93">
        <v>44483.29549768518</v>
      </c>
      <c r="X256" s="102">
        <v>44483</v>
      </c>
      <c r="Y256" s="99" t="s">
        <v>2177</v>
      </c>
      <c r="Z256" s="96" t="str">
        <f>HYPERLINK("https://twitter.com/oskarinokso/status/1448545488890966017")</f>
        <v>https://twitter.com/oskarinokso/status/1448545488890966017</v>
      </c>
      <c r="AA256" s="90"/>
      <c r="AB256" s="90"/>
      <c r="AC256" s="99" t="s">
        <v>2223</v>
      </c>
      <c r="AD256" s="90"/>
      <c r="AE256" s="90" t="b">
        <v>0</v>
      </c>
      <c r="AF256" s="90">
        <v>0</v>
      </c>
      <c r="AG256" s="99" t="s">
        <v>535</v>
      </c>
      <c r="AH256" s="90" t="b">
        <v>0</v>
      </c>
      <c r="AI256" s="90" t="s">
        <v>537</v>
      </c>
      <c r="AJ256" s="90"/>
      <c r="AK256" s="99" t="s">
        <v>535</v>
      </c>
      <c r="AL256" s="90" t="b">
        <v>0</v>
      </c>
      <c r="AM256" s="90">
        <v>7</v>
      </c>
      <c r="AN256" s="99" t="s">
        <v>2239</v>
      </c>
      <c r="AO256" s="99" t="s">
        <v>545</v>
      </c>
      <c r="AP256" s="90" t="b">
        <v>0</v>
      </c>
      <c r="AQ256" s="99" t="s">
        <v>2239</v>
      </c>
      <c r="AR256" s="90" t="s">
        <v>187</v>
      </c>
      <c r="AS256" s="90">
        <v>0</v>
      </c>
      <c r="AT256" s="90">
        <v>0</v>
      </c>
      <c r="AU256" s="90"/>
      <c r="AV256" s="90"/>
      <c r="AW256" s="90"/>
      <c r="AX256" s="90"/>
      <c r="AY256" s="90"/>
      <c r="AZ256" s="90"/>
      <c r="BA256" s="90"/>
      <c r="BB256" s="90"/>
      <c r="BC256" s="90">
        <v>3</v>
      </c>
      <c r="BD256" s="89" t="str">
        <f>REPLACE(INDEX(GroupVertices[Group],MATCH(Edges[[#This Row],[Vertex 1]],GroupVertices[Vertex],0)),1,1,"")</f>
        <v>2</v>
      </c>
      <c r="BE256" s="89" t="str">
        <f>REPLACE(INDEX(GroupVertices[Group],MATCH(Edges[[#This Row],[Vertex 2]],GroupVertices[Vertex],0)),1,1,"")</f>
        <v>2</v>
      </c>
      <c r="BF256" s="49"/>
      <c r="BG256" s="50"/>
      <c r="BH256" s="49"/>
      <c r="BI256" s="50"/>
      <c r="BJ256" s="49"/>
      <c r="BK256" s="50"/>
      <c r="BL256" s="49"/>
      <c r="BM256" s="50"/>
      <c r="BN256" s="49"/>
    </row>
    <row r="257" spans="1:66" ht="15">
      <c r="A257" s="66" t="s">
        <v>290</v>
      </c>
      <c r="B257" s="66" t="s">
        <v>260</v>
      </c>
      <c r="C257" s="67" t="s">
        <v>2109</v>
      </c>
      <c r="D257" s="68">
        <v>10</v>
      </c>
      <c r="E257" s="69" t="s">
        <v>132</v>
      </c>
      <c r="F257" s="70">
        <v>10</v>
      </c>
      <c r="G257" s="67" t="s">
        <v>51</v>
      </c>
      <c r="H257" s="71"/>
      <c r="I257" s="72"/>
      <c r="J257" s="72"/>
      <c r="K257" s="35" t="s">
        <v>65</v>
      </c>
      <c r="L257" s="79">
        <v>257</v>
      </c>
      <c r="M257" s="79"/>
      <c r="N257" s="74"/>
      <c r="O257" s="90" t="s">
        <v>306</v>
      </c>
      <c r="P257" s="93">
        <v>44483.29549768518</v>
      </c>
      <c r="Q257" s="90" t="s">
        <v>2139</v>
      </c>
      <c r="R257" s="96" t="str">
        <f>HYPERLINK("https://talouskurssi.fi/?fbclid=IwAR3lQxACK6cI50BBFObd0zCsOMC4Cq1tFNNNCY5sktWLRNSCs13ALYuQ2cg")</f>
        <v>https://talouskurssi.fi/?fbclid=IwAR3lQxACK6cI50BBFObd0zCsOMC4Cq1tFNNNCY5sktWLRNSCs13ALYuQ2cg</v>
      </c>
      <c r="S257" s="90" t="s">
        <v>334</v>
      </c>
      <c r="T257" s="90"/>
      <c r="U257" s="90"/>
      <c r="V257" s="96" t="str">
        <f>HYPERLINK("https://pbs.twimg.com/profile_images/1227613933382590464/r3aMcZGM_normal.jpg")</f>
        <v>https://pbs.twimg.com/profile_images/1227613933382590464/r3aMcZGM_normal.jpg</v>
      </c>
      <c r="W257" s="93">
        <v>44483.29549768518</v>
      </c>
      <c r="X257" s="102">
        <v>44483</v>
      </c>
      <c r="Y257" s="99" t="s">
        <v>2177</v>
      </c>
      <c r="Z257" s="96" t="str">
        <f>HYPERLINK("https://twitter.com/oskarinokso/status/1448545488890966017")</f>
        <v>https://twitter.com/oskarinokso/status/1448545488890966017</v>
      </c>
      <c r="AA257" s="90"/>
      <c r="AB257" s="90"/>
      <c r="AC257" s="99" t="s">
        <v>2223</v>
      </c>
      <c r="AD257" s="90"/>
      <c r="AE257" s="90" t="b">
        <v>0</v>
      </c>
      <c r="AF257" s="90">
        <v>0</v>
      </c>
      <c r="AG257" s="99" t="s">
        <v>535</v>
      </c>
      <c r="AH257" s="90" t="b">
        <v>0</v>
      </c>
      <c r="AI257" s="90" t="s">
        <v>537</v>
      </c>
      <c r="AJ257" s="90"/>
      <c r="AK257" s="99" t="s">
        <v>535</v>
      </c>
      <c r="AL257" s="90" t="b">
        <v>0</v>
      </c>
      <c r="AM257" s="90">
        <v>7</v>
      </c>
      <c r="AN257" s="99" t="s">
        <v>2239</v>
      </c>
      <c r="AO257" s="99" t="s">
        <v>545</v>
      </c>
      <c r="AP257" s="90" t="b">
        <v>0</v>
      </c>
      <c r="AQ257" s="99" t="s">
        <v>2239</v>
      </c>
      <c r="AR257" s="90" t="s">
        <v>187</v>
      </c>
      <c r="AS257" s="90">
        <v>0</v>
      </c>
      <c r="AT257" s="90">
        <v>0</v>
      </c>
      <c r="AU257" s="90"/>
      <c r="AV257" s="90"/>
      <c r="AW257" s="90"/>
      <c r="AX257" s="90"/>
      <c r="AY257" s="90"/>
      <c r="AZ257" s="90"/>
      <c r="BA257" s="90"/>
      <c r="BB257" s="90"/>
      <c r="BC257" s="90">
        <v>2</v>
      </c>
      <c r="BD257" s="89" t="str">
        <f>REPLACE(INDEX(GroupVertices[Group],MATCH(Edges[[#This Row],[Vertex 1]],GroupVertices[Vertex],0)),1,1,"")</f>
        <v>2</v>
      </c>
      <c r="BE257" s="89" t="str">
        <f>REPLACE(INDEX(GroupVertices[Group],MATCH(Edges[[#This Row],[Vertex 2]],GroupVertices[Vertex],0)),1,1,"")</f>
        <v>2</v>
      </c>
      <c r="BF257" s="49"/>
      <c r="BG257" s="50"/>
      <c r="BH257" s="49"/>
      <c r="BI257" s="50"/>
      <c r="BJ257" s="49"/>
      <c r="BK257" s="50"/>
      <c r="BL257" s="49"/>
      <c r="BM257" s="50"/>
      <c r="BN257" s="49"/>
    </row>
    <row r="258" spans="1:66" ht="15">
      <c r="A258" s="66" t="s">
        <v>290</v>
      </c>
      <c r="B258" s="66" t="s">
        <v>299</v>
      </c>
      <c r="C258" s="67" t="s">
        <v>2109</v>
      </c>
      <c r="D258" s="68">
        <v>10</v>
      </c>
      <c r="E258" s="69" t="s">
        <v>132</v>
      </c>
      <c r="F258" s="70">
        <v>10</v>
      </c>
      <c r="G258" s="67" t="s">
        <v>51</v>
      </c>
      <c r="H258" s="71"/>
      <c r="I258" s="72"/>
      <c r="J258" s="72"/>
      <c r="K258" s="35" t="s">
        <v>65</v>
      </c>
      <c r="L258" s="79">
        <v>258</v>
      </c>
      <c r="M258" s="79"/>
      <c r="N258" s="74"/>
      <c r="O258" s="90" t="s">
        <v>306</v>
      </c>
      <c r="P258" s="93">
        <v>44483.29549768518</v>
      </c>
      <c r="Q258" s="90" t="s">
        <v>2139</v>
      </c>
      <c r="R258" s="96" t="str">
        <f>HYPERLINK("https://talouskurssi.fi/?fbclid=IwAR3lQxACK6cI50BBFObd0zCsOMC4Cq1tFNNNCY5sktWLRNSCs13ALYuQ2cg")</f>
        <v>https://talouskurssi.fi/?fbclid=IwAR3lQxACK6cI50BBFObd0zCsOMC4Cq1tFNNNCY5sktWLRNSCs13ALYuQ2cg</v>
      </c>
      <c r="S258" s="90" t="s">
        <v>334</v>
      </c>
      <c r="T258" s="90"/>
      <c r="U258" s="90"/>
      <c r="V258" s="96" t="str">
        <f>HYPERLINK("https://pbs.twimg.com/profile_images/1227613933382590464/r3aMcZGM_normal.jpg")</f>
        <v>https://pbs.twimg.com/profile_images/1227613933382590464/r3aMcZGM_normal.jpg</v>
      </c>
      <c r="W258" s="93">
        <v>44483.29549768518</v>
      </c>
      <c r="X258" s="102">
        <v>44483</v>
      </c>
      <c r="Y258" s="99" t="s">
        <v>2177</v>
      </c>
      <c r="Z258" s="96" t="str">
        <f>HYPERLINK("https://twitter.com/oskarinokso/status/1448545488890966017")</f>
        <v>https://twitter.com/oskarinokso/status/1448545488890966017</v>
      </c>
      <c r="AA258" s="90"/>
      <c r="AB258" s="90"/>
      <c r="AC258" s="99" t="s">
        <v>2223</v>
      </c>
      <c r="AD258" s="90"/>
      <c r="AE258" s="90" t="b">
        <v>0</v>
      </c>
      <c r="AF258" s="90">
        <v>0</v>
      </c>
      <c r="AG258" s="99" t="s">
        <v>535</v>
      </c>
      <c r="AH258" s="90" t="b">
        <v>0</v>
      </c>
      <c r="AI258" s="90" t="s">
        <v>537</v>
      </c>
      <c r="AJ258" s="90"/>
      <c r="AK258" s="99" t="s">
        <v>535</v>
      </c>
      <c r="AL258" s="90" t="b">
        <v>0</v>
      </c>
      <c r="AM258" s="90">
        <v>7</v>
      </c>
      <c r="AN258" s="99" t="s">
        <v>2239</v>
      </c>
      <c r="AO258" s="99" t="s">
        <v>545</v>
      </c>
      <c r="AP258" s="90" t="b">
        <v>0</v>
      </c>
      <c r="AQ258" s="99" t="s">
        <v>2239</v>
      </c>
      <c r="AR258" s="90" t="s">
        <v>187</v>
      </c>
      <c r="AS258" s="90">
        <v>0</v>
      </c>
      <c r="AT258" s="90">
        <v>0</v>
      </c>
      <c r="AU258" s="90"/>
      <c r="AV258" s="90"/>
      <c r="AW258" s="90"/>
      <c r="AX258" s="90"/>
      <c r="AY258" s="90"/>
      <c r="AZ258" s="90"/>
      <c r="BA258" s="90"/>
      <c r="BB258" s="90"/>
      <c r="BC258" s="90">
        <v>3</v>
      </c>
      <c r="BD258" s="89" t="str">
        <f>REPLACE(INDEX(GroupVertices[Group],MATCH(Edges[[#This Row],[Vertex 1]],GroupVertices[Vertex],0)),1,1,"")</f>
        <v>2</v>
      </c>
      <c r="BE258" s="89" t="str">
        <f>REPLACE(INDEX(GroupVertices[Group],MATCH(Edges[[#This Row],[Vertex 2]],GroupVertices[Vertex],0)),1,1,"")</f>
        <v>1</v>
      </c>
      <c r="BF258" s="49"/>
      <c r="BG258" s="50"/>
      <c r="BH258" s="49"/>
      <c r="BI258" s="50"/>
      <c r="BJ258" s="49"/>
      <c r="BK258" s="50"/>
      <c r="BL258" s="49"/>
      <c r="BM258" s="50"/>
      <c r="BN258" s="49"/>
    </row>
    <row r="259" spans="1:66" ht="15">
      <c r="A259" s="66" t="s">
        <v>290</v>
      </c>
      <c r="B259" s="66" t="s">
        <v>293</v>
      </c>
      <c r="C259" s="67" t="s">
        <v>2109</v>
      </c>
      <c r="D259" s="68">
        <v>10</v>
      </c>
      <c r="E259" s="69" t="s">
        <v>136</v>
      </c>
      <c r="F259" s="70">
        <v>10</v>
      </c>
      <c r="G259" s="67" t="s">
        <v>51</v>
      </c>
      <c r="H259" s="71"/>
      <c r="I259" s="72"/>
      <c r="J259" s="72"/>
      <c r="K259" s="35" t="s">
        <v>65</v>
      </c>
      <c r="L259" s="79">
        <v>259</v>
      </c>
      <c r="M259" s="79"/>
      <c r="N259" s="74"/>
      <c r="O259" s="90" t="s">
        <v>306</v>
      </c>
      <c r="P259" s="93">
        <v>44483.29549768518</v>
      </c>
      <c r="Q259" s="90" t="s">
        <v>2139</v>
      </c>
      <c r="R259" s="96" t="str">
        <f>HYPERLINK("https://talouskurssi.fi/?fbclid=IwAR3lQxACK6cI50BBFObd0zCsOMC4Cq1tFNNNCY5sktWLRNSCs13ALYuQ2cg")</f>
        <v>https://talouskurssi.fi/?fbclid=IwAR3lQxACK6cI50BBFObd0zCsOMC4Cq1tFNNNCY5sktWLRNSCs13ALYuQ2cg</v>
      </c>
      <c r="S259" s="90" t="s">
        <v>334</v>
      </c>
      <c r="T259" s="90"/>
      <c r="U259" s="90"/>
      <c r="V259" s="96" t="str">
        <f>HYPERLINK("https://pbs.twimg.com/profile_images/1227613933382590464/r3aMcZGM_normal.jpg")</f>
        <v>https://pbs.twimg.com/profile_images/1227613933382590464/r3aMcZGM_normal.jpg</v>
      </c>
      <c r="W259" s="93">
        <v>44483.29549768518</v>
      </c>
      <c r="X259" s="102">
        <v>44483</v>
      </c>
      <c r="Y259" s="99" t="s">
        <v>2177</v>
      </c>
      <c r="Z259" s="96" t="str">
        <f>HYPERLINK("https://twitter.com/oskarinokso/status/1448545488890966017")</f>
        <v>https://twitter.com/oskarinokso/status/1448545488890966017</v>
      </c>
      <c r="AA259" s="90"/>
      <c r="AB259" s="90"/>
      <c r="AC259" s="99" t="s">
        <v>2223</v>
      </c>
      <c r="AD259" s="90"/>
      <c r="AE259" s="90" t="b">
        <v>0</v>
      </c>
      <c r="AF259" s="90">
        <v>0</v>
      </c>
      <c r="AG259" s="99" t="s">
        <v>535</v>
      </c>
      <c r="AH259" s="90" t="b">
        <v>0</v>
      </c>
      <c r="AI259" s="90" t="s">
        <v>537</v>
      </c>
      <c r="AJ259" s="90"/>
      <c r="AK259" s="99" t="s">
        <v>535</v>
      </c>
      <c r="AL259" s="90" t="b">
        <v>0</v>
      </c>
      <c r="AM259" s="90">
        <v>7</v>
      </c>
      <c r="AN259" s="99" t="s">
        <v>2239</v>
      </c>
      <c r="AO259" s="99" t="s">
        <v>545</v>
      </c>
      <c r="AP259" s="90" t="b">
        <v>0</v>
      </c>
      <c r="AQ259" s="99" t="s">
        <v>2239</v>
      </c>
      <c r="AR259" s="90" t="s">
        <v>187</v>
      </c>
      <c r="AS259" s="90">
        <v>0</v>
      </c>
      <c r="AT259" s="90">
        <v>0</v>
      </c>
      <c r="AU259" s="90"/>
      <c r="AV259" s="90"/>
      <c r="AW259" s="90"/>
      <c r="AX259" s="90"/>
      <c r="AY259" s="90"/>
      <c r="AZ259" s="90"/>
      <c r="BA259" s="90"/>
      <c r="BB259" s="90"/>
      <c r="BC259" s="90">
        <v>5</v>
      </c>
      <c r="BD259" s="89" t="str">
        <f>REPLACE(INDEX(GroupVertices[Group],MATCH(Edges[[#This Row],[Vertex 1]],GroupVertices[Vertex],0)),1,1,"")</f>
        <v>2</v>
      </c>
      <c r="BE259" s="89" t="str">
        <f>REPLACE(INDEX(GroupVertices[Group],MATCH(Edges[[#This Row],[Vertex 2]],GroupVertices[Vertex],0)),1,1,"")</f>
        <v>3</v>
      </c>
      <c r="BF259" s="49"/>
      <c r="BG259" s="50"/>
      <c r="BH259" s="49"/>
      <c r="BI259" s="50"/>
      <c r="BJ259" s="49"/>
      <c r="BK259" s="50"/>
      <c r="BL259" s="49"/>
      <c r="BM259" s="50"/>
      <c r="BN259" s="49"/>
    </row>
    <row r="260" spans="1:66" ht="15">
      <c r="A260" s="66" t="s">
        <v>290</v>
      </c>
      <c r="B260" s="66" t="s">
        <v>2135</v>
      </c>
      <c r="C260" s="67" t="s">
        <v>2108</v>
      </c>
      <c r="D260" s="68">
        <v>1</v>
      </c>
      <c r="E260" s="69" t="s">
        <v>132</v>
      </c>
      <c r="F260" s="70">
        <v>32</v>
      </c>
      <c r="G260" s="67" t="s">
        <v>51</v>
      </c>
      <c r="H260" s="71"/>
      <c r="I260" s="72"/>
      <c r="J260" s="72"/>
      <c r="K260" s="35" t="s">
        <v>65</v>
      </c>
      <c r="L260" s="79">
        <v>260</v>
      </c>
      <c r="M260" s="79"/>
      <c r="N260" s="74"/>
      <c r="O260" s="90" t="s">
        <v>305</v>
      </c>
      <c r="P260" s="93">
        <v>44483.29549768518</v>
      </c>
      <c r="Q260" s="90" t="s">
        <v>2139</v>
      </c>
      <c r="R260" s="96" t="str">
        <f>HYPERLINK("https://talouskurssi.fi/?fbclid=IwAR3lQxACK6cI50BBFObd0zCsOMC4Cq1tFNNNCY5sktWLRNSCs13ALYuQ2cg")</f>
        <v>https://talouskurssi.fi/?fbclid=IwAR3lQxACK6cI50BBFObd0zCsOMC4Cq1tFNNNCY5sktWLRNSCs13ALYuQ2cg</v>
      </c>
      <c r="S260" s="90" t="s">
        <v>334</v>
      </c>
      <c r="T260" s="90"/>
      <c r="U260" s="90"/>
      <c r="V260" s="96" t="str">
        <f>HYPERLINK("https://pbs.twimg.com/profile_images/1227613933382590464/r3aMcZGM_normal.jpg")</f>
        <v>https://pbs.twimg.com/profile_images/1227613933382590464/r3aMcZGM_normal.jpg</v>
      </c>
      <c r="W260" s="93">
        <v>44483.29549768518</v>
      </c>
      <c r="X260" s="102">
        <v>44483</v>
      </c>
      <c r="Y260" s="99" t="s">
        <v>2177</v>
      </c>
      <c r="Z260" s="96" t="str">
        <f>HYPERLINK("https://twitter.com/oskarinokso/status/1448545488890966017")</f>
        <v>https://twitter.com/oskarinokso/status/1448545488890966017</v>
      </c>
      <c r="AA260" s="90"/>
      <c r="AB260" s="90"/>
      <c r="AC260" s="99" t="s">
        <v>2223</v>
      </c>
      <c r="AD260" s="90"/>
      <c r="AE260" s="90" t="b">
        <v>0</v>
      </c>
      <c r="AF260" s="90">
        <v>0</v>
      </c>
      <c r="AG260" s="99" t="s">
        <v>535</v>
      </c>
      <c r="AH260" s="90" t="b">
        <v>0</v>
      </c>
      <c r="AI260" s="90" t="s">
        <v>537</v>
      </c>
      <c r="AJ260" s="90"/>
      <c r="AK260" s="99" t="s">
        <v>535</v>
      </c>
      <c r="AL260" s="90" t="b">
        <v>0</v>
      </c>
      <c r="AM260" s="90">
        <v>7</v>
      </c>
      <c r="AN260" s="99" t="s">
        <v>2239</v>
      </c>
      <c r="AO260" s="99" t="s">
        <v>545</v>
      </c>
      <c r="AP260" s="90" t="b">
        <v>0</v>
      </c>
      <c r="AQ260" s="99" t="s">
        <v>2239</v>
      </c>
      <c r="AR260" s="90" t="s">
        <v>187</v>
      </c>
      <c r="AS260" s="90">
        <v>0</v>
      </c>
      <c r="AT260" s="90">
        <v>0</v>
      </c>
      <c r="AU260" s="90"/>
      <c r="AV260" s="90"/>
      <c r="AW260" s="90"/>
      <c r="AX260" s="90"/>
      <c r="AY260" s="90"/>
      <c r="AZ260" s="90"/>
      <c r="BA260" s="90"/>
      <c r="BB260" s="90"/>
      <c r="BC260" s="90">
        <v>1</v>
      </c>
      <c r="BD260" s="89" t="str">
        <f>REPLACE(INDEX(GroupVertices[Group],MATCH(Edges[[#This Row],[Vertex 1]],GroupVertices[Vertex],0)),1,1,"")</f>
        <v>2</v>
      </c>
      <c r="BE260" s="89" t="str">
        <f>REPLACE(INDEX(GroupVertices[Group],MATCH(Edges[[#This Row],[Vertex 2]],GroupVertices[Vertex],0)),1,1,"")</f>
        <v>2</v>
      </c>
      <c r="BF260" s="49">
        <v>0</v>
      </c>
      <c r="BG260" s="50">
        <v>0</v>
      </c>
      <c r="BH260" s="49">
        <v>0</v>
      </c>
      <c r="BI260" s="50">
        <v>0</v>
      </c>
      <c r="BJ260" s="49">
        <v>0</v>
      </c>
      <c r="BK260" s="50">
        <v>0</v>
      </c>
      <c r="BL260" s="49">
        <v>22</v>
      </c>
      <c r="BM260" s="50">
        <v>100</v>
      </c>
      <c r="BN260" s="49">
        <v>22</v>
      </c>
    </row>
    <row r="261" spans="1:66" ht="15">
      <c r="A261" s="66" t="s">
        <v>290</v>
      </c>
      <c r="B261" s="66" t="s">
        <v>2133</v>
      </c>
      <c r="C261" s="67" t="s">
        <v>2108</v>
      </c>
      <c r="D261" s="68">
        <v>1</v>
      </c>
      <c r="E261" s="69" t="s">
        <v>132</v>
      </c>
      <c r="F261" s="70">
        <v>32</v>
      </c>
      <c r="G261" s="67" t="s">
        <v>51</v>
      </c>
      <c r="H261" s="71"/>
      <c r="I261" s="72"/>
      <c r="J261" s="72"/>
      <c r="K261" s="35" t="s">
        <v>65</v>
      </c>
      <c r="L261" s="79">
        <v>261</v>
      </c>
      <c r="M261" s="79"/>
      <c r="N261" s="74"/>
      <c r="O261" s="90" t="s">
        <v>305</v>
      </c>
      <c r="P261" s="93">
        <v>44483.387777777774</v>
      </c>
      <c r="Q261" s="90" t="s">
        <v>2141</v>
      </c>
      <c r="R261" s="90" t="s">
        <v>2150</v>
      </c>
      <c r="S261" s="90" t="s">
        <v>2152</v>
      </c>
      <c r="T261" s="90"/>
      <c r="U261" s="90"/>
      <c r="V261" s="96" t="str">
        <f>HYPERLINK("https://pbs.twimg.com/profile_images/1227613933382590464/r3aMcZGM_normal.jpg")</f>
        <v>https://pbs.twimg.com/profile_images/1227613933382590464/r3aMcZGM_normal.jpg</v>
      </c>
      <c r="W261" s="93">
        <v>44483.387777777774</v>
      </c>
      <c r="X261" s="102">
        <v>44483</v>
      </c>
      <c r="Y261" s="99" t="s">
        <v>2178</v>
      </c>
      <c r="Z261" s="96" t="str">
        <f>HYPERLINK("https://twitter.com/oskarinokso/status/1448578926595432456")</f>
        <v>https://twitter.com/oskarinokso/status/1448578926595432456</v>
      </c>
      <c r="AA261" s="90"/>
      <c r="AB261" s="90"/>
      <c r="AC261" s="99" t="s">
        <v>2224</v>
      </c>
      <c r="AD261" s="90"/>
      <c r="AE261" s="90" t="b">
        <v>0</v>
      </c>
      <c r="AF261" s="90">
        <v>0</v>
      </c>
      <c r="AG261" s="99" t="s">
        <v>535</v>
      </c>
      <c r="AH261" s="90" t="b">
        <v>0</v>
      </c>
      <c r="AI261" s="90" t="s">
        <v>537</v>
      </c>
      <c r="AJ261" s="90"/>
      <c r="AK261" s="99" t="s">
        <v>535</v>
      </c>
      <c r="AL261" s="90" t="b">
        <v>0</v>
      </c>
      <c r="AM261" s="90">
        <v>4</v>
      </c>
      <c r="AN261" s="99" t="s">
        <v>2230</v>
      </c>
      <c r="AO261" s="99" t="s">
        <v>542</v>
      </c>
      <c r="AP261" s="90" t="b">
        <v>0</v>
      </c>
      <c r="AQ261" s="99" t="s">
        <v>2230</v>
      </c>
      <c r="AR261" s="90" t="s">
        <v>187</v>
      </c>
      <c r="AS261" s="90">
        <v>0</v>
      </c>
      <c r="AT261" s="90">
        <v>0</v>
      </c>
      <c r="AU261" s="90"/>
      <c r="AV261" s="90"/>
      <c r="AW261" s="90"/>
      <c r="AX261" s="90"/>
      <c r="AY261" s="90"/>
      <c r="AZ261" s="90"/>
      <c r="BA261" s="90"/>
      <c r="BB261" s="90"/>
      <c r="BC261" s="90">
        <v>1</v>
      </c>
      <c r="BD261" s="89" t="str">
        <f>REPLACE(INDEX(GroupVertices[Group],MATCH(Edges[[#This Row],[Vertex 1]],GroupVertices[Vertex],0)),1,1,"")</f>
        <v>2</v>
      </c>
      <c r="BE261" s="89" t="str">
        <f>REPLACE(INDEX(GroupVertices[Group],MATCH(Edges[[#This Row],[Vertex 2]],GroupVertices[Vertex],0)),1,1,"")</f>
        <v>3</v>
      </c>
      <c r="BF261" s="49">
        <v>0</v>
      </c>
      <c r="BG261" s="50">
        <v>0</v>
      </c>
      <c r="BH261" s="49">
        <v>0</v>
      </c>
      <c r="BI261" s="50">
        <v>0</v>
      </c>
      <c r="BJ261" s="49">
        <v>0</v>
      </c>
      <c r="BK261" s="50">
        <v>0</v>
      </c>
      <c r="BL261" s="49">
        <v>31</v>
      </c>
      <c r="BM261" s="50">
        <v>100</v>
      </c>
      <c r="BN261" s="49">
        <v>31</v>
      </c>
    </row>
    <row r="262" spans="1:66" ht="15">
      <c r="A262" s="66" t="s">
        <v>290</v>
      </c>
      <c r="B262" s="66" t="s">
        <v>252</v>
      </c>
      <c r="C262" s="67" t="s">
        <v>2108</v>
      </c>
      <c r="D262" s="68">
        <v>1</v>
      </c>
      <c r="E262" s="69" t="s">
        <v>132</v>
      </c>
      <c r="F262" s="70">
        <v>32</v>
      </c>
      <c r="G262" s="67" t="s">
        <v>51</v>
      </c>
      <c r="H262" s="71"/>
      <c r="I262" s="72"/>
      <c r="J262" s="72"/>
      <c r="K262" s="35" t="s">
        <v>65</v>
      </c>
      <c r="L262" s="79">
        <v>262</v>
      </c>
      <c r="M262" s="79"/>
      <c r="N262" s="74"/>
      <c r="O262" s="90" t="s">
        <v>306</v>
      </c>
      <c r="P262" s="93">
        <v>44483.38784722222</v>
      </c>
      <c r="Q262" s="90" t="s">
        <v>2140</v>
      </c>
      <c r="R262" s="96" t="str">
        <f>HYPERLINK("https://talouskurssi.fi")</f>
        <v>https://talouskurssi.fi</v>
      </c>
      <c r="S262" s="90" t="s">
        <v>334</v>
      </c>
      <c r="T262" s="90"/>
      <c r="U262" s="96" t="str">
        <f>HYPERLINK("https://pbs.twimg.com/media/FBpWom9XIAAjFw3.jpg")</f>
        <v>https://pbs.twimg.com/media/FBpWom9XIAAjFw3.jpg</v>
      </c>
      <c r="V262" s="96" t="str">
        <f>HYPERLINK("https://pbs.twimg.com/media/FBpWom9XIAAjFw3.jpg")</f>
        <v>https://pbs.twimg.com/media/FBpWom9XIAAjFw3.jpg</v>
      </c>
      <c r="W262" s="93">
        <v>44483.38784722222</v>
      </c>
      <c r="X262" s="102">
        <v>44483</v>
      </c>
      <c r="Y262" s="99" t="s">
        <v>2179</v>
      </c>
      <c r="Z262" s="96" t="str">
        <f>HYPERLINK("https://twitter.com/oskarinokso/status/1448578954290507777")</f>
        <v>https://twitter.com/oskarinokso/status/1448578954290507777</v>
      </c>
      <c r="AA262" s="90"/>
      <c r="AB262" s="90"/>
      <c r="AC262" s="99" t="s">
        <v>2225</v>
      </c>
      <c r="AD262" s="90"/>
      <c r="AE262" s="90" t="b">
        <v>0</v>
      </c>
      <c r="AF262" s="90">
        <v>0</v>
      </c>
      <c r="AG262" s="99" t="s">
        <v>535</v>
      </c>
      <c r="AH262" s="90" t="b">
        <v>0</v>
      </c>
      <c r="AI262" s="90" t="s">
        <v>537</v>
      </c>
      <c r="AJ262" s="90"/>
      <c r="AK262" s="99" t="s">
        <v>535</v>
      </c>
      <c r="AL262" s="90" t="b">
        <v>0</v>
      </c>
      <c r="AM262" s="90">
        <v>9</v>
      </c>
      <c r="AN262" s="99" t="s">
        <v>538</v>
      </c>
      <c r="AO262" s="99" t="s">
        <v>542</v>
      </c>
      <c r="AP262" s="90" t="b">
        <v>0</v>
      </c>
      <c r="AQ262" s="99" t="s">
        <v>538</v>
      </c>
      <c r="AR262" s="90" t="s">
        <v>187</v>
      </c>
      <c r="AS262" s="90">
        <v>0</v>
      </c>
      <c r="AT262" s="90">
        <v>0</v>
      </c>
      <c r="AU262" s="90"/>
      <c r="AV262" s="90"/>
      <c r="AW262" s="90"/>
      <c r="AX262" s="90"/>
      <c r="AY262" s="90"/>
      <c r="AZ262" s="90"/>
      <c r="BA262" s="90"/>
      <c r="BB262" s="90"/>
      <c r="BC262" s="90">
        <v>1</v>
      </c>
      <c r="BD262" s="89" t="str">
        <f>REPLACE(INDEX(GroupVertices[Group],MATCH(Edges[[#This Row],[Vertex 1]],GroupVertices[Vertex],0)),1,1,"")</f>
        <v>2</v>
      </c>
      <c r="BE262" s="89" t="str">
        <f>REPLACE(INDEX(GroupVertices[Group],MATCH(Edges[[#This Row],[Vertex 2]],GroupVertices[Vertex],0)),1,1,"")</f>
        <v>2</v>
      </c>
      <c r="BF262" s="49"/>
      <c r="BG262" s="50"/>
      <c r="BH262" s="49"/>
      <c r="BI262" s="50"/>
      <c r="BJ262" s="49"/>
      <c r="BK262" s="50"/>
      <c r="BL262" s="49"/>
      <c r="BM262" s="50"/>
      <c r="BN262" s="49"/>
    </row>
    <row r="263" spans="1:66" ht="15">
      <c r="A263" s="66" t="s">
        <v>290</v>
      </c>
      <c r="B263" s="66" t="s">
        <v>295</v>
      </c>
      <c r="C263" s="67" t="s">
        <v>2109</v>
      </c>
      <c r="D263" s="68">
        <v>10</v>
      </c>
      <c r="E263" s="69" t="s">
        <v>132</v>
      </c>
      <c r="F263" s="70">
        <v>10</v>
      </c>
      <c r="G263" s="67" t="s">
        <v>51</v>
      </c>
      <c r="H263" s="71"/>
      <c r="I263" s="72"/>
      <c r="J263" s="72"/>
      <c r="K263" s="35" t="s">
        <v>65</v>
      </c>
      <c r="L263" s="79">
        <v>263</v>
      </c>
      <c r="M263" s="79"/>
      <c r="N263" s="74"/>
      <c r="O263" s="90" t="s">
        <v>306</v>
      </c>
      <c r="P263" s="93">
        <v>44483.38784722222</v>
      </c>
      <c r="Q263" s="90" t="s">
        <v>2140</v>
      </c>
      <c r="R263" s="96" t="str">
        <f>HYPERLINK("https://talouskurssi.fi")</f>
        <v>https://talouskurssi.fi</v>
      </c>
      <c r="S263" s="90" t="s">
        <v>334</v>
      </c>
      <c r="T263" s="90"/>
      <c r="U263" s="96" t="str">
        <f>HYPERLINK("https://pbs.twimg.com/media/FBpWom9XIAAjFw3.jpg")</f>
        <v>https://pbs.twimg.com/media/FBpWom9XIAAjFw3.jpg</v>
      </c>
      <c r="V263" s="96" t="str">
        <f>HYPERLINK("https://pbs.twimg.com/media/FBpWom9XIAAjFw3.jpg")</f>
        <v>https://pbs.twimg.com/media/FBpWom9XIAAjFw3.jpg</v>
      </c>
      <c r="W263" s="93">
        <v>44483.38784722222</v>
      </c>
      <c r="X263" s="102">
        <v>44483</v>
      </c>
      <c r="Y263" s="99" t="s">
        <v>2179</v>
      </c>
      <c r="Z263" s="96" t="str">
        <f>HYPERLINK("https://twitter.com/oskarinokso/status/1448578954290507777")</f>
        <v>https://twitter.com/oskarinokso/status/1448578954290507777</v>
      </c>
      <c r="AA263" s="90"/>
      <c r="AB263" s="90"/>
      <c r="AC263" s="99" t="s">
        <v>2225</v>
      </c>
      <c r="AD263" s="90"/>
      <c r="AE263" s="90" t="b">
        <v>0</v>
      </c>
      <c r="AF263" s="90">
        <v>0</v>
      </c>
      <c r="AG263" s="99" t="s">
        <v>535</v>
      </c>
      <c r="AH263" s="90" t="b">
        <v>0</v>
      </c>
      <c r="AI263" s="90" t="s">
        <v>537</v>
      </c>
      <c r="AJ263" s="90"/>
      <c r="AK263" s="99" t="s">
        <v>535</v>
      </c>
      <c r="AL263" s="90" t="b">
        <v>0</v>
      </c>
      <c r="AM263" s="90">
        <v>9</v>
      </c>
      <c r="AN263" s="99" t="s">
        <v>538</v>
      </c>
      <c r="AO263" s="99" t="s">
        <v>542</v>
      </c>
      <c r="AP263" s="90" t="b">
        <v>0</v>
      </c>
      <c r="AQ263" s="99" t="s">
        <v>538</v>
      </c>
      <c r="AR263" s="90" t="s">
        <v>187</v>
      </c>
      <c r="AS263" s="90">
        <v>0</v>
      </c>
      <c r="AT263" s="90">
        <v>0</v>
      </c>
      <c r="AU263" s="90"/>
      <c r="AV263" s="90"/>
      <c r="AW263" s="90"/>
      <c r="AX263" s="90"/>
      <c r="AY263" s="90"/>
      <c r="AZ263" s="90"/>
      <c r="BA263" s="90"/>
      <c r="BB263" s="90"/>
      <c r="BC263" s="90">
        <v>3</v>
      </c>
      <c r="BD263" s="89" t="str">
        <f>REPLACE(INDEX(GroupVertices[Group],MATCH(Edges[[#This Row],[Vertex 1]],GroupVertices[Vertex],0)),1,1,"")</f>
        <v>2</v>
      </c>
      <c r="BE263" s="89" t="str">
        <f>REPLACE(INDEX(GroupVertices[Group],MATCH(Edges[[#This Row],[Vertex 2]],GroupVertices[Vertex],0)),1,1,"")</f>
        <v>2</v>
      </c>
      <c r="BF263" s="49"/>
      <c r="BG263" s="50"/>
      <c r="BH263" s="49"/>
      <c r="BI263" s="50"/>
      <c r="BJ263" s="49"/>
      <c r="BK263" s="50"/>
      <c r="BL263" s="49"/>
      <c r="BM263" s="50"/>
      <c r="BN263" s="49"/>
    </row>
    <row r="264" spans="1:66" ht="15">
      <c r="A264" s="66" t="s">
        <v>290</v>
      </c>
      <c r="B264" s="66" t="s">
        <v>260</v>
      </c>
      <c r="C264" s="67" t="s">
        <v>2109</v>
      </c>
      <c r="D264" s="68">
        <v>10</v>
      </c>
      <c r="E264" s="69" t="s">
        <v>132</v>
      </c>
      <c r="F264" s="70">
        <v>10</v>
      </c>
      <c r="G264" s="67" t="s">
        <v>51</v>
      </c>
      <c r="H264" s="71"/>
      <c r="I264" s="72"/>
      <c r="J264" s="72"/>
      <c r="K264" s="35" t="s">
        <v>65</v>
      </c>
      <c r="L264" s="79">
        <v>264</v>
      </c>
      <c r="M264" s="79"/>
      <c r="N264" s="74"/>
      <c r="O264" s="90" t="s">
        <v>306</v>
      </c>
      <c r="P264" s="93">
        <v>44483.38784722222</v>
      </c>
      <c r="Q264" s="90" t="s">
        <v>2140</v>
      </c>
      <c r="R264" s="96" t="str">
        <f>HYPERLINK("https://talouskurssi.fi")</f>
        <v>https://talouskurssi.fi</v>
      </c>
      <c r="S264" s="90" t="s">
        <v>334</v>
      </c>
      <c r="T264" s="90"/>
      <c r="U264" s="96" t="str">
        <f>HYPERLINK("https://pbs.twimg.com/media/FBpWom9XIAAjFw3.jpg")</f>
        <v>https://pbs.twimg.com/media/FBpWom9XIAAjFw3.jpg</v>
      </c>
      <c r="V264" s="96" t="str">
        <f>HYPERLINK("https://pbs.twimg.com/media/FBpWom9XIAAjFw3.jpg")</f>
        <v>https://pbs.twimg.com/media/FBpWom9XIAAjFw3.jpg</v>
      </c>
      <c r="W264" s="93">
        <v>44483.38784722222</v>
      </c>
      <c r="X264" s="102">
        <v>44483</v>
      </c>
      <c r="Y264" s="99" t="s">
        <v>2179</v>
      </c>
      <c r="Z264" s="96" t="str">
        <f>HYPERLINK("https://twitter.com/oskarinokso/status/1448578954290507777")</f>
        <v>https://twitter.com/oskarinokso/status/1448578954290507777</v>
      </c>
      <c r="AA264" s="90"/>
      <c r="AB264" s="90"/>
      <c r="AC264" s="99" t="s">
        <v>2225</v>
      </c>
      <c r="AD264" s="90"/>
      <c r="AE264" s="90" t="b">
        <v>0</v>
      </c>
      <c r="AF264" s="90">
        <v>0</v>
      </c>
      <c r="AG264" s="99" t="s">
        <v>535</v>
      </c>
      <c r="AH264" s="90" t="b">
        <v>0</v>
      </c>
      <c r="AI264" s="90" t="s">
        <v>537</v>
      </c>
      <c r="AJ264" s="90"/>
      <c r="AK264" s="99" t="s">
        <v>535</v>
      </c>
      <c r="AL264" s="90" t="b">
        <v>0</v>
      </c>
      <c r="AM264" s="90">
        <v>9</v>
      </c>
      <c r="AN264" s="99" t="s">
        <v>538</v>
      </c>
      <c r="AO264" s="99" t="s">
        <v>542</v>
      </c>
      <c r="AP264" s="90" t="b">
        <v>0</v>
      </c>
      <c r="AQ264" s="99" t="s">
        <v>538</v>
      </c>
      <c r="AR264" s="90" t="s">
        <v>187</v>
      </c>
      <c r="AS264" s="90">
        <v>0</v>
      </c>
      <c r="AT264" s="90">
        <v>0</v>
      </c>
      <c r="AU264" s="90"/>
      <c r="AV264" s="90"/>
      <c r="AW264" s="90"/>
      <c r="AX264" s="90"/>
      <c r="AY264" s="90"/>
      <c r="AZ264" s="90"/>
      <c r="BA264" s="90"/>
      <c r="BB264" s="90"/>
      <c r="BC264" s="90">
        <v>2</v>
      </c>
      <c r="BD264" s="89" t="str">
        <f>REPLACE(INDEX(GroupVertices[Group],MATCH(Edges[[#This Row],[Vertex 1]],GroupVertices[Vertex],0)),1,1,"")</f>
        <v>2</v>
      </c>
      <c r="BE264" s="89" t="str">
        <f>REPLACE(INDEX(GroupVertices[Group],MATCH(Edges[[#This Row],[Vertex 2]],GroupVertices[Vertex],0)),1,1,"")</f>
        <v>2</v>
      </c>
      <c r="BF264" s="49"/>
      <c r="BG264" s="50"/>
      <c r="BH264" s="49"/>
      <c r="BI264" s="50"/>
      <c r="BJ264" s="49"/>
      <c r="BK264" s="50"/>
      <c r="BL264" s="49"/>
      <c r="BM264" s="50"/>
      <c r="BN264" s="49"/>
    </row>
    <row r="265" spans="1:66" ht="15">
      <c r="A265" s="66" t="s">
        <v>290</v>
      </c>
      <c r="B265" s="66" t="s">
        <v>293</v>
      </c>
      <c r="C265" s="67" t="s">
        <v>2109</v>
      </c>
      <c r="D265" s="68">
        <v>10</v>
      </c>
      <c r="E265" s="69" t="s">
        <v>136</v>
      </c>
      <c r="F265" s="70">
        <v>10</v>
      </c>
      <c r="G265" s="67" t="s">
        <v>51</v>
      </c>
      <c r="H265" s="71"/>
      <c r="I265" s="72"/>
      <c r="J265" s="72"/>
      <c r="K265" s="35" t="s">
        <v>65</v>
      </c>
      <c r="L265" s="79">
        <v>265</v>
      </c>
      <c r="M265" s="79"/>
      <c r="N265" s="74"/>
      <c r="O265" s="90" t="s">
        <v>306</v>
      </c>
      <c r="P265" s="93">
        <v>44483.38784722222</v>
      </c>
      <c r="Q265" s="90" t="s">
        <v>2140</v>
      </c>
      <c r="R265" s="96" t="str">
        <f>HYPERLINK("https://talouskurssi.fi")</f>
        <v>https://talouskurssi.fi</v>
      </c>
      <c r="S265" s="90" t="s">
        <v>334</v>
      </c>
      <c r="T265" s="90"/>
      <c r="U265" s="96" t="str">
        <f>HYPERLINK("https://pbs.twimg.com/media/FBpWom9XIAAjFw3.jpg")</f>
        <v>https://pbs.twimg.com/media/FBpWom9XIAAjFw3.jpg</v>
      </c>
      <c r="V265" s="96" t="str">
        <f>HYPERLINK("https://pbs.twimg.com/media/FBpWom9XIAAjFw3.jpg")</f>
        <v>https://pbs.twimg.com/media/FBpWom9XIAAjFw3.jpg</v>
      </c>
      <c r="W265" s="93">
        <v>44483.38784722222</v>
      </c>
      <c r="X265" s="102">
        <v>44483</v>
      </c>
      <c r="Y265" s="99" t="s">
        <v>2179</v>
      </c>
      <c r="Z265" s="96" t="str">
        <f>HYPERLINK("https://twitter.com/oskarinokso/status/1448578954290507777")</f>
        <v>https://twitter.com/oskarinokso/status/1448578954290507777</v>
      </c>
      <c r="AA265" s="90"/>
      <c r="AB265" s="90"/>
      <c r="AC265" s="99" t="s">
        <v>2225</v>
      </c>
      <c r="AD265" s="90"/>
      <c r="AE265" s="90" t="b">
        <v>0</v>
      </c>
      <c r="AF265" s="90">
        <v>0</v>
      </c>
      <c r="AG265" s="99" t="s">
        <v>535</v>
      </c>
      <c r="AH265" s="90" t="b">
        <v>0</v>
      </c>
      <c r="AI265" s="90" t="s">
        <v>537</v>
      </c>
      <c r="AJ265" s="90"/>
      <c r="AK265" s="99" t="s">
        <v>535</v>
      </c>
      <c r="AL265" s="90" t="b">
        <v>0</v>
      </c>
      <c r="AM265" s="90">
        <v>9</v>
      </c>
      <c r="AN265" s="99" t="s">
        <v>538</v>
      </c>
      <c r="AO265" s="99" t="s">
        <v>542</v>
      </c>
      <c r="AP265" s="90" t="b">
        <v>0</v>
      </c>
      <c r="AQ265" s="99" t="s">
        <v>538</v>
      </c>
      <c r="AR265" s="90" t="s">
        <v>187</v>
      </c>
      <c r="AS265" s="90">
        <v>0</v>
      </c>
      <c r="AT265" s="90">
        <v>0</v>
      </c>
      <c r="AU265" s="90"/>
      <c r="AV265" s="90"/>
      <c r="AW265" s="90"/>
      <c r="AX265" s="90"/>
      <c r="AY265" s="90"/>
      <c r="AZ265" s="90"/>
      <c r="BA265" s="90"/>
      <c r="BB265" s="90"/>
      <c r="BC265" s="90">
        <v>5</v>
      </c>
      <c r="BD265" s="89" t="str">
        <f>REPLACE(INDEX(GroupVertices[Group],MATCH(Edges[[#This Row],[Vertex 1]],GroupVertices[Vertex],0)),1,1,"")</f>
        <v>2</v>
      </c>
      <c r="BE265" s="89" t="str">
        <f>REPLACE(INDEX(GroupVertices[Group],MATCH(Edges[[#This Row],[Vertex 2]],GroupVertices[Vertex],0)),1,1,"")</f>
        <v>3</v>
      </c>
      <c r="BF265" s="49"/>
      <c r="BG265" s="50"/>
      <c r="BH265" s="49"/>
      <c r="BI265" s="50"/>
      <c r="BJ265" s="49"/>
      <c r="BK265" s="50"/>
      <c r="BL265" s="49"/>
      <c r="BM265" s="50"/>
      <c r="BN265" s="49"/>
    </row>
    <row r="266" spans="1:66" ht="15">
      <c r="A266" s="66" t="s">
        <v>290</v>
      </c>
      <c r="B266" s="66" t="s">
        <v>250</v>
      </c>
      <c r="C266" s="67" t="s">
        <v>2108</v>
      </c>
      <c r="D266" s="68">
        <v>1</v>
      </c>
      <c r="E266" s="69" t="s">
        <v>132</v>
      </c>
      <c r="F266" s="70">
        <v>32</v>
      </c>
      <c r="G266" s="67" t="s">
        <v>51</v>
      </c>
      <c r="H266" s="71"/>
      <c r="I266" s="72"/>
      <c r="J266" s="72"/>
      <c r="K266" s="35" t="s">
        <v>65</v>
      </c>
      <c r="L266" s="79">
        <v>266</v>
      </c>
      <c r="M266" s="79"/>
      <c r="N266" s="74"/>
      <c r="O266" s="90" t="s">
        <v>305</v>
      </c>
      <c r="P266" s="93">
        <v>44483.38784722222</v>
      </c>
      <c r="Q266" s="90" t="s">
        <v>2140</v>
      </c>
      <c r="R266" s="96" t="str">
        <f>HYPERLINK("https://talouskurssi.fi")</f>
        <v>https://talouskurssi.fi</v>
      </c>
      <c r="S266" s="90" t="s">
        <v>334</v>
      </c>
      <c r="T266" s="90"/>
      <c r="U266" s="96" t="str">
        <f>HYPERLINK("https://pbs.twimg.com/media/FBpWom9XIAAjFw3.jpg")</f>
        <v>https://pbs.twimg.com/media/FBpWom9XIAAjFw3.jpg</v>
      </c>
      <c r="V266" s="96" t="str">
        <f>HYPERLINK("https://pbs.twimg.com/media/FBpWom9XIAAjFw3.jpg")</f>
        <v>https://pbs.twimg.com/media/FBpWom9XIAAjFw3.jpg</v>
      </c>
      <c r="W266" s="93">
        <v>44483.38784722222</v>
      </c>
      <c r="X266" s="102">
        <v>44483</v>
      </c>
      <c r="Y266" s="99" t="s">
        <v>2179</v>
      </c>
      <c r="Z266" s="96" t="str">
        <f>HYPERLINK("https://twitter.com/oskarinokso/status/1448578954290507777")</f>
        <v>https://twitter.com/oskarinokso/status/1448578954290507777</v>
      </c>
      <c r="AA266" s="90"/>
      <c r="AB266" s="90"/>
      <c r="AC266" s="99" t="s">
        <v>2225</v>
      </c>
      <c r="AD266" s="90"/>
      <c r="AE266" s="90" t="b">
        <v>0</v>
      </c>
      <c r="AF266" s="90">
        <v>0</v>
      </c>
      <c r="AG266" s="99" t="s">
        <v>535</v>
      </c>
      <c r="AH266" s="90" t="b">
        <v>0</v>
      </c>
      <c r="AI266" s="90" t="s">
        <v>537</v>
      </c>
      <c r="AJ266" s="90"/>
      <c r="AK266" s="99" t="s">
        <v>535</v>
      </c>
      <c r="AL266" s="90" t="b">
        <v>0</v>
      </c>
      <c r="AM266" s="90">
        <v>9</v>
      </c>
      <c r="AN266" s="99" t="s">
        <v>538</v>
      </c>
      <c r="AO266" s="99" t="s">
        <v>542</v>
      </c>
      <c r="AP266" s="90" t="b">
        <v>0</v>
      </c>
      <c r="AQ266" s="99" t="s">
        <v>538</v>
      </c>
      <c r="AR266" s="90" t="s">
        <v>187</v>
      </c>
      <c r="AS266" s="90">
        <v>0</v>
      </c>
      <c r="AT266" s="90">
        <v>0</v>
      </c>
      <c r="AU266" s="90"/>
      <c r="AV266" s="90"/>
      <c r="AW266" s="90"/>
      <c r="AX266" s="90"/>
      <c r="AY266" s="90"/>
      <c r="AZ266" s="90"/>
      <c r="BA266" s="90"/>
      <c r="BB266" s="90"/>
      <c r="BC266" s="90">
        <v>1</v>
      </c>
      <c r="BD266" s="89" t="str">
        <f>REPLACE(INDEX(GroupVertices[Group],MATCH(Edges[[#This Row],[Vertex 1]],GroupVertices[Vertex],0)),1,1,"")</f>
        <v>2</v>
      </c>
      <c r="BE266" s="89" t="str">
        <f>REPLACE(INDEX(GroupVertices[Group],MATCH(Edges[[#This Row],[Vertex 2]],GroupVertices[Vertex],0)),1,1,"")</f>
        <v>2</v>
      </c>
      <c r="BF266" s="49">
        <v>0</v>
      </c>
      <c r="BG266" s="50">
        <v>0</v>
      </c>
      <c r="BH266" s="49">
        <v>0</v>
      </c>
      <c r="BI266" s="50">
        <v>0</v>
      </c>
      <c r="BJ266" s="49">
        <v>0</v>
      </c>
      <c r="BK266" s="50">
        <v>0</v>
      </c>
      <c r="BL266" s="49">
        <v>32</v>
      </c>
      <c r="BM266" s="50">
        <v>100</v>
      </c>
      <c r="BN266" s="49">
        <v>32</v>
      </c>
    </row>
    <row r="267" spans="1:66" ht="15">
      <c r="A267" s="66" t="s">
        <v>290</v>
      </c>
      <c r="B267" s="66" t="s">
        <v>303</v>
      </c>
      <c r="C267" s="67" t="s">
        <v>2108</v>
      </c>
      <c r="D267" s="68">
        <v>1</v>
      </c>
      <c r="E267" s="69" t="s">
        <v>132</v>
      </c>
      <c r="F267" s="70">
        <v>32</v>
      </c>
      <c r="G267" s="67" t="s">
        <v>51</v>
      </c>
      <c r="H267" s="71"/>
      <c r="I267" s="72"/>
      <c r="J267" s="72"/>
      <c r="K267" s="35" t="s">
        <v>65</v>
      </c>
      <c r="L267" s="79">
        <v>267</v>
      </c>
      <c r="M267" s="79"/>
      <c r="N267" s="74"/>
      <c r="O267" s="90" t="s">
        <v>306</v>
      </c>
      <c r="P267" s="93">
        <v>44483.38788194444</v>
      </c>
      <c r="Q267" s="90" t="s">
        <v>314</v>
      </c>
      <c r="R267" s="90"/>
      <c r="S267" s="90"/>
      <c r="T267" s="99" t="s">
        <v>338</v>
      </c>
      <c r="U267" s="96" t="str">
        <f>HYPERLINK("https://pbs.twimg.com/media/FBpVUeuWUAAiBrw.jpg")</f>
        <v>https://pbs.twimg.com/media/FBpVUeuWUAAiBrw.jpg</v>
      </c>
      <c r="V267" s="96" t="str">
        <f>HYPERLINK("https://pbs.twimg.com/media/FBpVUeuWUAAiBrw.jpg")</f>
        <v>https://pbs.twimg.com/media/FBpVUeuWUAAiBrw.jpg</v>
      </c>
      <c r="W267" s="93">
        <v>44483.38788194444</v>
      </c>
      <c r="X267" s="102">
        <v>44483</v>
      </c>
      <c r="Y267" s="99" t="s">
        <v>419</v>
      </c>
      <c r="Z267" s="96" t="str">
        <f>HYPERLINK("https://twitter.com/oskarinokso/status/1448578966487437313")</f>
        <v>https://twitter.com/oskarinokso/status/1448578966487437313</v>
      </c>
      <c r="AA267" s="90"/>
      <c r="AB267" s="90"/>
      <c r="AC267" s="99" t="s">
        <v>513</v>
      </c>
      <c r="AD267" s="90"/>
      <c r="AE267" s="90" t="b">
        <v>0</v>
      </c>
      <c r="AF267" s="90">
        <v>0</v>
      </c>
      <c r="AG267" s="99" t="s">
        <v>535</v>
      </c>
      <c r="AH267" s="90" t="b">
        <v>0</v>
      </c>
      <c r="AI267" s="90" t="s">
        <v>537</v>
      </c>
      <c r="AJ267" s="90"/>
      <c r="AK267" s="99" t="s">
        <v>535</v>
      </c>
      <c r="AL267" s="90" t="b">
        <v>0</v>
      </c>
      <c r="AM267" s="90">
        <v>5</v>
      </c>
      <c r="AN267" s="99" t="s">
        <v>517</v>
      </c>
      <c r="AO267" s="99" t="s">
        <v>542</v>
      </c>
      <c r="AP267" s="90" t="b">
        <v>0</v>
      </c>
      <c r="AQ267" s="99" t="s">
        <v>517</v>
      </c>
      <c r="AR267" s="90" t="s">
        <v>187</v>
      </c>
      <c r="AS267" s="90">
        <v>0</v>
      </c>
      <c r="AT267" s="90">
        <v>0</v>
      </c>
      <c r="AU267" s="90"/>
      <c r="AV267" s="90"/>
      <c r="AW267" s="90"/>
      <c r="AX267" s="90"/>
      <c r="AY267" s="90"/>
      <c r="AZ267" s="90"/>
      <c r="BA267" s="90"/>
      <c r="BB267" s="90"/>
      <c r="BC267" s="90">
        <v>1</v>
      </c>
      <c r="BD267" s="89" t="str">
        <f>REPLACE(INDEX(GroupVertices[Group],MATCH(Edges[[#This Row],[Vertex 1]],GroupVertices[Vertex],0)),1,1,"")</f>
        <v>2</v>
      </c>
      <c r="BE267" s="89" t="str">
        <f>REPLACE(INDEX(GroupVertices[Group],MATCH(Edges[[#This Row],[Vertex 2]],GroupVertices[Vertex],0)),1,1,"")</f>
        <v>3</v>
      </c>
      <c r="BF267" s="49"/>
      <c r="BG267" s="50"/>
      <c r="BH267" s="49"/>
      <c r="BI267" s="50"/>
      <c r="BJ267" s="49"/>
      <c r="BK267" s="50"/>
      <c r="BL267" s="49"/>
      <c r="BM267" s="50"/>
      <c r="BN267" s="49"/>
    </row>
    <row r="268" spans="1:66" ht="15">
      <c r="A268" s="66" t="s">
        <v>290</v>
      </c>
      <c r="B268" s="66" t="s">
        <v>293</v>
      </c>
      <c r="C268" s="67" t="s">
        <v>2109</v>
      </c>
      <c r="D268" s="68">
        <v>10</v>
      </c>
      <c r="E268" s="69" t="s">
        <v>132</v>
      </c>
      <c r="F268" s="70">
        <v>10</v>
      </c>
      <c r="G268" s="67" t="s">
        <v>51</v>
      </c>
      <c r="H268" s="71"/>
      <c r="I268" s="72"/>
      <c r="J268" s="72"/>
      <c r="K268" s="35" t="s">
        <v>65</v>
      </c>
      <c r="L268" s="79">
        <v>268</v>
      </c>
      <c r="M268" s="79"/>
      <c r="N268" s="74"/>
      <c r="O268" s="90" t="s">
        <v>305</v>
      </c>
      <c r="P268" s="93">
        <v>44483.38788194444</v>
      </c>
      <c r="Q268" s="90" t="s">
        <v>314</v>
      </c>
      <c r="R268" s="90"/>
      <c r="S268" s="90"/>
      <c r="T268" s="99" t="s">
        <v>338</v>
      </c>
      <c r="U268" s="96" t="str">
        <f>HYPERLINK("https://pbs.twimg.com/media/FBpVUeuWUAAiBrw.jpg")</f>
        <v>https://pbs.twimg.com/media/FBpVUeuWUAAiBrw.jpg</v>
      </c>
      <c r="V268" s="96" t="str">
        <f>HYPERLINK("https://pbs.twimg.com/media/FBpVUeuWUAAiBrw.jpg")</f>
        <v>https://pbs.twimg.com/media/FBpVUeuWUAAiBrw.jpg</v>
      </c>
      <c r="W268" s="93">
        <v>44483.38788194444</v>
      </c>
      <c r="X268" s="102">
        <v>44483</v>
      </c>
      <c r="Y268" s="99" t="s">
        <v>419</v>
      </c>
      <c r="Z268" s="96" t="str">
        <f>HYPERLINK("https://twitter.com/oskarinokso/status/1448578966487437313")</f>
        <v>https://twitter.com/oskarinokso/status/1448578966487437313</v>
      </c>
      <c r="AA268" s="90"/>
      <c r="AB268" s="90"/>
      <c r="AC268" s="99" t="s">
        <v>513</v>
      </c>
      <c r="AD268" s="90"/>
      <c r="AE268" s="90" t="b">
        <v>0</v>
      </c>
      <c r="AF268" s="90">
        <v>0</v>
      </c>
      <c r="AG268" s="99" t="s">
        <v>535</v>
      </c>
      <c r="AH268" s="90" t="b">
        <v>0</v>
      </c>
      <c r="AI268" s="90" t="s">
        <v>537</v>
      </c>
      <c r="AJ268" s="90"/>
      <c r="AK268" s="99" t="s">
        <v>535</v>
      </c>
      <c r="AL268" s="90" t="b">
        <v>0</v>
      </c>
      <c r="AM268" s="90">
        <v>5</v>
      </c>
      <c r="AN268" s="99" t="s">
        <v>517</v>
      </c>
      <c r="AO268" s="99" t="s">
        <v>542</v>
      </c>
      <c r="AP268" s="90" t="b">
        <v>0</v>
      </c>
      <c r="AQ268" s="99" t="s">
        <v>517</v>
      </c>
      <c r="AR268" s="90" t="s">
        <v>187</v>
      </c>
      <c r="AS268" s="90">
        <v>0</v>
      </c>
      <c r="AT268" s="90">
        <v>0</v>
      </c>
      <c r="AU268" s="90"/>
      <c r="AV268" s="90"/>
      <c r="AW268" s="90"/>
      <c r="AX268" s="90"/>
      <c r="AY268" s="90"/>
      <c r="AZ268" s="90"/>
      <c r="BA268" s="90"/>
      <c r="BB268" s="90"/>
      <c r="BC268" s="90">
        <v>3</v>
      </c>
      <c r="BD268" s="89" t="str">
        <f>REPLACE(INDEX(GroupVertices[Group],MATCH(Edges[[#This Row],[Vertex 1]],GroupVertices[Vertex],0)),1,1,"")</f>
        <v>2</v>
      </c>
      <c r="BE268" s="89" t="str">
        <f>REPLACE(INDEX(GroupVertices[Group],MATCH(Edges[[#This Row],[Vertex 2]],GroupVertices[Vertex],0)),1,1,"")</f>
        <v>3</v>
      </c>
      <c r="BF268" s="49">
        <v>0</v>
      </c>
      <c r="BG268" s="50">
        <v>0</v>
      </c>
      <c r="BH268" s="49">
        <v>0</v>
      </c>
      <c r="BI268" s="50">
        <v>0</v>
      </c>
      <c r="BJ268" s="49">
        <v>0</v>
      </c>
      <c r="BK268" s="50">
        <v>0</v>
      </c>
      <c r="BL268" s="49">
        <v>17</v>
      </c>
      <c r="BM268" s="50">
        <v>100</v>
      </c>
      <c r="BN268" s="49">
        <v>17</v>
      </c>
    </row>
    <row r="269" spans="1:66" ht="15">
      <c r="A269" s="66" t="s">
        <v>290</v>
      </c>
      <c r="B269" s="66" t="s">
        <v>293</v>
      </c>
      <c r="C269" s="67" t="s">
        <v>2109</v>
      </c>
      <c r="D269" s="68">
        <v>10</v>
      </c>
      <c r="E269" s="69" t="s">
        <v>132</v>
      </c>
      <c r="F269" s="70">
        <v>10</v>
      </c>
      <c r="G269" s="67" t="s">
        <v>51</v>
      </c>
      <c r="H269" s="71"/>
      <c r="I269" s="72"/>
      <c r="J269" s="72"/>
      <c r="K269" s="35" t="s">
        <v>65</v>
      </c>
      <c r="L269" s="79">
        <v>269</v>
      </c>
      <c r="M269" s="79"/>
      <c r="N269" s="74"/>
      <c r="O269" s="90" t="s">
        <v>305</v>
      </c>
      <c r="P269" s="93">
        <v>44483.542916666665</v>
      </c>
      <c r="Q269" s="90" t="s">
        <v>325</v>
      </c>
      <c r="R269" s="96" t="str">
        <f>HYPERLINK("https://areena.yle.fi/audio/1-50940059?utm_source=twitter-share")</f>
        <v>https://areena.yle.fi/audio/1-50940059?utm_source=twitter-share</v>
      </c>
      <c r="S269" s="90" t="s">
        <v>337</v>
      </c>
      <c r="T269" s="99" t="s">
        <v>338</v>
      </c>
      <c r="U269" s="90"/>
      <c r="V269" s="96" t="str">
        <f>HYPERLINK("https://pbs.twimg.com/profile_images/1227613933382590464/r3aMcZGM_normal.jpg")</f>
        <v>https://pbs.twimg.com/profile_images/1227613933382590464/r3aMcZGM_normal.jpg</v>
      </c>
      <c r="W269" s="93">
        <v>44483.542916666665</v>
      </c>
      <c r="X269" s="102">
        <v>44483</v>
      </c>
      <c r="Y269" s="99" t="s">
        <v>420</v>
      </c>
      <c r="Z269" s="96" t="str">
        <f>HYPERLINK("https://twitter.com/oskarinokso/status/1448635148946247686")</f>
        <v>https://twitter.com/oskarinokso/status/1448635148946247686</v>
      </c>
      <c r="AA269" s="90"/>
      <c r="AB269" s="90"/>
      <c r="AC269" s="99" t="s">
        <v>514</v>
      </c>
      <c r="AD269" s="90"/>
      <c r="AE269" s="90" t="b">
        <v>0</v>
      </c>
      <c r="AF269" s="90">
        <v>0</v>
      </c>
      <c r="AG269" s="99" t="s">
        <v>535</v>
      </c>
      <c r="AH269" s="90" t="b">
        <v>0</v>
      </c>
      <c r="AI269" s="90" t="s">
        <v>537</v>
      </c>
      <c r="AJ269" s="90"/>
      <c r="AK269" s="99" t="s">
        <v>535</v>
      </c>
      <c r="AL269" s="90" t="b">
        <v>0</v>
      </c>
      <c r="AM269" s="90">
        <v>1</v>
      </c>
      <c r="AN269" s="99" t="s">
        <v>530</v>
      </c>
      <c r="AO269" s="99" t="s">
        <v>545</v>
      </c>
      <c r="AP269" s="90" t="b">
        <v>0</v>
      </c>
      <c r="AQ269" s="99" t="s">
        <v>530</v>
      </c>
      <c r="AR269" s="90" t="s">
        <v>187</v>
      </c>
      <c r="AS269" s="90">
        <v>0</v>
      </c>
      <c r="AT269" s="90">
        <v>0</v>
      </c>
      <c r="AU269" s="90"/>
      <c r="AV269" s="90"/>
      <c r="AW269" s="90"/>
      <c r="AX269" s="90"/>
      <c r="AY269" s="90"/>
      <c r="AZ269" s="90"/>
      <c r="BA269" s="90"/>
      <c r="BB269" s="90"/>
      <c r="BC269" s="90">
        <v>3</v>
      </c>
      <c r="BD269" s="89" t="str">
        <f>REPLACE(INDEX(GroupVertices[Group],MATCH(Edges[[#This Row],[Vertex 1]],GroupVertices[Vertex],0)),1,1,"")</f>
        <v>2</v>
      </c>
      <c r="BE269" s="89" t="str">
        <f>REPLACE(INDEX(GroupVertices[Group],MATCH(Edges[[#This Row],[Vertex 2]],GroupVertices[Vertex],0)),1,1,"")</f>
        <v>3</v>
      </c>
      <c r="BF269" s="49">
        <v>0</v>
      </c>
      <c r="BG269" s="50">
        <v>0</v>
      </c>
      <c r="BH269" s="49">
        <v>0</v>
      </c>
      <c r="BI269" s="50">
        <v>0</v>
      </c>
      <c r="BJ269" s="49">
        <v>0</v>
      </c>
      <c r="BK269" s="50">
        <v>0</v>
      </c>
      <c r="BL269" s="49">
        <v>8</v>
      </c>
      <c r="BM269" s="50">
        <v>100</v>
      </c>
      <c r="BN269" s="49">
        <v>8</v>
      </c>
    </row>
    <row r="270" spans="1:66" ht="15">
      <c r="A270" s="66" t="s">
        <v>290</v>
      </c>
      <c r="B270" s="66" t="s">
        <v>293</v>
      </c>
      <c r="C270" s="67" t="s">
        <v>2109</v>
      </c>
      <c r="D270" s="68">
        <v>10</v>
      </c>
      <c r="E270" s="69" t="s">
        <v>136</v>
      </c>
      <c r="F270" s="70">
        <v>10</v>
      </c>
      <c r="G270" s="67" t="s">
        <v>51</v>
      </c>
      <c r="H270" s="71"/>
      <c r="I270" s="72"/>
      <c r="J270" s="72"/>
      <c r="K270" s="35" t="s">
        <v>65</v>
      </c>
      <c r="L270" s="79">
        <v>270</v>
      </c>
      <c r="M270" s="79"/>
      <c r="N270" s="74"/>
      <c r="O270" s="90" t="s">
        <v>306</v>
      </c>
      <c r="P270" s="93">
        <v>44483.57201388889</v>
      </c>
      <c r="Q270" s="90" t="s">
        <v>2146</v>
      </c>
      <c r="R270" s="96" t="str">
        <f>HYPERLINK("https://www.op.fi/op-ryhma/vastuullisuus/vastuullisuus/taloustaidot/talouskurssi")</f>
        <v>https://www.op.fi/op-ryhma/vastuullisuus/vastuullisuus/taloustaidot/talouskurssi</v>
      </c>
      <c r="S270" s="90" t="s">
        <v>2153</v>
      </c>
      <c r="T270" s="99" t="s">
        <v>1127</v>
      </c>
      <c r="U270" s="96" t="str">
        <f>HYPERLINK("https://pbs.twimg.com/amplify_video_thumb/1448643417429340165/img/lmb1Q6KF2kqCAAPT.jpg")</f>
        <v>https://pbs.twimg.com/amplify_video_thumb/1448643417429340165/img/lmb1Q6KF2kqCAAPT.jpg</v>
      </c>
      <c r="V270" s="96" t="str">
        <f>HYPERLINK("https://pbs.twimg.com/amplify_video_thumb/1448643417429340165/img/lmb1Q6KF2kqCAAPT.jpg")</f>
        <v>https://pbs.twimg.com/amplify_video_thumb/1448643417429340165/img/lmb1Q6KF2kqCAAPT.jpg</v>
      </c>
      <c r="W270" s="93">
        <v>44483.57201388889</v>
      </c>
      <c r="X270" s="102">
        <v>44483</v>
      </c>
      <c r="Y270" s="99" t="s">
        <v>2180</v>
      </c>
      <c r="Z270" s="96" t="str">
        <f>HYPERLINK("https://twitter.com/oskarinokso/status/1448645694135447553")</f>
        <v>https://twitter.com/oskarinokso/status/1448645694135447553</v>
      </c>
      <c r="AA270" s="90"/>
      <c r="AB270" s="90"/>
      <c r="AC270" s="99" t="s">
        <v>2226</v>
      </c>
      <c r="AD270" s="90"/>
      <c r="AE270" s="90" t="b">
        <v>0</v>
      </c>
      <c r="AF270" s="90">
        <v>0</v>
      </c>
      <c r="AG270" s="99" t="s">
        <v>535</v>
      </c>
      <c r="AH270" s="90" t="b">
        <v>0</v>
      </c>
      <c r="AI270" s="90" t="s">
        <v>537</v>
      </c>
      <c r="AJ270" s="90"/>
      <c r="AK270" s="99" t="s">
        <v>535</v>
      </c>
      <c r="AL270" s="90" t="b">
        <v>0</v>
      </c>
      <c r="AM270" s="90">
        <v>3</v>
      </c>
      <c r="AN270" s="99" t="s">
        <v>534</v>
      </c>
      <c r="AO270" s="99" t="s">
        <v>545</v>
      </c>
      <c r="AP270" s="90" t="b">
        <v>0</v>
      </c>
      <c r="AQ270" s="99" t="s">
        <v>534</v>
      </c>
      <c r="AR270" s="90" t="s">
        <v>187</v>
      </c>
      <c r="AS270" s="90">
        <v>0</v>
      </c>
      <c r="AT270" s="90">
        <v>0</v>
      </c>
      <c r="AU270" s="90"/>
      <c r="AV270" s="90"/>
      <c r="AW270" s="90"/>
      <c r="AX270" s="90"/>
      <c r="AY270" s="90"/>
      <c r="AZ270" s="90"/>
      <c r="BA270" s="90"/>
      <c r="BB270" s="90"/>
      <c r="BC270" s="90">
        <v>5</v>
      </c>
      <c r="BD270" s="89" t="str">
        <f>REPLACE(INDEX(GroupVertices[Group],MATCH(Edges[[#This Row],[Vertex 1]],GroupVertices[Vertex],0)),1,1,"")</f>
        <v>2</v>
      </c>
      <c r="BE270" s="89" t="str">
        <f>REPLACE(INDEX(GroupVertices[Group],MATCH(Edges[[#This Row],[Vertex 2]],GroupVertices[Vertex],0)),1,1,"")</f>
        <v>3</v>
      </c>
      <c r="BF270" s="49"/>
      <c r="BG270" s="50"/>
      <c r="BH270" s="49"/>
      <c r="BI270" s="50"/>
      <c r="BJ270" s="49"/>
      <c r="BK270" s="50"/>
      <c r="BL270" s="49"/>
      <c r="BM270" s="50"/>
      <c r="BN270" s="49"/>
    </row>
    <row r="271" spans="1:66" ht="15">
      <c r="A271" s="66" t="s">
        <v>290</v>
      </c>
      <c r="B271" s="66" t="s">
        <v>289</v>
      </c>
      <c r="C271" s="67" t="s">
        <v>2109</v>
      </c>
      <c r="D271" s="68">
        <v>10</v>
      </c>
      <c r="E271" s="69" t="s">
        <v>132</v>
      </c>
      <c r="F271" s="70">
        <v>10</v>
      </c>
      <c r="G271" s="67" t="s">
        <v>51</v>
      </c>
      <c r="H271" s="71"/>
      <c r="I271" s="72"/>
      <c r="J271" s="72"/>
      <c r="K271" s="35" t="s">
        <v>65</v>
      </c>
      <c r="L271" s="79">
        <v>271</v>
      </c>
      <c r="M271" s="79"/>
      <c r="N271" s="74"/>
      <c r="O271" s="90" t="s">
        <v>305</v>
      </c>
      <c r="P271" s="93">
        <v>44483.57201388889</v>
      </c>
      <c r="Q271" s="90" t="s">
        <v>2146</v>
      </c>
      <c r="R271" s="96" t="str">
        <f>HYPERLINK("https://www.op.fi/op-ryhma/vastuullisuus/vastuullisuus/taloustaidot/talouskurssi")</f>
        <v>https://www.op.fi/op-ryhma/vastuullisuus/vastuullisuus/taloustaidot/talouskurssi</v>
      </c>
      <c r="S271" s="90" t="s">
        <v>2153</v>
      </c>
      <c r="T271" s="99" t="s">
        <v>1127</v>
      </c>
      <c r="U271" s="96" t="str">
        <f>HYPERLINK("https://pbs.twimg.com/amplify_video_thumb/1448643417429340165/img/lmb1Q6KF2kqCAAPT.jpg")</f>
        <v>https://pbs.twimg.com/amplify_video_thumb/1448643417429340165/img/lmb1Q6KF2kqCAAPT.jpg</v>
      </c>
      <c r="V271" s="96" t="str">
        <f>HYPERLINK("https://pbs.twimg.com/amplify_video_thumb/1448643417429340165/img/lmb1Q6KF2kqCAAPT.jpg")</f>
        <v>https://pbs.twimg.com/amplify_video_thumb/1448643417429340165/img/lmb1Q6KF2kqCAAPT.jpg</v>
      </c>
      <c r="W271" s="93">
        <v>44483.57201388889</v>
      </c>
      <c r="X271" s="102">
        <v>44483</v>
      </c>
      <c r="Y271" s="99" t="s">
        <v>2180</v>
      </c>
      <c r="Z271" s="96" t="str">
        <f>HYPERLINK("https://twitter.com/oskarinokso/status/1448645694135447553")</f>
        <v>https://twitter.com/oskarinokso/status/1448645694135447553</v>
      </c>
      <c r="AA271" s="90"/>
      <c r="AB271" s="90"/>
      <c r="AC271" s="99" t="s">
        <v>2226</v>
      </c>
      <c r="AD271" s="90"/>
      <c r="AE271" s="90" t="b">
        <v>0</v>
      </c>
      <c r="AF271" s="90">
        <v>0</v>
      </c>
      <c r="AG271" s="99" t="s">
        <v>535</v>
      </c>
      <c r="AH271" s="90" t="b">
        <v>0</v>
      </c>
      <c r="AI271" s="90" t="s">
        <v>537</v>
      </c>
      <c r="AJ271" s="90"/>
      <c r="AK271" s="99" t="s">
        <v>535</v>
      </c>
      <c r="AL271" s="90" t="b">
        <v>0</v>
      </c>
      <c r="AM271" s="90">
        <v>3</v>
      </c>
      <c r="AN271" s="99" t="s">
        <v>534</v>
      </c>
      <c r="AO271" s="99" t="s">
        <v>545</v>
      </c>
      <c r="AP271" s="90" t="b">
        <v>0</v>
      </c>
      <c r="AQ271" s="99" t="s">
        <v>534</v>
      </c>
      <c r="AR271" s="90" t="s">
        <v>187</v>
      </c>
      <c r="AS271" s="90">
        <v>0</v>
      </c>
      <c r="AT271" s="90">
        <v>0</v>
      </c>
      <c r="AU271" s="90"/>
      <c r="AV271" s="90"/>
      <c r="AW271" s="90"/>
      <c r="AX271" s="90"/>
      <c r="AY271" s="90"/>
      <c r="AZ271" s="90"/>
      <c r="BA271" s="90"/>
      <c r="BB271" s="90"/>
      <c r="BC271" s="90">
        <v>2</v>
      </c>
      <c r="BD271" s="89" t="str">
        <f>REPLACE(INDEX(GroupVertices[Group],MATCH(Edges[[#This Row],[Vertex 1]],GroupVertices[Vertex],0)),1,1,"")</f>
        <v>2</v>
      </c>
      <c r="BE271" s="89" t="str">
        <f>REPLACE(INDEX(GroupVertices[Group],MATCH(Edges[[#This Row],[Vertex 2]],GroupVertices[Vertex],0)),1,1,"")</f>
        <v>2</v>
      </c>
      <c r="BF271" s="49">
        <v>0</v>
      </c>
      <c r="BG271" s="50">
        <v>0</v>
      </c>
      <c r="BH271" s="49">
        <v>0</v>
      </c>
      <c r="BI271" s="50">
        <v>0</v>
      </c>
      <c r="BJ271" s="49">
        <v>0</v>
      </c>
      <c r="BK271" s="50">
        <v>0</v>
      </c>
      <c r="BL271" s="49">
        <v>31</v>
      </c>
      <c r="BM271" s="50">
        <v>100</v>
      </c>
      <c r="BN271" s="49">
        <v>31</v>
      </c>
    </row>
    <row r="272" spans="1:66" ht="15">
      <c r="A272" s="66" t="s">
        <v>290</v>
      </c>
      <c r="B272" s="66" t="s">
        <v>302</v>
      </c>
      <c r="C272" s="67" t="s">
        <v>2109</v>
      </c>
      <c r="D272" s="68">
        <v>10</v>
      </c>
      <c r="E272" s="69" t="s">
        <v>132</v>
      </c>
      <c r="F272" s="70">
        <v>10</v>
      </c>
      <c r="G272" s="67" t="s">
        <v>51</v>
      </c>
      <c r="H272" s="71"/>
      <c r="I272" s="72"/>
      <c r="J272" s="72"/>
      <c r="K272" s="35" t="s">
        <v>65</v>
      </c>
      <c r="L272" s="79">
        <v>272</v>
      </c>
      <c r="M272" s="79"/>
      <c r="N272" s="74"/>
      <c r="O272" s="90" t="s">
        <v>306</v>
      </c>
      <c r="P272" s="93">
        <v>44483.581145833334</v>
      </c>
      <c r="Q272" s="90" t="s">
        <v>323</v>
      </c>
      <c r="R272" s="90"/>
      <c r="S272" s="90"/>
      <c r="T272" s="99" t="s">
        <v>344</v>
      </c>
      <c r="U272" s="90"/>
      <c r="V272" s="96" t="str">
        <f>HYPERLINK("https://pbs.twimg.com/profile_images/1227613933382590464/r3aMcZGM_normal.jpg")</f>
        <v>https://pbs.twimg.com/profile_images/1227613933382590464/r3aMcZGM_normal.jpg</v>
      </c>
      <c r="W272" s="93">
        <v>44483.581145833334</v>
      </c>
      <c r="X272" s="102">
        <v>44483</v>
      </c>
      <c r="Y272" s="99" t="s">
        <v>415</v>
      </c>
      <c r="Z272" s="96" t="str">
        <f>HYPERLINK("https://twitter.com/oskarinokso/status/1448649002853888002")</f>
        <v>https://twitter.com/oskarinokso/status/1448649002853888002</v>
      </c>
      <c r="AA272" s="90"/>
      <c r="AB272" s="90"/>
      <c r="AC272" s="99" t="s">
        <v>509</v>
      </c>
      <c r="AD272" s="90"/>
      <c r="AE272" s="90" t="b">
        <v>0</v>
      </c>
      <c r="AF272" s="90">
        <v>0</v>
      </c>
      <c r="AG272" s="99" t="s">
        <v>535</v>
      </c>
      <c r="AH272" s="90" t="b">
        <v>0</v>
      </c>
      <c r="AI272" s="90" t="s">
        <v>537</v>
      </c>
      <c r="AJ272" s="90"/>
      <c r="AK272" s="99" t="s">
        <v>535</v>
      </c>
      <c r="AL272" s="90" t="b">
        <v>0</v>
      </c>
      <c r="AM272" s="90">
        <v>1</v>
      </c>
      <c r="AN272" s="99" t="s">
        <v>508</v>
      </c>
      <c r="AO272" s="99" t="s">
        <v>545</v>
      </c>
      <c r="AP272" s="90" t="b">
        <v>0</v>
      </c>
      <c r="AQ272" s="99" t="s">
        <v>508</v>
      </c>
      <c r="AR272" s="90" t="s">
        <v>187</v>
      </c>
      <c r="AS272" s="90">
        <v>0</v>
      </c>
      <c r="AT272" s="90">
        <v>0</v>
      </c>
      <c r="AU272" s="90"/>
      <c r="AV272" s="90"/>
      <c r="AW272" s="90"/>
      <c r="AX272" s="90"/>
      <c r="AY272" s="90"/>
      <c r="AZ272" s="90"/>
      <c r="BA272" s="90"/>
      <c r="BB272" s="90"/>
      <c r="BC272" s="90">
        <v>2</v>
      </c>
      <c r="BD272" s="89" t="str">
        <f>REPLACE(INDEX(GroupVertices[Group],MATCH(Edges[[#This Row],[Vertex 1]],GroupVertices[Vertex],0)),1,1,"")</f>
        <v>2</v>
      </c>
      <c r="BE272" s="89" t="str">
        <f>REPLACE(INDEX(GroupVertices[Group],MATCH(Edges[[#This Row],[Vertex 2]],GroupVertices[Vertex],0)),1,1,"")</f>
        <v>1</v>
      </c>
      <c r="BF272" s="49"/>
      <c r="BG272" s="50"/>
      <c r="BH272" s="49"/>
      <c r="BI272" s="50"/>
      <c r="BJ272" s="49"/>
      <c r="BK272" s="50"/>
      <c r="BL272" s="49"/>
      <c r="BM272" s="50"/>
      <c r="BN272" s="49"/>
    </row>
    <row r="273" spans="1:66" ht="15">
      <c r="A273" s="66" t="s">
        <v>290</v>
      </c>
      <c r="B273" s="66" t="s">
        <v>299</v>
      </c>
      <c r="C273" s="67" t="s">
        <v>2109</v>
      </c>
      <c r="D273" s="68">
        <v>10</v>
      </c>
      <c r="E273" s="69" t="s">
        <v>132</v>
      </c>
      <c r="F273" s="70">
        <v>10</v>
      </c>
      <c r="G273" s="67" t="s">
        <v>51</v>
      </c>
      <c r="H273" s="71"/>
      <c r="I273" s="72"/>
      <c r="J273" s="72"/>
      <c r="K273" s="35" t="s">
        <v>65</v>
      </c>
      <c r="L273" s="79">
        <v>273</v>
      </c>
      <c r="M273" s="79"/>
      <c r="N273" s="74"/>
      <c r="O273" s="90" t="s">
        <v>306</v>
      </c>
      <c r="P273" s="93">
        <v>44483.581145833334</v>
      </c>
      <c r="Q273" s="90" t="s">
        <v>323</v>
      </c>
      <c r="R273" s="90"/>
      <c r="S273" s="90"/>
      <c r="T273" s="99" t="s">
        <v>344</v>
      </c>
      <c r="U273" s="90"/>
      <c r="V273" s="96" t="str">
        <f>HYPERLINK("https://pbs.twimg.com/profile_images/1227613933382590464/r3aMcZGM_normal.jpg")</f>
        <v>https://pbs.twimg.com/profile_images/1227613933382590464/r3aMcZGM_normal.jpg</v>
      </c>
      <c r="W273" s="93">
        <v>44483.581145833334</v>
      </c>
      <c r="X273" s="102">
        <v>44483</v>
      </c>
      <c r="Y273" s="99" t="s">
        <v>415</v>
      </c>
      <c r="Z273" s="96" t="str">
        <f>HYPERLINK("https://twitter.com/oskarinokso/status/1448649002853888002")</f>
        <v>https://twitter.com/oskarinokso/status/1448649002853888002</v>
      </c>
      <c r="AA273" s="90"/>
      <c r="AB273" s="90"/>
      <c r="AC273" s="99" t="s">
        <v>509</v>
      </c>
      <c r="AD273" s="90"/>
      <c r="AE273" s="90" t="b">
        <v>0</v>
      </c>
      <c r="AF273" s="90">
        <v>0</v>
      </c>
      <c r="AG273" s="99" t="s">
        <v>535</v>
      </c>
      <c r="AH273" s="90" t="b">
        <v>0</v>
      </c>
      <c r="AI273" s="90" t="s">
        <v>537</v>
      </c>
      <c r="AJ273" s="90"/>
      <c r="AK273" s="99" t="s">
        <v>535</v>
      </c>
      <c r="AL273" s="90" t="b">
        <v>0</v>
      </c>
      <c r="AM273" s="90">
        <v>1</v>
      </c>
      <c r="AN273" s="99" t="s">
        <v>508</v>
      </c>
      <c r="AO273" s="99" t="s">
        <v>545</v>
      </c>
      <c r="AP273" s="90" t="b">
        <v>0</v>
      </c>
      <c r="AQ273" s="99" t="s">
        <v>508</v>
      </c>
      <c r="AR273" s="90" t="s">
        <v>187</v>
      </c>
      <c r="AS273" s="90">
        <v>0</v>
      </c>
      <c r="AT273" s="90">
        <v>0</v>
      </c>
      <c r="AU273" s="90"/>
      <c r="AV273" s="90"/>
      <c r="AW273" s="90"/>
      <c r="AX273" s="90"/>
      <c r="AY273" s="90"/>
      <c r="AZ273" s="90"/>
      <c r="BA273" s="90"/>
      <c r="BB273" s="90"/>
      <c r="BC273" s="90">
        <v>3</v>
      </c>
      <c r="BD273" s="89" t="str">
        <f>REPLACE(INDEX(GroupVertices[Group],MATCH(Edges[[#This Row],[Vertex 1]],GroupVertices[Vertex],0)),1,1,"")</f>
        <v>2</v>
      </c>
      <c r="BE273" s="89" t="str">
        <f>REPLACE(INDEX(GroupVertices[Group],MATCH(Edges[[#This Row],[Vertex 2]],GroupVertices[Vertex],0)),1,1,"")</f>
        <v>1</v>
      </c>
      <c r="BF273" s="49"/>
      <c r="BG273" s="50"/>
      <c r="BH273" s="49"/>
      <c r="BI273" s="50"/>
      <c r="BJ273" s="49"/>
      <c r="BK273" s="50"/>
      <c r="BL273" s="49"/>
      <c r="BM273" s="50"/>
      <c r="BN273" s="49"/>
    </row>
    <row r="274" spans="1:66" ht="15">
      <c r="A274" s="66" t="s">
        <v>290</v>
      </c>
      <c r="B274" s="66" t="s">
        <v>289</v>
      </c>
      <c r="C274" s="67" t="s">
        <v>2109</v>
      </c>
      <c r="D274" s="68">
        <v>10</v>
      </c>
      <c r="E274" s="69" t="s">
        <v>132</v>
      </c>
      <c r="F274" s="70">
        <v>10</v>
      </c>
      <c r="G274" s="67" t="s">
        <v>51</v>
      </c>
      <c r="H274" s="71"/>
      <c r="I274" s="72"/>
      <c r="J274" s="72"/>
      <c r="K274" s="35" t="s">
        <v>65</v>
      </c>
      <c r="L274" s="79">
        <v>274</v>
      </c>
      <c r="M274" s="79"/>
      <c r="N274" s="74"/>
      <c r="O274" s="90" t="s">
        <v>305</v>
      </c>
      <c r="P274" s="93">
        <v>44483.581145833334</v>
      </c>
      <c r="Q274" s="90" t="s">
        <v>323</v>
      </c>
      <c r="R274" s="90"/>
      <c r="S274" s="90"/>
      <c r="T274" s="99" t="s">
        <v>344</v>
      </c>
      <c r="U274" s="90"/>
      <c r="V274" s="96" t="str">
        <f>HYPERLINK("https://pbs.twimg.com/profile_images/1227613933382590464/r3aMcZGM_normal.jpg")</f>
        <v>https://pbs.twimg.com/profile_images/1227613933382590464/r3aMcZGM_normal.jpg</v>
      </c>
      <c r="W274" s="93">
        <v>44483.581145833334</v>
      </c>
      <c r="X274" s="102">
        <v>44483</v>
      </c>
      <c r="Y274" s="99" t="s">
        <v>415</v>
      </c>
      <c r="Z274" s="96" t="str">
        <f>HYPERLINK("https://twitter.com/oskarinokso/status/1448649002853888002")</f>
        <v>https://twitter.com/oskarinokso/status/1448649002853888002</v>
      </c>
      <c r="AA274" s="90"/>
      <c r="AB274" s="90"/>
      <c r="AC274" s="99" t="s">
        <v>509</v>
      </c>
      <c r="AD274" s="90"/>
      <c r="AE274" s="90" t="b">
        <v>0</v>
      </c>
      <c r="AF274" s="90">
        <v>0</v>
      </c>
      <c r="AG274" s="99" t="s">
        <v>535</v>
      </c>
      <c r="AH274" s="90" t="b">
        <v>0</v>
      </c>
      <c r="AI274" s="90" t="s">
        <v>537</v>
      </c>
      <c r="AJ274" s="90"/>
      <c r="AK274" s="99" t="s">
        <v>535</v>
      </c>
      <c r="AL274" s="90" t="b">
        <v>0</v>
      </c>
      <c r="AM274" s="90">
        <v>1</v>
      </c>
      <c r="AN274" s="99" t="s">
        <v>508</v>
      </c>
      <c r="AO274" s="99" t="s">
        <v>545</v>
      </c>
      <c r="AP274" s="90" t="b">
        <v>0</v>
      </c>
      <c r="AQ274" s="99" t="s">
        <v>508</v>
      </c>
      <c r="AR274" s="90" t="s">
        <v>187</v>
      </c>
      <c r="AS274" s="90">
        <v>0</v>
      </c>
      <c r="AT274" s="90">
        <v>0</v>
      </c>
      <c r="AU274" s="90"/>
      <c r="AV274" s="90"/>
      <c r="AW274" s="90"/>
      <c r="AX274" s="90"/>
      <c r="AY274" s="90"/>
      <c r="AZ274" s="90"/>
      <c r="BA274" s="90"/>
      <c r="BB274" s="90"/>
      <c r="BC274" s="90">
        <v>2</v>
      </c>
      <c r="BD274" s="89" t="str">
        <f>REPLACE(INDEX(GroupVertices[Group],MATCH(Edges[[#This Row],[Vertex 1]],GroupVertices[Vertex],0)),1,1,"")</f>
        <v>2</v>
      </c>
      <c r="BE274" s="89" t="str">
        <f>REPLACE(INDEX(GroupVertices[Group],MATCH(Edges[[#This Row],[Vertex 2]],GroupVertices[Vertex],0)),1,1,"")</f>
        <v>2</v>
      </c>
      <c r="BF274" s="49"/>
      <c r="BG274" s="50"/>
      <c r="BH274" s="49"/>
      <c r="BI274" s="50"/>
      <c r="BJ274" s="49"/>
      <c r="BK274" s="50"/>
      <c r="BL274" s="49"/>
      <c r="BM274" s="50"/>
      <c r="BN274" s="49"/>
    </row>
    <row r="275" spans="1:66" ht="15">
      <c r="A275" s="66" t="s">
        <v>290</v>
      </c>
      <c r="B275" s="66" t="s">
        <v>293</v>
      </c>
      <c r="C275" s="67" t="s">
        <v>2108</v>
      </c>
      <c r="D275" s="68">
        <v>1</v>
      </c>
      <c r="E275" s="69" t="s">
        <v>132</v>
      </c>
      <c r="F275" s="70">
        <v>32</v>
      </c>
      <c r="G275" s="67" t="s">
        <v>51</v>
      </c>
      <c r="H275" s="71"/>
      <c r="I275" s="72"/>
      <c r="J275" s="72"/>
      <c r="K275" s="35" t="s">
        <v>65</v>
      </c>
      <c r="L275" s="79">
        <v>275</v>
      </c>
      <c r="M275" s="79"/>
      <c r="N275" s="74"/>
      <c r="O275" s="90" t="s">
        <v>308</v>
      </c>
      <c r="P275" s="93">
        <v>44483.581145833334</v>
      </c>
      <c r="Q275" s="90" t="s">
        <v>323</v>
      </c>
      <c r="R275" s="90"/>
      <c r="S275" s="90"/>
      <c r="T275" s="99" t="s">
        <v>344</v>
      </c>
      <c r="U275" s="90"/>
      <c r="V275" s="96" t="str">
        <f>HYPERLINK("https://pbs.twimg.com/profile_images/1227613933382590464/r3aMcZGM_normal.jpg")</f>
        <v>https://pbs.twimg.com/profile_images/1227613933382590464/r3aMcZGM_normal.jpg</v>
      </c>
      <c r="W275" s="93">
        <v>44483.581145833334</v>
      </c>
      <c r="X275" s="102">
        <v>44483</v>
      </c>
      <c r="Y275" s="99" t="s">
        <v>415</v>
      </c>
      <c r="Z275" s="96" t="str">
        <f>HYPERLINK("https://twitter.com/oskarinokso/status/1448649002853888002")</f>
        <v>https://twitter.com/oskarinokso/status/1448649002853888002</v>
      </c>
      <c r="AA275" s="90"/>
      <c r="AB275" s="90"/>
      <c r="AC275" s="99" t="s">
        <v>509</v>
      </c>
      <c r="AD275" s="90"/>
      <c r="AE275" s="90" t="b">
        <v>0</v>
      </c>
      <c r="AF275" s="90">
        <v>0</v>
      </c>
      <c r="AG275" s="99" t="s">
        <v>535</v>
      </c>
      <c r="AH275" s="90" t="b">
        <v>0</v>
      </c>
      <c r="AI275" s="90" t="s">
        <v>537</v>
      </c>
      <c r="AJ275" s="90"/>
      <c r="AK275" s="99" t="s">
        <v>535</v>
      </c>
      <c r="AL275" s="90" t="b">
        <v>0</v>
      </c>
      <c r="AM275" s="90">
        <v>1</v>
      </c>
      <c r="AN275" s="99" t="s">
        <v>508</v>
      </c>
      <c r="AO275" s="99" t="s">
        <v>545</v>
      </c>
      <c r="AP275" s="90" t="b">
        <v>0</v>
      </c>
      <c r="AQ275" s="99" t="s">
        <v>508</v>
      </c>
      <c r="AR275" s="90" t="s">
        <v>187</v>
      </c>
      <c r="AS275" s="90">
        <v>0</v>
      </c>
      <c r="AT275" s="90">
        <v>0</v>
      </c>
      <c r="AU275" s="90"/>
      <c r="AV275" s="90"/>
      <c r="AW275" s="90"/>
      <c r="AX275" s="90"/>
      <c r="AY275" s="90"/>
      <c r="AZ275" s="90"/>
      <c r="BA275" s="90"/>
      <c r="BB275" s="90"/>
      <c r="BC275" s="90">
        <v>1</v>
      </c>
      <c r="BD275" s="89" t="str">
        <f>REPLACE(INDEX(GroupVertices[Group],MATCH(Edges[[#This Row],[Vertex 1]],GroupVertices[Vertex],0)),1,1,"")</f>
        <v>2</v>
      </c>
      <c r="BE275" s="89" t="str">
        <f>REPLACE(INDEX(GroupVertices[Group],MATCH(Edges[[#This Row],[Vertex 2]],GroupVertices[Vertex],0)),1,1,"")</f>
        <v>3</v>
      </c>
      <c r="BF275" s="49">
        <v>0</v>
      </c>
      <c r="BG275" s="50">
        <v>0</v>
      </c>
      <c r="BH275" s="49">
        <v>0</v>
      </c>
      <c r="BI275" s="50">
        <v>0</v>
      </c>
      <c r="BJ275" s="49">
        <v>0</v>
      </c>
      <c r="BK275" s="50">
        <v>0</v>
      </c>
      <c r="BL275" s="49">
        <v>26</v>
      </c>
      <c r="BM275" s="50">
        <v>100</v>
      </c>
      <c r="BN275" s="49">
        <v>26</v>
      </c>
    </row>
    <row r="276" spans="1:66" ht="15">
      <c r="A276" s="66" t="s">
        <v>290</v>
      </c>
      <c r="B276" s="66" t="s">
        <v>297</v>
      </c>
      <c r="C276" s="67" t="s">
        <v>2108</v>
      </c>
      <c r="D276" s="68">
        <v>1</v>
      </c>
      <c r="E276" s="69" t="s">
        <v>132</v>
      </c>
      <c r="F276" s="70">
        <v>32</v>
      </c>
      <c r="G276" s="67" t="s">
        <v>51</v>
      </c>
      <c r="H276" s="71"/>
      <c r="I276" s="72"/>
      <c r="J276" s="72"/>
      <c r="K276" s="35" t="s">
        <v>65</v>
      </c>
      <c r="L276" s="79">
        <v>276</v>
      </c>
      <c r="M276" s="79"/>
      <c r="N276" s="74"/>
      <c r="O276" s="90" t="s">
        <v>306</v>
      </c>
      <c r="P276" s="93">
        <v>44483.581354166665</v>
      </c>
      <c r="Q276" s="90" t="s">
        <v>322</v>
      </c>
      <c r="R276" s="90" t="s">
        <v>332</v>
      </c>
      <c r="S276" s="90" t="s">
        <v>336</v>
      </c>
      <c r="T276" s="99" t="s">
        <v>343</v>
      </c>
      <c r="U276" s="90"/>
      <c r="V276" s="96" t="str">
        <f>HYPERLINK("https://pbs.twimg.com/profile_images/1227613933382590464/r3aMcZGM_normal.jpg")</f>
        <v>https://pbs.twimg.com/profile_images/1227613933382590464/r3aMcZGM_normal.jpg</v>
      </c>
      <c r="W276" s="93">
        <v>44483.581354166665</v>
      </c>
      <c r="X276" s="102">
        <v>44483</v>
      </c>
      <c r="Y276" s="99" t="s">
        <v>421</v>
      </c>
      <c r="Z276" s="96" t="str">
        <f>HYPERLINK("https://twitter.com/oskarinokso/status/1448649080264003587")</f>
        <v>https://twitter.com/oskarinokso/status/1448649080264003587</v>
      </c>
      <c r="AA276" s="90"/>
      <c r="AB276" s="90"/>
      <c r="AC276" s="99" t="s">
        <v>515</v>
      </c>
      <c r="AD276" s="90"/>
      <c r="AE276" s="90" t="b">
        <v>0</v>
      </c>
      <c r="AF276" s="90">
        <v>0</v>
      </c>
      <c r="AG276" s="99" t="s">
        <v>535</v>
      </c>
      <c r="AH276" s="90" t="b">
        <v>1</v>
      </c>
      <c r="AI276" s="90" t="s">
        <v>537</v>
      </c>
      <c r="AJ276" s="90"/>
      <c r="AK276" s="99" t="s">
        <v>523</v>
      </c>
      <c r="AL276" s="90" t="b">
        <v>0</v>
      </c>
      <c r="AM276" s="90">
        <v>3</v>
      </c>
      <c r="AN276" s="99" t="s">
        <v>521</v>
      </c>
      <c r="AO276" s="99" t="s">
        <v>545</v>
      </c>
      <c r="AP276" s="90" t="b">
        <v>0</v>
      </c>
      <c r="AQ276" s="99" t="s">
        <v>521</v>
      </c>
      <c r="AR276" s="90" t="s">
        <v>187</v>
      </c>
      <c r="AS276" s="90">
        <v>0</v>
      </c>
      <c r="AT276" s="90">
        <v>0</v>
      </c>
      <c r="AU276" s="90"/>
      <c r="AV276" s="90"/>
      <c r="AW276" s="90"/>
      <c r="AX276" s="90"/>
      <c r="AY276" s="90"/>
      <c r="AZ276" s="90"/>
      <c r="BA276" s="90"/>
      <c r="BB276" s="90"/>
      <c r="BC276" s="90">
        <v>1</v>
      </c>
      <c r="BD276" s="89" t="str">
        <f>REPLACE(INDEX(GroupVertices[Group],MATCH(Edges[[#This Row],[Vertex 1]],GroupVertices[Vertex],0)),1,1,"")</f>
        <v>2</v>
      </c>
      <c r="BE276" s="89" t="str">
        <f>REPLACE(INDEX(GroupVertices[Group],MATCH(Edges[[#This Row],[Vertex 2]],GroupVertices[Vertex],0)),1,1,"")</f>
        <v>2</v>
      </c>
      <c r="BF276" s="49"/>
      <c r="BG276" s="50"/>
      <c r="BH276" s="49"/>
      <c r="BI276" s="50"/>
      <c r="BJ276" s="49"/>
      <c r="BK276" s="50"/>
      <c r="BL276" s="49"/>
      <c r="BM276" s="50"/>
      <c r="BN276" s="49"/>
    </row>
    <row r="277" spans="1:66" ht="15">
      <c r="A277" s="66" t="s">
        <v>290</v>
      </c>
      <c r="B277" s="66" t="s">
        <v>295</v>
      </c>
      <c r="C277" s="67" t="s">
        <v>2109</v>
      </c>
      <c r="D277" s="68">
        <v>10</v>
      </c>
      <c r="E277" s="69" t="s">
        <v>132</v>
      </c>
      <c r="F277" s="70">
        <v>10</v>
      </c>
      <c r="G277" s="67" t="s">
        <v>51</v>
      </c>
      <c r="H277" s="71"/>
      <c r="I277" s="72"/>
      <c r="J277" s="72"/>
      <c r="K277" s="35" t="s">
        <v>65</v>
      </c>
      <c r="L277" s="79">
        <v>277</v>
      </c>
      <c r="M277" s="79"/>
      <c r="N277" s="74"/>
      <c r="O277" s="90" t="s">
        <v>306</v>
      </c>
      <c r="P277" s="93">
        <v>44483.581354166665</v>
      </c>
      <c r="Q277" s="90" t="s">
        <v>322</v>
      </c>
      <c r="R277" s="90" t="s">
        <v>332</v>
      </c>
      <c r="S277" s="90" t="s">
        <v>336</v>
      </c>
      <c r="T277" s="99" t="s">
        <v>343</v>
      </c>
      <c r="U277" s="90"/>
      <c r="V277" s="96" t="str">
        <f>HYPERLINK("https://pbs.twimg.com/profile_images/1227613933382590464/r3aMcZGM_normal.jpg")</f>
        <v>https://pbs.twimg.com/profile_images/1227613933382590464/r3aMcZGM_normal.jpg</v>
      </c>
      <c r="W277" s="93">
        <v>44483.581354166665</v>
      </c>
      <c r="X277" s="102">
        <v>44483</v>
      </c>
      <c r="Y277" s="99" t="s">
        <v>421</v>
      </c>
      <c r="Z277" s="96" t="str">
        <f>HYPERLINK("https://twitter.com/oskarinokso/status/1448649080264003587")</f>
        <v>https://twitter.com/oskarinokso/status/1448649080264003587</v>
      </c>
      <c r="AA277" s="90"/>
      <c r="AB277" s="90"/>
      <c r="AC277" s="99" t="s">
        <v>515</v>
      </c>
      <c r="AD277" s="90"/>
      <c r="AE277" s="90" t="b">
        <v>0</v>
      </c>
      <c r="AF277" s="90">
        <v>0</v>
      </c>
      <c r="AG277" s="99" t="s">
        <v>535</v>
      </c>
      <c r="AH277" s="90" t="b">
        <v>1</v>
      </c>
      <c r="AI277" s="90" t="s">
        <v>537</v>
      </c>
      <c r="AJ277" s="90"/>
      <c r="AK277" s="99" t="s">
        <v>523</v>
      </c>
      <c r="AL277" s="90" t="b">
        <v>0</v>
      </c>
      <c r="AM277" s="90">
        <v>3</v>
      </c>
      <c r="AN277" s="99" t="s">
        <v>521</v>
      </c>
      <c r="AO277" s="99" t="s">
        <v>545</v>
      </c>
      <c r="AP277" s="90" t="b">
        <v>0</v>
      </c>
      <c r="AQ277" s="99" t="s">
        <v>521</v>
      </c>
      <c r="AR277" s="90" t="s">
        <v>187</v>
      </c>
      <c r="AS277" s="90">
        <v>0</v>
      </c>
      <c r="AT277" s="90">
        <v>0</v>
      </c>
      <c r="AU277" s="90"/>
      <c r="AV277" s="90"/>
      <c r="AW277" s="90"/>
      <c r="AX277" s="90"/>
      <c r="AY277" s="90"/>
      <c r="AZ277" s="90"/>
      <c r="BA277" s="90"/>
      <c r="BB277" s="90"/>
      <c r="BC277" s="90">
        <v>3</v>
      </c>
      <c r="BD277" s="89" t="str">
        <f>REPLACE(INDEX(GroupVertices[Group],MATCH(Edges[[#This Row],[Vertex 1]],GroupVertices[Vertex],0)),1,1,"")</f>
        <v>2</v>
      </c>
      <c r="BE277" s="89" t="str">
        <f>REPLACE(INDEX(GroupVertices[Group],MATCH(Edges[[#This Row],[Vertex 2]],GroupVertices[Vertex],0)),1,1,"")</f>
        <v>2</v>
      </c>
      <c r="BF277" s="49"/>
      <c r="BG277" s="50"/>
      <c r="BH277" s="49"/>
      <c r="BI277" s="50"/>
      <c r="BJ277" s="49"/>
      <c r="BK277" s="50"/>
      <c r="BL277" s="49"/>
      <c r="BM277" s="50"/>
      <c r="BN277" s="49"/>
    </row>
    <row r="278" spans="1:66" ht="15">
      <c r="A278" s="66" t="s">
        <v>290</v>
      </c>
      <c r="B278" s="66" t="s">
        <v>293</v>
      </c>
      <c r="C278" s="67" t="s">
        <v>2109</v>
      </c>
      <c r="D278" s="68">
        <v>10</v>
      </c>
      <c r="E278" s="69" t="s">
        <v>136</v>
      </c>
      <c r="F278" s="70">
        <v>10</v>
      </c>
      <c r="G278" s="67" t="s">
        <v>51</v>
      </c>
      <c r="H278" s="71"/>
      <c r="I278" s="72"/>
      <c r="J278" s="72"/>
      <c r="K278" s="35" t="s">
        <v>65</v>
      </c>
      <c r="L278" s="79">
        <v>278</v>
      </c>
      <c r="M278" s="79"/>
      <c r="N278" s="74"/>
      <c r="O278" s="90" t="s">
        <v>306</v>
      </c>
      <c r="P278" s="93">
        <v>44483.581354166665</v>
      </c>
      <c r="Q278" s="90" t="s">
        <v>322</v>
      </c>
      <c r="R278" s="90" t="s">
        <v>332</v>
      </c>
      <c r="S278" s="90" t="s">
        <v>336</v>
      </c>
      <c r="T278" s="99" t="s">
        <v>343</v>
      </c>
      <c r="U278" s="90"/>
      <c r="V278" s="96" t="str">
        <f>HYPERLINK("https://pbs.twimg.com/profile_images/1227613933382590464/r3aMcZGM_normal.jpg")</f>
        <v>https://pbs.twimg.com/profile_images/1227613933382590464/r3aMcZGM_normal.jpg</v>
      </c>
      <c r="W278" s="93">
        <v>44483.581354166665</v>
      </c>
      <c r="X278" s="102">
        <v>44483</v>
      </c>
      <c r="Y278" s="99" t="s">
        <v>421</v>
      </c>
      <c r="Z278" s="96" t="str">
        <f>HYPERLINK("https://twitter.com/oskarinokso/status/1448649080264003587")</f>
        <v>https://twitter.com/oskarinokso/status/1448649080264003587</v>
      </c>
      <c r="AA278" s="90"/>
      <c r="AB278" s="90"/>
      <c r="AC278" s="99" t="s">
        <v>515</v>
      </c>
      <c r="AD278" s="90"/>
      <c r="AE278" s="90" t="b">
        <v>0</v>
      </c>
      <c r="AF278" s="90">
        <v>0</v>
      </c>
      <c r="AG278" s="99" t="s">
        <v>535</v>
      </c>
      <c r="AH278" s="90" t="b">
        <v>1</v>
      </c>
      <c r="AI278" s="90" t="s">
        <v>537</v>
      </c>
      <c r="AJ278" s="90"/>
      <c r="AK278" s="99" t="s">
        <v>523</v>
      </c>
      <c r="AL278" s="90" t="b">
        <v>0</v>
      </c>
      <c r="AM278" s="90">
        <v>3</v>
      </c>
      <c r="AN278" s="99" t="s">
        <v>521</v>
      </c>
      <c r="AO278" s="99" t="s">
        <v>545</v>
      </c>
      <c r="AP278" s="90" t="b">
        <v>0</v>
      </c>
      <c r="AQ278" s="99" t="s">
        <v>521</v>
      </c>
      <c r="AR278" s="90" t="s">
        <v>187</v>
      </c>
      <c r="AS278" s="90">
        <v>0</v>
      </c>
      <c r="AT278" s="90">
        <v>0</v>
      </c>
      <c r="AU278" s="90"/>
      <c r="AV278" s="90"/>
      <c r="AW278" s="90"/>
      <c r="AX278" s="90"/>
      <c r="AY278" s="90"/>
      <c r="AZ278" s="90"/>
      <c r="BA278" s="90"/>
      <c r="BB278" s="90"/>
      <c r="BC278" s="90">
        <v>5</v>
      </c>
      <c r="BD278" s="89" t="str">
        <f>REPLACE(INDEX(GroupVertices[Group],MATCH(Edges[[#This Row],[Vertex 1]],GroupVertices[Vertex],0)),1,1,"")</f>
        <v>2</v>
      </c>
      <c r="BE278" s="89" t="str">
        <f>REPLACE(INDEX(GroupVertices[Group],MATCH(Edges[[#This Row],[Vertex 2]],GroupVertices[Vertex],0)),1,1,"")</f>
        <v>3</v>
      </c>
      <c r="BF278" s="49"/>
      <c r="BG278" s="50"/>
      <c r="BH278" s="49"/>
      <c r="BI278" s="50"/>
      <c r="BJ278" s="49"/>
      <c r="BK278" s="50"/>
      <c r="BL278" s="49"/>
      <c r="BM278" s="50"/>
      <c r="BN278" s="49"/>
    </row>
    <row r="279" spans="1:66" ht="15">
      <c r="A279" s="66" t="s">
        <v>290</v>
      </c>
      <c r="B279" s="66" t="s">
        <v>296</v>
      </c>
      <c r="C279" s="67" t="s">
        <v>2108</v>
      </c>
      <c r="D279" s="68">
        <v>1</v>
      </c>
      <c r="E279" s="69" t="s">
        <v>132</v>
      </c>
      <c r="F279" s="70">
        <v>32</v>
      </c>
      <c r="G279" s="67" t="s">
        <v>51</v>
      </c>
      <c r="H279" s="71"/>
      <c r="I279" s="72"/>
      <c r="J279" s="72"/>
      <c r="K279" s="35" t="s">
        <v>65</v>
      </c>
      <c r="L279" s="79">
        <v>279</v>
      </c>
      <c r="M279" s="79"/>
      <c r="N279" s="74"/>
      <c r="O279" s="90" t="s">
        <v>305</v>
      </c>
      <c r="P279" s="93">
        <v>44483.581354166665</v>
      </c>
      <c r="Q279" s="90" t="s">
        <v>322</v>
      </c>
      <c r="R279" s="90" t="s">
        <v>332</v>
      </c>
      <c r="S279" s="90" t="s">
        <v>336</v>
      </c>
      <c r="T279" s="99" t="s">
        <v>343</v>
      </c>
      <c r="U279" s="90"/>
      <c r="V279" s="96" t="str">
        <f>HYPERLINK("https://pbs.twimg.com/profile_images/1227613933382590464/r3aMcZGM_normal.jpg")</f>
        <v>https://pbs.twimg.com/profile_images/1227613933382590464/r3aMcZGM_normal.jpg</v>
      </c>
      <c r="W279" s="93">
        <v>44483.581354166665</v>
      </c>
      <c r="X279" s="102">
        <v>44483</v>
      </c>
      <c r="Y279" s="99" t="s">
        <v>421</v>
      </c>
      <c r="Z279" s="96" t="str">
        <f>HYPERLINK("https://twitter.com/oskarinokso/status/1448649080264003587")</f>
        <v>https://twitter.com/oskarinokso/status/1448649080264003587</v>
      </c>
      <c r="AA279" s="90"/>
      <c r="AB279" s="90"/>
      <c r="AC279" s="99" t="s">
        <v>515</v>
      </c>
      <c r="AD279" s="90"/>
      <c r="AE279" s="90" t="b">
        <v>0</v>
      </c>
      <c r="AF279" s="90">
        <v>0</v>
      </c>
      <c r="AG279" s="99" t="s">
        <v>535</v>
      </c>
      <c r="AH279" s="90" t="b">
        <v>1</v>
      </c>
      <c r="AI279" s="90" t="s">
        <v>537</v>
      </c>
      <c r="AJ279" s="90"/>
      <c r="AK279" s="99" t="s">
        <v>523</v>
      </c>
      <c r="AL279" s="90" t="b">
        <v>0</v>
      </c>
      <c r="AM279" s="90">
        <v>3</v>
      </c>
      <c r="AN279" s="99" t="s">
        <v>521</v>
      </c>
      <c r="AO279" s="99" t="s">
        <v>545</v>
      </c>
      <c r="AP279" s="90" t="b">
        <v>0</v>
      </c>
      <c r="AQ279" s="99" t="s">
        <v>521</v>
      </c>
      <c r="AR279" s="90" t="s">
        <v>187</v>
      </c>
      <c r="AS279" s="90">
        <v>0</v>
      </c>
      <c r="AT279" s="90">
        <v>0</v>
      </c>
      <c r="AU279" s="90"/>
      <c r="AV279" s="90"/>
      <c r="AW279" s="90"/>
      <c r="AX279" s="90"/>
      <c r="AY279" s="90"/>
      <c r="AZ279" s="90"/>
      <c r="BA279" s="90"/>
      <c r="BB279" s="90"/>
      <c r="BC279" s="90">
        <v>1</v>
      </c>
      <c r="BD279" s="89" t="str">
        <f>REPLACE(INDEX(GroupVertices[Group],MATCH(Edges[[#This Row],[Vertex 1]],GroupVertices[Vertex],0)),1,1,"")</f>
        <v>2</v>
      </c>
      <c r="BE279" s="89" t="str">
        <f>REPLACE(INDEX(GroupVertices[Group],MATCH(Edges[[#This Row],[Vertex 2]],GroupVertices[Vertex],0)),1,1,"")</f>
        <v>2</v>
      </c>
      <c r="BF279" s="49">
        <v>0</v>
      </c>
      <c r="BG279" s="50">
        <v>0</v>
      </c>
      <c r="BH279" s="49">
        <v>0</v>
      </c>
      <c r="BI279" s="50">
        <v>0</v>
      </c>
      <c r="BJ279" s="49">
        <v>0</v>
      </c>
      <c r="BK279" s="50">
        <v>0</v>
      </c>
      <c r="BL279" s="49">
        <v>25</v>
      </c>
      <c r="BM279" s="50">
        <v>100</v>
      </c>
      <c r="BN279" s="49">
        <v>25</v>
      </c>
    </row>
    <row r="280" spans="1:66" ht="15">
      <c r="A280" s="66" t="s">
        <v>290</v>
      </c>
      <c r="B280" s="66" t="s">
        <v>293</v>
      </c>
      <c r="C280" s="67" t="s">
        <v>2109</v>
      </c>
      <c r="D280" s="68">
        <v>10</v>
      </c>
      <c r="E280" s="69" t="s">
        <v>136</v>
      </c>
      <c r="F280" s="70">
        <v>10</v>
      </c>
      <c r="G280" s="67" t="s">
        <v>51</v>
      </c>
      <c r="H280" s="71"/>
      <c r="I280" s="72"/>
      <c r="J280" s="72"/>
      <c r="K280" s="35" t="s">
        <v>65</v>
      </c>
      <c r="L280" s="79">
        <v>280</v>
      </c>
      <c r="M280" s="79"/>
      <c r="N280" s="74"/>
      <c r="O280" s="90" t="s">
        <v>306</v>
      </c>
      <c r="P280" s="93">
        <v>44483.67631944444</v>
      </c>
      <c r="Q280" s="90" t="s">
        <v>324</v>
      </c>
      <c r="R280" s="96" t="str">
        <f>HYPERLINK("https://talouskurssi.fi/")</f>
        <v>https://talouskurssi.fi/</v>
      </c>
      <c r="S280" s="90" t="s">
        <v>334</v>
      </c>
      <c r="T280" s="99" t="s">
        <v>338</v>
      </c>
      <c r="U280" s="90"/>
      <c r="V280" s="96" t="str">
        <f>HYPERLINK("https://pbs.twimg.com/profile_images/1227613933382590464/r3aMcZGM_normal.jpg")</f>
        <v>https://pbs.twimg.com/profile_images/1227613933382590464/r3aMcZGM_normal.jpg</v>
      </c>
      <c r="W280" s="93">
        <v>44483.67631944444</v>
      </c>
      <c r="X280" s="102">
        <v>44483</v>
      </c>
      <c r="Y280" s="99" t="s">
        <v>417</v>
      </c>
      <c r="Z280" s="96" t="str">
        <f>HYPERLINK("https://twitter.com/oskarinokso/status/1448683492506804230")</f>
        <v>https://twitter.com/oskarinokso/status/1448683492506804230</v>
      </c>
      <c r="AA280" s="90"/>
      <c r="AB280" s="90"/>
      <c r="AC280" s="99" t="s">
        <v>511</v>
      </c>
      <c r="AD280" s="90"/>
      <c r="AE280" s="90" t="b">
        <v>0</v>
      </c>
      <c r="AF280" s="90">
        <v>0</v>
      </c>
      <c r="AG280" s="99" t="s">
        <v>535</v>
      </c>
      <c r="AH280" s="90" t="b">
        <v>0</v>
      </c>
      <c r="AI280" s="90" t="s">
        <v>537</v>
      </c>
      <c r="AJ280" s="90"/>
      <c r="AK280" s="99" t="s">
        <v>535</v>
      </c>
      <c r="AL280" s="90" t="b">
        <v>0</v>
      </c>
      <c r="AM280" s="90">
        <v>1</v>
      </c>
      <c r="AN280" s="99" t="s">
        <v>510</v>
      </c>
      <c r="AO280" s="99" t="s">
        <v>545</v>
      </c>
      <c r="AP280" s="90" t="b">
        <v>0</v>
      </c>
      <c r="AQ280" s="99" t="s">
        <v>510</v>
      </c>
      <c r="AR280" s="90" t="s">
        <v>187</v>
      </c>
      <c r="AS280" s="90">
        <v>0</v>
      </c>
      <c r="AT280" s="90">
        <v>0</v>
      </c>
      <c r="AU280" s="90"/>
      <c r="AV280" s="90"/>
      <c r="AW280" s="90"/>
      <c r="AX280" s="90"/>
      <c r="AY280" s="90"/>
      <c r="AZ280" s="90"/>
      <c r="BA280" s="90"/>
      <c r="BB280" s="90"/>
      <c r="BC280" s="90">
        <v>5</v>
      </c>
      <c r="BD280" s="89" t="str">
        <f>REPLACE(INDEX(GroupVertices[Group],MATCH(Edges[[#This Row],[Vertex 1]],GroupVertices[Vertex],0)),1,1,"")</f>
        <v>2</v>
      </c>
      <c r="BE280" s="89" t="str">
        <f>REPLACE(INDEX(GroupVertices[Group],MATCH(Edges[[#This Row],[Vertex 2]],GroupVertices[Vertex],0)),1,1,"")</f>
        <v>3</v>
      </c>
      <c r="BF280" s="49"/>
      <c r="BG280" s="50"/>
      <c r="BH280" s="49"/>
      <c r="BI280" s="50"/>
      <c r="BJ280" s="49"/>
      <c r="BK280" s="50"/>
      <c r="BL280" s="49"/>
      <c r="BM280" s="50"/>
      <c r="BN280" s="49"/>
    </row>
    <row r="281" spans="1:66" ht="15">
      <c r="A281" s="66" t="s">
        <v>2131</v>
      </c>
      <c r="B281" s="66" t="s">
        <v>2131</v>
      </c>
      <c r="C281" s="67" t="s">
        <v>2108</v>
      </c>
      <c r="D281" s="68">
        <v>1</v>
      </c>
      <c r="E281" s="69" t="s">
        <v>132</v>
      </c>
      <c r="F281" s="70">
        <v>32</v>
      </c>
      <c r="G281" s="67" t="s">
        <v>51</v>
      </c>
      <c r="H281" s="71"/>
      <c r="I281" s="72"/>
      <c r="J281" s="72"/>
      <c r="K281" s="35" t="s">
        <v>65</v>
      </c>
      <c r="L281" s="79">
        <v>281</v>
      </c>
      <c r="M281" s="79"/>
      <c r="N281" s="74"/>
      <c r="O281" s="90" t="s">
        <v>187</v>
      </c>
      <c r="P281" s="93">
        <v>44483.67826388889</v>
      </c>
      <c r="Q281" s="96" t="str">
        <f>HYPERLINK("https://t.co/kGPnHu2eS7")</f>
        <v>https://t.co/kGPnHu2eS7</v>
      </c>
      <c r="R281" s="96" t="str">
        <f>HYPERLINK("https://www.op.fi/op-ryhma/vastuullisuus/vastuullisuus/taloustaidot/talouskurssi")</f>
        <v>https://www.op.fi/op-ryhma/vastuullisuus/vastuullisuus/taloustaidot/talouskurssi</v>
      </c>
      <c r="S281" s="90" t="s">
        <v>2153</v>
      </c>
      <c r="T281" s="90"/>
      <c r="U281" s="90"/>
      <c r="V281" s="96" t="str">
        <f>HYPERLINK("https://pbs.twimg.com/profile_images/1399547504430096386/vXZay0HV_normal.jpg")</f>
        <v>https://pbs.twimg.com/profile_images/1399547504430096386/vXZay0HV_normal.jpg</v>
      </c>
      <c r="W281" s="93">
        <v>44483.67826388889</v>
      </c>
      <c r="X281" s="102">
        <v>44483</v>
      </c>
      <c r="Y281" s="99" t="s">
        <v>2181</v>
      </c>
      <c r="Z281" s="96" t="str">
        <f>HYPERLINK("https://twitter.com/jouni_linna/status/1448684195153334277")</f>
        <v>https://twitter.com/jouni_linna/status/1448684195153334277</v>
      </c>
      <c r="AA281" s="90"/>
      <c r="AB281" s="90"/>
      <c r="AC281" s="99" t="s">
        <v>2227</v>
      </c>
      <c r="AD281" s="90"/>
      <c r="AE281" s="90" t="b">
        <v>0</v>
      </c>
      <c r="AF281" s="90">
        <v>0</v>
      </c>
      <c r="AG281" s="99" t="s">
        <v>535</v>
      </c>
      <c r="AH281" s="90" t="b">
        <v>0</v>
      </c>
      <c r="AI281" s="90" t="s">
        <v>2245</v>
      </c>
      <c r="AJ281" s="90"/>
      <c r="AK281" s="99" t="s">
        <v>535</v>
      </c>
      <c r="AL281" s="90" t="b">
        <v>0</v>
      </c>
      <c r="AM281" s="90">
        <v>0</v>
      </c>
      <c r="AN281" s="99" t="s">
        <v>535</v>
      </c>
      <c r="AO281" s="99" t="s">
        <v>543</v>
      </c>
      <c r="AP281" s="90" t="b">
        <v>0</v>
      </c>
      <c r="AQ281" s="99" t="s">
        <v>2227</v>
      </c>
      <c r="AR281" s="90" t="s">
        <v>187</v>
      </c>
      <c r="AS281" s="90">
        <v>0</v>
      </c>
      <c r="AT281" s="90">
        <v>0</v>
      </c>
      <c r="AU281" s="90"/>
      <c r="AV281" s="90"/>
      <c r="AW281" s="90"/>
      <c r="AX281" s="90"/>
      <c r="AY281" s="90"/>
      <c r="AZ281" s="90"/>
      <c r="BA281" s="90"/>
      <c r="BB281" s="90"/>
      <c r="BC281" s="90">
        <v>1</v>
      </c>
      <c r="BD281" s="89" t="str">
        <f>REPLACE(INDEX(GroupVertices[Group],MATCH(Edges[[#This Row],[Vertex 1]],GroupVertices[Vertex],0)),1,1,"")</f>
        <v>4</v>
      </c>
      <c r="BE281" s="89" t="str">
        <f>REPLACE(INDEX(GroupVertices[Group],MATCH(Edges[[#This Row],[Vertex 2]],GroupVertices[Vertex],0)),1,1,"")</f>
        <v>4</v>
      </c>
      <c r="BF281" s="49">
        <v>0</v>
      </c>
      <c r="BG281" s="50">
        <v>0</v>
      </c>
      <c r="BH281" s="49">
        <v>0</v>
      </c>
      <c r="BI281" s="50">
        <v>0</v>
      </c>
      <c r="BJ281" s="49">
        <v>0</v>
      </c>
      <c r="BK281" s="50">
        <v>0</v>
      </c>
      <c r="BL281" s="49">
        <v>0</v>
      </c>
      <c r="BM281" s="50">
        <v>0</v>
      </c>
      <c r="BN281" s="49">
        <v>0</v>
      </c>
    </row>
    <row r="282" spans="1:66" ht="15">
      <c r="A282" s="66" t="s">
        <v>292</v>
      </c>
      <c r="B282" s="66" t="s">
        <v>2133</v>
      </c>
      <c r="C282" s="67" t="s">
        <v>2108</v>
      </c>
      <c r="D282" s="68">
        <v>1</v>
      </c>
      <c r="E282" s="69" t="s">
        <v>132</v>
      </c>
      <c r="F282" s="70">
        <v>32</v>
      </c>
      <c r="G282" s="67" t="s">
        <v>51</v>
      </c>
      <c r="H282" s="71"/>
      <c r="I282" s="72"/>
      <c r="J282" s="72"/>
      <c r="K282" s="35" t="s">
        <v>65</v>
      </c>
      <c r="L282" s="79">
        <v>282</v>
      </c>
      <c r="M282" s="79"/>
      <c r="N282" s="74"/>
      <c r="O282" s="90" t="s">
        <v>305</v>
      </c>
      <c r="P282" s="93">
        <v>44483.6859837963</v>
      </c>
      <c r="Q282" s="90" t="s">
        <v>2141</v>
      </c>
      <c r="R282" s="90" t="s">
        <v>2150</v>
      </c>
      <c r="S282" s="90" t="s">
        <v>2152</v>
      </c>
      <c r="T282" s="90"/>
      <c r="U282" s="90"/>
      <c r="V282" s="96" t="str">
        <f>HYPERLINK("https://pbs.twimg.com/profile_images/1310620032733511681/xyuf_OWV_normal.jpg")</f>
        <v>https://pbs.twimg.com/profile_images/1310620032733511681/xyuf_OWV_normal.jpg</v>
      </c>
      <c r="W282" s="93">
        <v>44483.6859837963</v>
      </c>
      <c r="X282" s="102">
        <v>44483</v>
      </c>
      <c r="Y282" s="99" t="s">
        <v>2182</v>
      </c>
      <c r="Z282" s="96" t="str">
        <f>HYPERLINK("https://twitter.com/wiscoosi/status/1448686994540961795")</f>
        <v>https://twitter.com/wiscoosi/status/1448686994540961795</v>
      </c>
      <c r="AA282" s="90"/>
      <c r="AB282" s="90"/>
      <c r="AC282" s="99" t="s">
        <v>2228</v>
      </c>
      <c r="AD282" s="90"/>
      <c r="AE282" s="90" t="b">
        <v>0</v>
      </c>
      <c r="AF282" s="90">
        <v>0</v>
      </c>
      <c r="AG282" s="99" t="s">
        <v>535</v>
      </c>
      <c r="AH282" s="90" t="b">
        <v>0</v>
      </c>
      <c r="AI282" s="90" t="s">
        <v>537</v>
      </c>
      <c r="AJ282" s="90"/>
      <c r="AK282" s="99" t="s">
        <v>535</v>
      </c>
      <c r="AL282" s="90" t="b">
        <v>0</v>
      </c>
      <c r="AM282" s="90">
        <v>4</v>
      </c>
      <c r="AN282" s="99" t="s">
        <v>2230</v>
      </c>
      <c r="AO282" s="99" t="s">
        <v>545</v>
      </c>
      <c r="AP282" s="90" t="b">
        <v>0</v>
      </c>
      <c r="AQ282" s="99" t="s">
        <v>2230</v>
      </c>
      <c r="AR282" s="90" t="s">
        <v>187</v>
      </c>
      <c r="AS282" s="90">
        <v>0</v>
      </c>
      <c r="AT282" s="90">
        <v>0</v>
      </c>
      <c r="AU282" s="90"/>
      <c r="AV282" s="90"/>
      <c r="AW282" s="90"/>
      <c r="AX282" s="90"/>
      <c r="AY282" s="90"/>
      <c r="AZ282" s="90"/>
      <c r="BA282" s="90"/>
      <c r="BB282" s="90"/>
      <c r="BC282" s="90">
        <v>1</v>
      </c>
      <c r="BD282" s="89" t="str">
        <f>REPLACE(INDEX(GroupVertices[Group],MATCH(Edges[[#This Row],[Vertex 1]],GroupVertices[Vertex],0)),1,1,"")</f>
        <v>3</v>
      </c>
      <c r="BE282" s="89" t="str">
        <f>REPLACE(INDEX(GroupVertices[Group],MATCH(Edges[[#This Row],[Vertex 2]],GroupVertices[Vertex],0)),1,1,"")</f>
        <v>3</v>
      </c>
      <c r="BF282" s="49">
        <v>0</v>
      </c>
      <c r="BG282" s="50">
        <v>0</v>
      </c>
      <c r="BH282" s="49">
        <v>0</v>
      </c>
      <c r="BI282" s="50">
        <v>0</v>
      </c>
      <c r="BJ282" s="49">
        <v>0</v>
      </c>
      <c r="BK282" s="50">
        <v>0</v>
      </c>
      <c r="BL282" s="49">
        <v>31</v>
      </c>
      <c r="BM282" s="50">
        <v>100</v>
      </c>
      <c r="BN282" s="49">
        <v>31</v>
      </c>
    </row>
    <row r="283" spans="1:66" ht="15">
      <c r="A283" s="66" t="s">
        <v>292</v>
      </c>
      <c r="B283" s="66" t="s">
        <v>299</v>
      </c>
      <c r="C283" s="67" t="s">
        <v>2108</v>
      </c>
      <c r="D283" s="68">
        <v>1</v>
      </c>
      <c r="E283" s="69" t="s">
        <v>132</v>
      </c>
      <c r="F283" s="70">
        <v>32</v>
      </c>
      <c r="G283" s="67" t="s">
        <v>51</v>
      </c>
      <c r="H283" s="71"/>
      <c r="I283" s="72"/>
      <c r="J283" s="72"/>
      <c r="K283" s="35" t="s">
        <v>65</v>
      </c>
      <c r="L283" s="79">
        <v>283</v>
      </c>
      <c r="M283" s="79"/>
      <c r="N283" s="74"/>
      <c r="O283" s="90" t="s">
        <v>306</v>
      </c>
      <c r="P283" s="93">
        <v>44483.68877314815</v>
      </c>
      <c r="Q283" s="90" t="s">
        <v>310</v>
      </c>
      <c r="R283" s="96" t="str">
        <f>HYPERLINK("https://talouskurssi.fi/")</f>
        <v>https://talouskurssi.fi/</v>
      </c>
      <c r="S283" s="90" t="s">
        <v>334</v>
      </c>
      <c r="T283" s="99" t="s">
        <v>338</v>
      </c>
      <c r="U283" s="96" t="str">
        <f>HYPERLINK("https://pbs.twimg.com/ext_tw_video_thumb/1448527896562348036/pu/img/0PqSbNMaXHvzKHCc.jpg")</f>
        <v>https://pbs.twimg.com/ext_tw_video_thumb/1448527896562348036/pu/img/0PqSbNMaXHvzKHCc.jpg</v>
      </c>
      <c r="V283" s="96" t="str">
        <f>HYPERLINK("https://pbs.twimg.com/ext_tw_video_thumb/1448527896562348036/pu/img/0PqSbNMaXHvzKHCc.jpg")</f>
        <v>https://pbs.twimg.com/ext_tw_video_thumb/1448527896562348036/pu/img/0PqSbNMaXHvzKHCc.jpg</v>
      </c>
      <c r="W283" s="93">
        <v>44483.68877314815</v>
      </c>
      <c r="X283" s="102">
        <v>44483</v>
      </c>
      <c r="Y283" s="99" t="s">
        <v>422</v>
      </c>
      <c r="Z283" s="96" t="str">
        <f>HYPERLINK("https://twitter.com/wiscoosi/status/1448688007482118153")</f>
        <v>https://twitter.com/wiscoosi/status/1448688007482118153</v>
      </c>
      <c r="AA283" s="90"/>
      <c r="AB283" s="90"/>
      <c r="AC283" s="99" t="s">
        <v>516</v>
      </c>
      <c r="AD283" s="90"/>
      <c r="AE283" s="90" t="b">
        <v>0</v>
      </c>
      <c r="AF283" s="90">
        <v>0</v>
      </c>
      <c r="AG283" s="99" t="s">
        <v>535</v>
      </c>
      <c r="AH283" s="90" t="b">
        <v>0</v>
      </c>
      <c r="AI283" s="90" t="s">
        <v>537</v>
      </c>
      <c r="AJ283" s="90"/>
      <c r="AK283" s="99" t="s">
        <v>535</v>
      </c>
      <c r="AL283" s="90" t="b">
        <v>0</v>
      </c>
      <c r="AM283" s="90">
        <v>52</v>
      </c>
      <c r="AN283" s="99" t="s">
        <v>526</v>
      </c>
      <c r="AO283" s="99" t="s">
        <v>545</v>
      </c>
      <c r="AP283" s="90" t="b">
        <v>0</v>
      </c>
      <c r="AQ283" s="99" t="s">
        <v>526</v>
      </c>
      <c r="AR283" s="90" t="s">
        <v>187</v>
      </c>
      <c r="AS283" s="90">
        <v>0</v>
      </c>
      <c r="AT283" s="90">
        <v>0</v>
      </c>
      <c r="AU283" s="90"/>
      <c r="AV283" s="90"/>
      <c r="AW283" s="90"/>
      <c r="AX283" s="90"/>
      <c r="AY283" s="90"/>
      <c r="AZ283" s="90"/>
      <c r="BA283" s="90"/>
      <c r="BB283" s="90"/>
      <c r="BC283" s="90">
        <v>1</v>
      </c>
      <c r="BD283" s="89" t="str">
        <f>REPLACE(INDEX(GroupVertices[Group],MATCH(Edges[[#This Row],[Vertex 1]],GroupVertices[Vertex],0)),1,1,"")</f>
        <v>3</v>
      </c>
      <c r="BE283" s="89" t="str">
        <f>REPLACE(INDEX(GroupVertices[Group],MATCH(Edges[[#This Row],[Vertex 2]],GroupVertices[Vertex],0)),1,1,"")</f>
        <v>1</v>
      </c>
      <c r="BF283" s="49"/>
      <c r="BG283" s="50"/>
      <c r="BH283" s="49"/>
      <c r="BI283" s="50"/>
      <c r="BJ283" s="49"/>
      <c r="BK283" s="50"/>
      <c r="BL283" s="49"/>
      <c r="BM283" s="50"/>
      <c r="BN283" s="49"/>
    </row>
    <row r="284" spans="1:66" ht="15">
      <c r="A284" s="66" t="s">
        <v>292</v>
      </c>
      <c r="B284" s="66" t="s">
        <v>302</v>
      </c>
      <c r="C284" s="67" t="s">
        <v>2108</v>
      </c>
      <c r="D284" s="68">
        <v>1</v>
      </c>
      <c r="E284" s="69" t="s">
        <v>132</v>
      </c>
      <c r="F284" s="70">
        <v>32</v>
      </c>
      <c r="G284" s="67" t="s">
        <v>51</v>
      </c>
      <c r="H284" s="71"/>
      <c r="I284" s="72"/>
      <c r="J284" s="72"/>
      <c r="K284" s="35" t="s">
        <v>65</v>
      </c>
      <c r="L284" s="79">
        <v>284</v>
      </c>
      <c r="M284" s="79"/>
      <c r="N284" s="74"/>
      <c r="O284" s="90" t="s">
        <v>306</v>
      </c>
      <c r="P284" s="93">
        <v>44483.68877314815</v>
      </c>
      <c r="Q284" s="90" t="s">
        <v>310</v>
      </c>
      <c r="R284" s="96" t="str">
        <f>HYPERLINK("https://talouskurssi.fi/")</f>
        <v>https://talouskurssi.fi/</v>
      </c>
      <c r="S284" s="90" t="s">
        <v>334</v>
      </c>
      <c r="T284" s="99" t="s">
        <v>338</v>
      </c>
      <c r="U284" s="96" t="str">
        <f>HYPERLINK("https://pbs.twimg.com/ext_tw_video_thumb/1448527896562348036/pu/img/0PqSbNMaXHvzKHCc.jpg")</f>
        <v>https://pbs.twimg.com/ext_tw_video_thumb/1448527896562348036/pu/img/0PqSbNMaXHvzKHCc.jpg</v>
      </c>
      <c r="V284" s="96" t="str">
        <f>HYPERLINK("https://pbs.twimg.com/ext_tw_video_thumb/1448527896562348036/pu/img/0PqSbNMaXHvzKHCc.jpg")</f>
        <v>https://pbs.twimg.com/ext_tw_video_thumb/1448527896562348036/pu/img/0PqSbNMaXHvzKHCc.jpg</v>
      </c>
      <c r="W284" s="93">
        <v>44483.68877314815</v>
      </c>
      <c r="X284" s="102">
        <v>44483</v>
      </c>
      <c r="Y284" s="99" t="s">
        <v>422</v>
      </c>
      <c r="Z284" s="96" t="str">
        <f>HYPERLINK("https://twitter.com/wiscoosi/status/1448688007482118153")</f>
        <v>https://twitter.com/wiscoosi/status/1448688007482118153</v>
      </c>
      <c r="AA284" s="90"/>
      <c r="AB284" s="90"/>
      <c r="AC284" s="99" t="s">
        <v>516</v>
      </c>
      <c r="AD284" s="90"/>
      <c r="AE284" s="90" t="b">
        <v>0</v>
      </c>
      <c r="AF284" s="90">
        <v>0</v>
      </c>
      <c r="AG284" s="99" t="s">
        <v>535</v>
      </c>
      <c r="AH284" s="90" t="b">
        <v>0</v>
      </c>
      <c r="AI284" s="90" t="s">
        <v>537</v>
      </c>
      <c r="AJ284" s="90"/>
      <c r="AK284" s="99" t="s">
        <v>535</v>
      </c>
      <c r="AL284" s="90" t="b">
        <v>0</v>
      </c>
      <c r="AM284" s="90">
        <v>52</v>
      </c>
      <c r="AN284" s="99" t="s">
        <v>526</v>
      </c>
      <c r="AO284" s="99" t="s">
        <v>545</v>
      </c>
      <c r="AP284" s="90" t="b">
        <v>0</v>
      </c>
      <c r="AQ284" s="99" t="s">
        <v>526</v>
      </c>
      <c r="AR284" s="90" t="s">
        <v>187</v>
      </c>
      <c r="AS284" s="90">
        <v>0</v>
      </c>
      <c r="AT284" s="90">
        <v>0</v>
      </c>
      <c r="AU284" s="90"/>
      <c r="AV284" s="90"/>
      <c r="AW284" s="90"/>
      <c r="AX284" s="90"/>
      <c r="AY284" s="90"/>
      <c r="AZ284" s="90"/>
      <c r="BA284" s="90"/>
      <c r="BB284" s="90"/>
      <c r="BC284" s="90">
        <v>1</v>
      </c>
      <c r="BD284" s="89" t="str">
        <f>REPLACE(INDEX(GroupVertices[Group],MATCH(Edges[[#This Row],[Vertex 1]],GroupVertices[Vertex],0)),1,1,"")</f>
        <v>3</v>
      </c>
      <c r="BE284" s="89" t="str">
        <f>REPLACE(INDEX(GroupVertices[Group],MATCH(Edges[[#This Row],[Vertex 2]],GroupVertices[Vertex],0)),1,1,"")</f>
        <v>1</v>
      </c>
      <c r="BF284" s="49"/>
      <c r="BG284" s="50"/>
      <c r="BH284" s="49"/>
      <c r="BI284" s="50"/>
      <c r="BJ284" s="49"/>
      <c r="BK284" s="50"/>
      <c r="BL284" s="49"/>
      <c r="BM284" s="50"/>
      <c r="BN284" s="49"/>
    </row>
    <row r="285" spans="1:66" ht="15">
      <c r="A285" s="66" t="s">
        <v>292</v>
      </c>
      <c r="B285" s="66" t="s">
        <v>293</v>
      </c>
      <c r="C285" s="67" t="s">
        <v>2108</v>
      </c>
      <c r="D285" s="68">
        <v>1</v>
      </c>
      <c r="E285" s="69" t="s">
        <v>132</v>
      </c>
      <c r="F285" s="70">
        <v>32</v>
      </c>
      <c r="G285" s="67" t="s">
        <v>51</v>
      </c>
      <c r="H285" s="71"/>
      <c r="I285" s="72"/>
      <c r="J285" s="72"/>
      <c r="K285" s="35" t="s">
        <v>65</v>
      </c>
      <c r="L285" s="79">
        <v>285</v>
      </c>
      <c r="M285" s="79"/>
      <c r="N285" s="74"/>
      <c r="O285" s="90" t="s">
        <v>305</v>
      </c>
      <c r="P285" s="93">
        <v>44483.68877314815</v>
      </c>
      <c r="Q285" s="90" t="s">
        <v>310</v>
      </c>
      <c r="R285" s="96" t="str">
        <f>HYPERLINK("https://talouskurssi.fi/")</f>
        <v>https://talouskurssi.fi/</v>
      </c>
      <c r="S285" s="90" t="s">
        <v>334</v>
      </c>
      <c r="T285" s="99" t="s">
        <v>338</v>
      </c>
      <c r="U285" s="96" t="str">
        <f>HYPERLINK("https://pbs.twimg.com/ext_tw_video_thumb/1448527896562348036/pu/img/0PqSbNMaXHvzKHCc.jpg")</f>
        <v>https://pbs.twimg.com/ext_tw_video_thumb/1448527896562348036/pu/img/0PqSbNMaXHvzKHCc.jpg</v>
      </c>
      <c r="V285" s="96" t="str">
        <f>HYPERLINK("https://pbs.twimg.com/ext_tw_video_thumb/1448527896562348036/pu/img/0PqSbNMaXHvzKHCc.jpg")</f>
        <v>https://pbs.twimg.com/ext_tw_video_thumb/1448527896562348036/pu/img/0PqSbNMaXHvzKHCc.jpg</v>
      </c>
      <c r="W285" s="93">
        <v>44483.68877314815</v>
      </c>
      <c r="X285" s="102">
        <v>44483</v>
      </c>
      <c r="Y285" s="99" t="s">
        <v>422</v>
      </c>
      <c r="Z285" s="96" t="str">
        <f>HYPERLINK("https://twitter.com/wiscoosi/status/1448688007482118153")</f>
        <v>https://twitter.com/wiscoosi/status/1448688007482118153</v>
      </c>
      <c r="AA285" s="90"/>
      <c r="AB285" s="90"/>
      <c r="AC285" s="99" t="s">
        <v>516</v>
      </c>
      <c r="AD285" s="90"/>
      <c r="AE285" s="90" t="b">
        <v>0</v>
      </c>
      <c r="AF285" s="90">
        <v>0</v>
      </c>
      <c r="AG285" s="99" t="s">
        <v>535</v>
      </c>
      <c r="AH285" s="90" t="b">
        <v>0</v>
      </c>
      <c r="AI285" s="90" t="s">
        <v>537</v>
      </c>
      <c r="AJ285" s="90"/>
      <c r="AK285" s="99" t="s">
        <v>535</v>
      </c>
      <c r="AL285" s="90" t="b">
        <v>0</v>
      </c>
      <c r="AM285" s="90">
        <v>52</v>
      </c>
      <c r="AN285" s="99" t="s">
        <v>526</v>
      </c>
      <c r="AO285" s="99" t="s">
        <v>545</v>
      </c>
      <c r="AP285" s="90" t="b">
        <v>0</v>
      </c>
      <c r="AQ285" s="99" t="s">
        <v>526</v>
      </c>
      <c r="AR285" s="90" t="s">
        <v>187</v>
      </c>
      <c r="AS285" s="90">
        <v>0</v>
      </c>
      <c r="AT285" s="90">
        <v>0</v>
      </c>
      <c r="AU285" s="90"/>
      <c r="AV285" s="90"/>
      <c r="AW285" s="90"/>
      <c r="AX285" s="90"/>
      <c r="AY285" s="90"/>
      <c r="AZ285" s="90"/>
      <c r="BA285" s="90"/>
      <c r="BB285" s="90"/>
      <c r="BC285" s="90">
        <v>1</v>
      </c>
      <c r="BD285" s="89" t="str">
        <f>REPLACE(INDEX(GroupVertices[Group],MATCH(Edges[[#This Row],[Vertex 1]],GroupVertices[Vertex],0)),1,1,"")</f>
        <v>3</v>
      </c>
      <c r="BE285" s="89" t="str">
        <f>REPLACE(INDEX(GroupVertices[Group],MATCH(Edges[[#This Row],[Vertex 2]],GroupVertices[Vertex],0)),1,1,"")</f>
        <v>3</v>
      </c>
      <c r="BF285" s="49">
        <v>0</v>
      </c>
      <c r="BG285" s="50">
        <v>0</v>
      </c>
      <c r="BH285" s="49">
        <v>0</v>
      </c>
      <c r="BI285" s="50">
        <v>0</v>
      </c>
      <c r="BJ285" s="49">
        <v>0</v>
      </c>
      <c r="BK285" s="50">
        <v>0</v>
      </c>
      <c r="BL285" s="49">
        <v>28</v>
      </c>
      <c r="BM285" s="50">
        <v>100</v>
      </c>
      <c r="BN285" s="49">
        <v>28</v>
      </c>
    </row>
    <row r="286" spans="1:66" ht="15">
      <c r="A286" s="66" t="s">
        <v>2132</v>
      </c>
      <c r="B286" s="66" t="s">
        <v>2132</v>
      </c>
      <c r="C286" s="67" t="s">
        <v>2108</v>
      </c>
      <c r="D286" s="68">
        <v>1</v>
      </c>
      <c r="E286" s="69" t="s">
        <v>132</v>
      </c>
      <c r="F286" s="70">
        <v>32</v>
      </c>
      <c r="G286" s="67" t="s">
        <v>51</v>
      </c>
      <c r="H286" s="71"/>
      <c r="I286" s="72"/>
      <c r="J286" s="72"/>
      <c r="K286" s="35" t="s">
        <v>65</v>
      </c>
      <c r="L286" s="79">
        <v>286</v>
      </c>
      <c r="M286" s="79"/>
      <c r="N286" s="74"/>
      <c r="O286" s="90" t="s">
        <v>187</v>
      </c>
      <c r="P286" s="93">
        <v>44483.69267361111</v>
      </c>
      <c r="Q286" s="90" t="s">
        <v>2148</v>
      </c>
      <c r="R286" s="96" t="str">
        <f>HYPERLINK("https://www.op.fi/op-ryhma/vastuullisuus/vastuullisuus/taloustaidot/talouskurssi")</f>
        <v>https://www.op.fi/op-ryhma/vastuullisuus/vastuullisuus/taloustaidot/talouskurssi</v>
      </c>
      <c r="S286" s="90" t="s">
        <v>2153</v>
      </c>
      <c r="T286" s="90"/>
      <c r="U286" s="90"/>
      <c r="V286" s="96" t="str">
        <f>HYPERLINK("https://pbs.twimg.com/profile_images/1118236440754819073/Qf8AXOpn_normal.png")</f>
        <v>https://pbs.twimg.com/profile_images/1118236440754819073/Qf8AXOpn_normal.png</v>
      </c>
      <c r="W286" s="93">
        <v>44483.69267361111</v>
      </c>
      <c r="X286" s="102">
        <v>44483</v>
      </c>
      <c r="Y286" s="99" t="s">
        <v>2183</v>
      </c>
      <c r="Z286" s="96" t="str">
        <f>HYPERLINK("https://twitter.com/jukka_klemetti/status/1448689420048162820")</f>
        <v>https://twitter.com/jukka_klemetti/status/1448689420048162820</v>
      </c>
      <c r="AA286" s="90"/>
      <c r="AB286" s="90"/>
      <c r="AC286" s="99" t="s">
        <v>2229</v>
      </c>
      <c r="AD286" s="90"/>
      <c r="AE286" s="90" t="b">
        <v>0</v>
      </c>
      <c r="AF286" s="90">
        <v>2</v>
      </c>
      <c r="AG286" s="99" t="s">
        <v>535</v>
      </c>
      <c r="AH286" s="90" t="b">
        <v>0</v>
      </c>
      <c r="AI286" s="90" t="s">
        <v>537</v>
      </c>
      <c r="AJ286" s="90"/>
      <c r="AK286" s="99" t="s">
        <v>535</v>
      </c>
      <c r="AL286" s="90" t="b">
        <v>0</v>
      </c>
      <c r="AM286" s="90">
        <v>0</v>
      </c>
      <c r="AN286" s="99" t="s">
        <v>535</v>
      </c>
      <c r="AO286" s="99" t="s">
        <v>543</v>
      </c>
      <c r="AP286" s="90" t="b">
        <v>0</v>
      </c>
      <c r="AQ286" s="99" t="s">
        <v>2229</v>
      </c>
      <c r="AR286" s="90" t="s">
        <v>187</v>
      </c>
      <c r="AS286" s="90">
        <v>0</v>
      </c>
      <c r="AT286" s="90">
        <v>0</v>
      </c>
      <c r="AU286" s="90"/>
      <c r="AV286" s="90"/>
      <c r="AW286" s="90"/>
      <c r="AX286" s="90"/>
      <c r="AY286" s="90"/>
      <c r="AZ286" s="90"/>
      <c r="BA286" s="90"/>
      <c r="BB286" s="90"/>
      <c r="BC286" s="90">
        <v>1</v>
      </c>
      <c r="BD286" s="89" t="str">
        <f>REPLACE(INDEX(GroupVertices[Group],MATCH(Edges[[#This Row],[Vertex 1]],GroupVertices[Vertex],0)),1,1,"")</f>
        <v>4</v>
      </c>
      <c r="BE286" s="89" t="str">
        <f>REPLACE(INDEX(GroupVertices[Group],MATCH(Edges[[#This Row],[Vertex 2]],GroupVertices[Vertex],0)),1,1,"")</f>
        <v>4</v>
      </c>
      <c r="BF286" s="49">
        <v>0</v>
      </c>
      <c r="BG286" s="50">
        <v>0</v>
      </c>
      <c r="BH286" s="49">
        <v>0</v>
      </c>
      <c r="BI286" s="50">
        <v>0</v>
      </c>
      <c r="BJ286" s="49">
        <v>0</v>
      </c>
      <c r="BK286" s="50">
        <v>0</v>
      </c>
      <c r="BL286" s="49">
        <v>18</v>
      </c>
      <c r="BM286" s="50">
        <v>100</v>
      </c>
      <c r="BN286" s="49">
        <v>18</v>
      </c>
    </row>
    <row r="287" spans="1:66" ht="15">
      <c r="A287" s="66" t="s">
        <v>295</v>
      </c>
      <c r="B287" s="66" t="s">
        <v>296</v>
      </c>
      <c r="C287" s="67" t="s">
        <v>2108</v>
      </c>
      <c r="D287" s="68">
        <v>1</v>
      </c>
      <c r="E287" s="69" t="s">
        <v>132</v>
      </c>
      <c r="F287" s="70">
        <v>32</v>
      </c>
      <c r="G287" s="67" t="s">
        <v>51</v>
      </c>
      <c r="H287" s="71"/>
      <c r="I287" s="72"/>
      <c r="J287" s="72"/>
      <c r="K287" s="35" t="s">
        <v>66</v>
      </c>
      <c r="L287" s="79">
        <v>287</v>
      </c>
      <c r="M287" s="79"/>
      <c r="N287" s="74"/>
      <c r="O287" s="90" t="s">
        <v>305</v>
      </c>
      <c r="P287" s="93">
        <v>44483.386828703704</v>
      </c>
      <c r="Q287" s="90" t="s">
        <v>326</v>
      </c>
      <c r="R287" s="96" t="str">
        <f>HYPERLINK("https://twitter.com/HelsinkiGSE/status/1448530102837514240")</f>
        <v>https://twitter.com/HelsinkiGSE/status/1448530102837514240</v>
      </c>
      <c r="S287" s="90" t="s">
        <v>333</v>
      </c>
      <c r="T287" s="99" t="s">
        <v>345</v>
      </c>
      <c r="U287" s="90"/>
      <c r="V287" s="96" t="str">
        <f>HYPERLINK("https://pbs.twimg.com/profile_images/1411936509276590080/tUdqOXdw_normal.jpg")</f>
        <v>https://pbs.twimg.com/profile_images/1411936509276590080/tUdqOXdw_normal.jpg</v>
      </c>
      <c r="W287" s="93">
        <v>44483.386828703704</v>
      </c>
      <c r="X287" s="102">
        <v>44483</v>
      </c>
      <c r="Y287" s="99" t="s">
        <v>426</v>
      </c>
      <c r="Z287" s="96" t="str">
        <f>HYPERLINK("https://twitter.com/suomenekonomit/status/1448578583425949704")</f>
        <v>https://twitter.com/suomenekonomit/status/1448578583425949704</v>
      </c>
      <c r="AA287" s="90"/>
      <c r="AB287" s="90"/>
      <c r="AC287" s="99" t="s">
        <v>520</v>
      </c>
      <c r="AD287" s="90"/>
      <c r="AE287" s="90" t="b">
        <v>0</v>
      </c>
      <c r="AF287" s="90">
        <v>0</v>
      </c>
      <c r="AG287" s="99" t="s">
        <v>535</v>
      </c>
      <c r="AH287" s="90" t="b">
        <v>1</v>
      </c>
      <c r="AI287" s="90" t="s">
        <v>537</v>
      </c>
      <c r="AJ287" s="90"/>
      <c r="AK287" s="99" t="s">
        <v>526</v>
      </c>
      <c r="AL287" s="90" t="b">
        <v>0</v>
      </c>
      <c r="AM287" s="90">
        <v>1</v>
      </c>
      <c r="AN287" s="99" t="s">
        <v>523</v>
      </c>
      <c r="AO287" s="99" t="s">
        <v>546</v>
      </c>
      <c r="AP287" s="90" t="b">
        <v>0</v>
      </c>
      <c r="AQ287" s="99" t="s">
        <v>523</v>
      </c>
      <c r="AR287" s="90" t="s">
        <v>187</v>
      </c>
      <c r="AS287" s="90">
        <v>0</v>
      </c>
      <c r="AT287" s="90">
        <v>0</v>
      </c>
      <c r="AU287" s="90"/>
      <c r="AV287" s="90"/>
      <c r="AW287" s="90"/>
      <c r="AX287" s="90"/>
      <c r="AY287" s="90"/>
      <c r="AZ287" s="90"/>
      <c r="BA287" s="90"/>
      <c r="BB287" s="90"/>
      <c r="BC287" s="90">
        <v>1</v>
      </c>
      <c r="BD287" s="89" t="str">
        <f>REPLACE(INDEX(GroupVertices[Group],MATCH(Edges[[#This Row],[Vertex 1]],GroupVertices[Vertex],0)),1,1,"")</f>
        <v>2</v>
      </c>
      <c r="BE287" s="89" t="str">
        <f>REPLACE(INDEX(GroupVertices[Group],MATCH(Edges[[#This Row],[Vertex 2]],GroupVertices[Vertex],0)),1,1,"")</f>
        <v>2</v>
      </c>
      <c r="BF287" s="49">
        <v>0</v>
      </c>
      <c r="BG287" s="50">
        <v>0</v>
      </c>
      <c r="BH287" s="49">
        <v>0</v>
      </c>
      <c r="BI287" s="50">
        <v>0</v>
      </c>
      <c r="BJ287" s="49">
        <v>0</v>
      </c>
      <c r="BK287" s="50">
        <v>0</v>
      </c>
      <c r="BL287" s="49">
        <v>25</v>
      </c>
      <c r="BM287" s="50">
        <v>100</v>
      </c>
      <c r="BN287" s="49">
        <v>25</v>
      </c>
    </row>
    <row r="288" spans="1:66" ht="15">
      <c r="A288" s="66" t="s">
        <v>296</v>
      </c>
      <c r="B288" s="66" t="s">
        <v>296</v>
      </c>
      <c r="C288" s="67" t="s">
        <v>2108</v>
      </c>
      <c r="D288" s="68">
        <v>1</v>
      </c>
      <c r="E288" s="69" t="s">
        <v>132</v>
      </c>
      <c r="F288" s="70">
        <v>32</v>
      </c>
      <c r="G288" s="67" t="s">
        <v>51</v>
      </c>
      <c r="H288" s="71"/>
      <c r="I288" s="72"/>
      <c r="J288" s="72"/>
      <c r="K288" s="35" t="s">
        <v>65</v>
      </c>
      <c r="L288" s="79">
        <v>288</v>
      </c>
      <c r="M288" s="79"/>
      <c r="N288" s="74"/>
      <c r="O288" s="90" t="s">
        <v>187</v>
      </c>
      <c r="P288" s="93">
        <v>44483.32398148148</v>
      </c>
      <c r="Q288" s="90" t="s">
        <v>326</v>
      </c>
      <c r="R288" s="96" t="str">
        <f>HYPERLINK("https://twitter.com/HelsinkiGSE/status/1448530102837514240")</f>
        <v>https://twitter.com/HelsinkiGSE/status/1448530102837514240</v>
      </c>
      <c r="S288" s="90" t="s">
        <v>333</v>
      </c>
      <c r="T288" s="99" t="s">
        <v>345</v>
      </c>
      <c r="U288" s="90"/>
      <c r="V288" s="96" t="str">
        <f>HYPERLINK("https://pbs.twimg.com/profile_images/1417012640627535874/IT_mQUIh_normal.jpg")</f>
        <v>https://pbs.twimg.com/profile_images/1417012640627535874/IT_mQUIh_normal.jpg</v>
      </c>
      <c r="W288" s="93">
        <v>44483.32398148148</v>
      </c>
      <c r="X288" s="102">
        <v>44483</v>
      </c>
      <c r="Y288" s="99" t="s">
        <v>429</v>
      </c>
      <c r="Z288" s="96" t="str">
        <f>HYPERLINK("https://twitter.com/idalevanen/status/1448555809940643840")</f>
        <v>https://twitter.com/idalevanen/status/1448555809940643840</v>
      </c>
      <c r="AA288" s="90"/>
      <c r="AB288" s="90"/>
      <c r="AC288" s="99" t="s">
        <v>523</v>
      </c>
      <c r="AD288" s="90"/>
      <c r="AE288" s="90" t="b">
        <v>0</v>
      </c>
      <c r="AF288" s="90">
        <v>3</v>
      </c>
      <c r="AG288" s="99" t="s">
        <v>535</v>
      </c>
      <c r="AH288" s="90" t="b">
        <v>1</v>
      </c>
      <c r="AI288" s="90" t="s">
        <v>537</v>
      </c>
      <c r="AJ288" s="90"/>
      <c r="AK288" s="99" t="s">
        <v>526</v>
      </c>
      <c r="AL288" s="90" t="b">
        <v>0</v>
      </c>
      <c r="AM288" s="90">
        <v>1</v>
      </c>
      <c r="AN288" s="99" t="s">
        <v>535</v>
      </c>
      <c r="AO288" s="99" t="s">
        <v>542</v>
      </c>
      <c r="AP288" s="90" t="b">
        <v>0</v>
      </c>
      <c r="AQ288" s="99" t="s">
        <v>523</v>
      </c>
      <c r="AR288" s="90" t="s">
        <v>187</v>
      </c>
      <c r="AS288" s="90">
        <v>0</v>
      </c>
      <c r="AT288" s="90">
        <v>0</v>
      </c>
      <c r="AU288" s="90"/>
      <c r="AV288" s="90"/>
      <c r="AW288" s="90"/>
      <c r="AX288" s="90"/>
      <c r="AY288" s="90"/>
      <c r="AZ288" s="90"/>
      <c r="BA288" s="90"/>
      <c r="BB288" s="90"/>
      <c r="BC288" s="90">
        <v>1</v>
      </c>
      <c r="BD288" s="89" t="str">
        <f>REPLACE(INDEX(GroupVertices[Group],MATCH(Edges[[#This Row],[Vertex 1]],GroupVertices[Vertex],0)),1,1,"")</f>
        <v>2</v>
      </c>
      <c r="BE288" s="89" t="str">
        <f>REPLACE(INDEX(GroupVertices[Group],MATCH(Edges[[#This Row],[Vertex 2]],GroupVertices[Vertex],0)),1,1,"")</f>
        <v>2</v>
      </c>
      <c r="BF288" s="49">
        <v>0</v>
      </c>
      <c r="BG288" s="50">
        <v>0</v>
      </c>
      <c r="BH288" s="49">
        <v>0</v>
      </c>
      <c r="BI288" s="50">
        <v>0</v>
      </c>
      <c r="BJ288" s="49">
        <v>0</v>
      </c>
      <c r="BK288" s="50">
        <v>0</v>
      </c>
      <c r="BL288" s="49">
        <v>25</v>
      </c>
      <c r="BM288" s="50">
        <v>100</v>
      </c>
      <c r="BN288" s="49">
        <v>25</v>
      </c>
    </row>
    <row r="289" spans="1:66" ht="15">
      <c r="A289" s="66" t="s">
        <v>296</v>
      </c>
      <c r="B289" s="66" t="s">
        <v>297</v>
      </c>
      <c r="C289" s="67" t="s">
        <v>2108</v>
      </c>
      <c r="D289" s="68">
        <v>1</v>
      </c>
      <c r="E289" s="69" t="s">
        <v>132</v>
      </c>
      <c r="F289" s="70">
        <v>32</v>
      </c>
      <c r="G289" s="67" t="s">
        <v>51</v>
      </c>
      <c r="H289" s="71"/>
      <c r="I289" s="72"/>
      <c r="J289" s="72"/>
      <c r="K289" s="35" t="s">
        <v>66</v>
      </c>
      <c r="L289" s="79">
        <v>289</v>
      </c>
      <c r="M289" s="79"/>
      <c r="N289" s="74"/>
      <c r="O289" s="90" t="s">
        <v>307</v>
      </c>
      <c r="P289" s="93">
        <v>44483.52324074074</v>
      </c>
      <c r="Q289" s="90" t="s">
        <v>322</v>
      </c>
      <c r="R289" s="90" t="s">
        <v>332</v>
      </c>
      <c r="S289" s="90" t="s">
        <v>336</v>
      </c>
      <c r="T289" s="99" t="s">
        <v>343</v>
      </c>
      <c r="U289" s="90"/>
      <c r="V289" s="96" t="str">
        <f>HYPERLINK("https://pbs.twimg.com/profile_images/1417012640627535874/IT_mQUIh_normal.jpg")</f>
        <v>https://pbs.twimg.com/profile_images/1417012640627535874/IT_mQUIh_normal.jpg</v>
      </c>
      <c r="W289" s="93">
        <v>44483.52324074074</v>
      </c>
      <c r="X289" s="102">
        <v>44483</v>
      </c>
      <c r="Y289" s="99" t="s">
        <v>427</v>
      </c>
      <c r="Z289" s="96" t="str">
        <f>HYPERLINK("https://twitter.com/idalevanen/status/1448628020026224644")</f>
        <v>https://twitter.com/idalevanen/status/1448628020026224644</v>
      </c>
      <c r="AA289" s="90"/>
      <c r="AB289" s="90"/>
      <c r="AC289" s="99" t="s">
        <v>521</v>
      </c>
      <c r="AD289" s="90"/>
      <c r="AE289" s="90" t="b">
        <v>0</v>
      </c>
      <c r="AF289" s="90">
        <v>8</v>
      </c>
      <c r="AG289" s="99" t="s">
        <v>535</v>
      </c>
      <c r="AH289" s="90" t="b">
        <v>1</v>
      </c>
      <c r="AI289" s="90" t="s">
        <v>537</v>
      </c>
      <c r="AJ289" s="90"/>
      <c r="AK289" s="99" t="s">
        <v>523</v>
      </c>
      <c r="AL289" s="90" t="b">
        <v>0</v>
      </c>
      <c r="AM289" s="90">
        <v>3</v>
      </c>
      <c r="AN289" s="99" t="s">
        <v>535</v>
      </c>
      <c r="AO289" s="99" t="s">
        <v>542</v>
      </c>
      <c r="AP289" s="90" t="b">
        <v>0</v>
      </c>
      <c r="AQ289" s="99" t="s">
        <v>521</v>
      </c>
      <c r="AR289" s="90" t="s">
        <v>187</v>
      </c>
      <c r="AS289" s="90">
        <v>0</v>
      </c>
      <c r="AT289" s="90">
        <v>0</v>
      </c>
      <c r="AU289" s="90"/>
      <c r="AV289" s="90"/>
      <c r="AW289" s="90"/>
      <c r="AX289" s="90"/>
      <c r="AY289" s="90"/>
      <c r="AZ289" s="90"/>
      <c r="BA289" s="90"/>
      <c r="BB289" s="90"/>
      <c r="BC289" s="90">
        <v>1</v>
      </c>
      <c r="BD289" s="89" t="str">
        <f>REPLACE(INDEX(GroupVertices[Group],MATCH(Edges[[#This Row],[Vertex 1]],GroupVertices[Vertex],0)),1,1,"")</f>
        <v>2</v>
      </c>
      <c r="BE289" s="89" t="str">
        <f>REPLACE(INDEX(GroupVertices[Group],MATCH(Edges[[#This Row],[Vertex 2]],GroupVertices[Vertex],0)),1,1,"")</f>
        <v>2</v>
      </c>
      <c r="BF289" s="49"/>
      <c r="BG289" s="50"/>
      <c r="BH289" s="49"/>
      <c r="BI289" s="50"/>
      <c r="BJ289" s="49"/>
      <c r="BK289" s="50"/>
      <c r="BL289" s="49"/>
      <c r="BM289" s="50"/>
      <c r="BN289" s="49"/>
    </row>
    <row r="290" spans="1:66" ht="15">
      <c r="A290" s="66" t="s">
        <v>296</v>
      </c>
      <c r="B290" s="66" t="s">
        <v>295</v>
      </c>
      <c r="C290" s="67" t="s">
        <v>2108</v>
      </c>
      <c r="D290" s="68">
        <v>1</v>
      </c>
      <c r="E290" s="69" t="s">
        <v>132</v>
      </c>
      <c r="F290" s="70">
        <v>32</v>
      </c>
      <c r="G290" s="67" t="s">
        <v>51</v>
      </c>
      <c r="H290" s="71"/>
      <c r="I290" s="72"/>
      <c r="J290" s="72"/>
      <c r="K290" s="35" t="s">
        <v>66</v>
      </c>
      <c r="L290" s="79">
        <v>290</v>
      </c>
      <c r="M290" s="79"/>
      <c r="N290" s="74"/>
      <c r="O290" s="90" t="s">
        <v>307</v>
      </c>
      <c r="P290" s="93">
        <v>44483.52324074074</v>
      </c>
      <c r="Q290" s="90" t="s">
        <v>322</v>
      </c>
      <c r="R290" s="90" t="s">
        <v>332</v>
      </c>
      <c r="S290" s="90" t="s">
        <v>336</v>
      </c>
      <c r="T290" s="99" t="s">
        <v>343</v>
      </c>
      <c r="U290" s="90"/>
      <c r="V290" s="96" t="str">
        <f>HYPERLINK("https://pbs.twimg.com/profile_images/1417012640627535874/IT_mQUIh_normal.jpg")</f>
        <v>https://pbs.twimg.com/profile_images/1417012640627535874/IT_mQUIh_normal.jpg</v>
      </c>
      <c r="W290" s="93">
        <v>44483.52324074074</v>
      </c>
      <c r="X290" s="102">
        <v>44483</v>
      </c>
      <c r="Y290" s="99" t="s">
        <v>427</v>
      </c>
      <c r="Z290" s="96" t="str">
        <f>HYPERLINK("https://twitter.com/idalevanen/status/1448628020026224644")</f>
        <v>https://twitter.com/idalevanen/status/1448628020026224644</v>
      </c>
      <c r="AA290" s="90"/>
      <c r="AB290" s="90"/>
      <c r="AC290" s="99" t="s">
        <v>521</v>
      </c>
      <c r="AD290" s="90"/>
      <c r="AE290" s="90" t="b">
        <v>0</v>
      </c>
      <c r="AF290" s="90">
        <v>8</v>
      </c>
      <c r="AG290" s="99" t="s">
        <v>535</v>
      </c>
      <c r="AH290" s="90" t="b">
        <v>1</v>
      </c>
      <c r="AI290" s="90" t="s">
        <v>537</v>
      </c>
      <c r="AJ290" s="90"/>
      <c r="AK290" s="99" t="s">
        <v>523</v>
      </c>
      <c r="AL290" s="90" t="b">
        <v>0</v>
      </c>
      <c r="AM290" s="90">
        <v>3</v>
      </c>
      <c r="AN290" s="99" t="s">
        <v>535</v>
      </c>
      <c r="AO290" s="99" t="s">
        <v>542</v>
      </c>
      <c r="AP290" s="90" t="b">
        <v>0</v>
      </c>
      <c r="AQ290" s="99" t="s">
        <v>521</v>
      </c>
      <c r="AR290" s="90" t="s">
        <v>187</v>
      </c>
      <c r="AS290" s="90">
        <v>0</v>
      </c>
      <c r="AT290" s="90">
        <v>0</v>
      </c>
      <c r="AU290" s="90"/>
      <c r="AV290" s="90"/>
      <c r="AW290" s="90"/>
      <c r="AX290" s="90"/>
      <c r="AY290" s="90"/>
      <c r="AZ290" s="90"/>
      <c r="BA290" s="90"/>
      <c r="BB290" s="90"/>
      <c r="BC290" s="90">
        <v>1</v>
      </c>
      <c r="BD290" s="89" t="str">
        <f>REPLACE(INDEX(GroupVertices[Group],MATCH(Edges[[#This Row],[Vertex 1]],GroupVertices[Vertex],0)),1,1,"")</f>
        <v>2</v>
      </c>
      <c r="BE290" s="89" t="str">
        <f>REPLACE(INDEX(GroupVertices[Group],MATCH(Edges[[#This Row],[Vertex 2]],GroupVertices[Vertex],0)),1,1,"")</f>
        <v>2</v>
      </c>
      <c r="BF290" s="49"/>
      <c r="BG290" s="50"/>
      <c r="BH290" s="49"/>
      <c r="BI290" s="50"/>
      <c r="BJ290" s="49"/>
      <c r="BK290" s="50"/>
      <c r="BL290" s="49"/>
      <c r="BM290" s="50"/>
      <c r="BN290" s="49"/>
    </row>
    <row r="291" spans="1:66" ht="15">
      <c r="A291" s="66" t="s">
        <v>296</v>
      </c>
      <c r="B291" s="66" t="s">
        <v>293</v>
      </c>
      <c r="C291" s="67" t="s">
        <v>2108</v>
      </c>
      <c r="D291" s="68">
        <v>1</v>
      </c>
      <c r="E291" s="69" t="s">
        <v>132</v>
      </c>
      <c r="F291" s="70">
        <v>32</v>
      </c>
      <c r="G291" s="67" t="s">
        <v>51</v>
      </c>
      <c r="H291" s="71"/>
      <c r="I291" s="72"/>
      <c r="J291" s="72"/>
      <c r="K291" s="35" t="s">
        <v>65</v>
      </c>
      <c r="L291" s="79">
        <v>291</v>
      </c>
      <c r="M291" s="79"/>
      <c r="N291" s="74"/>
      <c r="O291" s="90" t="s">
        <v>307</v>
      </c>
      <c r="P291" s="93">
        <v>44483.52324074074</v>
      </c>
      <c r="Q291" s="90" t="s">
        <v>322</v>
      </c>
      <c r="R291" s="90" t="s">
        <v>332</v>
      </c>
      <c r="S291" s="90" t="s">
        <v>336</v>
      </c>
      <c r="T291" s="99" t="s">
        <v>343</v>
      </c>
      <c r="U291" s="90"/>
      <c r="V291" s="96" t="str">
        <f>HYPERLINK("https://pbs.twimg.com/profile_images/1417012640627535874/IT_mQUIh_normal.jpg")</f>
        <v>https://pbs.twimg.com/profile_images/1417012640627535874/IT_mQUIh_normal.jpg</v>
      </c>
      <c r="W291" s="93">
        <v>44483.52324074074</v>
      </c>
      <c r="X291" s="102">
        <v>44483</v>
      </c>
      <c r="Y291" s="99" t="s">
        <v>427</v>
      </c>
      <c r="Z291" s="96" t="str">
        <f>HYPERLINK("https://twitter.com/idalevanen/status/1448628020026224644")</f>
        <v>https://twitter.com/idalevanen/status/1448628020026224644</v>
      </c>
      <c r="AA291" s="90"/>
      <c r="AB291" s="90"/>
      <c r="AC291" s="99" t="s">
        <v>521</v>
      </c>
      <c r="AD291" s="90"/>
      <c r="AE291" s="90" t="b">
        <v>0</v>
      </c>
      <c r="AF291" s="90">
        <v>8</v>
      </c>
      <c r="AG291" s="99" t="s">
        <v>535</v>
      </c>
      <c r="AH291" s="90" t="b">
        <v>1</v>
      </c>
      <c r="AI291" s="90" t="s">
        <v>537</v>
      </c>
      <c r="AJ291" s="90"/>
      <c r="AK291" s="99" t="s">
        <v>523</v>
      </c>
      <c r="AL291" s="90" t="b">
        <v>0</v>
      </c>
      <c r="AM291" s="90">
        <v>3</v>
      </c>
      <c r="AN291" s="99" t="s">
        <v>535</v>
      </c>
      <c r="AO291" s="99" t="s">
        <v>542</v>
      </c>
      <c r="AP291" s="90" t="b">
        <v>0</v>
      </c>
      <c r="AQ291" s="99" t="s">
        <v>521</v>
      </c>
      <c r="AR291" s="90" t="s">
        <v>187</v>
      </c>
      <c r="AS291" s="90">
        <v>0</v>
      </c>
      <c r="AT291" s="90">
        <v>0</v>
      </c>
      <c r="AU291" s="90"/>
      <c r="AV291" s="90"/>
      <c r="AW291" s="90"/>
      <c r="AX291" s="90"/>
      <c r="AY291" s="90"/>
      <c r="AZ291" s="90"/>
      <c r="BA291" s="90"/>
      <c r="BB291" s="90"/>
      <c r="BC291" s="90">
        <v>1</v>
      </c>
      <c r="BD291" s="89" t="str">
        <f>REPLACE(INDEX(GroupVertices[Group],MATCH(Edges[[#This Row],[Vertex 1]],GroupVertices[Vertex],0)),1,1,"")</f>
        <v>2</v>
      </c>
      <c r="BE291" s="89" t="str">
        <f>REPLACE(INDEX(GroupVertices[Group],MATCH(Edges[[#This Row],[Vertex 2]],GroupVertices[Vertex],0)),1,1,"")</f>
        <v>3</v>
      </c>
      <c r="BF291" s="49">
        <v>0</v>
      </c>
      <c r="BG291" s="50">
        <v>0</v>
      </c>
      <c r="BH291" s="49">
        <v>0</v>
      </c>
      <c r="BI291" s="50">
        <v>0</v>
      </c>
      <c r="BJ291" s="49">
        <v>0</v>
      </c>
      <c r="BK291" s="50">
        <v>0</v>
      </c>
      <c r="BL291" s="49">
        <v>25</v>
      </c>
      <c r="BM291" s="50">
        <v>100</v>
      </c>
      <c r="BN291" s="49">
        <v>25</v>
      </c>
    </row>
    <row r="292" spans="1:66" ht="15">
      <c r="A292" s="66" t="s">
        <v>297</v>
      </c>
      <c r="B292" s="66" t="s">
        <v>296</v>
      </c>
      <c r="C292" s="67" t="s">
        <v>2108</v>
      </c>
      <c r="D292" s="68">
        <v>1</v>
      </c>
      <c r="E292" s="69" t="s">
        <v>132</v>
      </c>
      <c r="F292" s="70">
        <v>32</v>
      </c>
      <c r="G292" s="67" t="s">
        <v>51</v>
      </c>
      <c r="H292" s="71"/>
      <c r="I292" s="72"/>
      <c r="J292" s="72"/>
      <c r="K292" s="35" t="s">
        <v>66</v>
      </c>
      <c r="L292" s="79">
        <v>292</v>
      </c>
      <c r="M292" s="79"/>
      <c r="N292" s="74"/>
      <c r="O292" s="90" t="s">
        <v>305</v>
      </c>
      <c r="P292" s="93">
        <v>44483.697743055556</v>
      </c>
      <c r="Q292" s="90" t="s">
        <v>322</v>
      </c>
      <c r="R292" s="90" t="s">
        <v>332</v>
      </c>
      <c r="S292" s="90" t="s">
        <v>336</v>
      </c>
      <c r="T292" s="99" t="s">
        <v>343</v>
      </c>
      <c r="U292" s="90"/>
      <c r="V292" s="96" t="str">
        <f>HYPERLINK("https://pbs.twimg.com/profile_images/420850254418694144/-VQXHOvT_normal.jpeg")</f>
        <v>https://pbs.twimg.com/profile_images/420850254418694144/-VQXHOvT_normal.jpeg</v>
      </c>
      <c r="W292" s="93">
        <v>44483.697743055556</v>
      </c>
      <c r="X292" s="102">
        <v>44483</v>
      </c>
      <c r="Y292" s="99" t="s">
        <v>428</v>
      </c>
      <c r="Z292" s="96" t="str">
        <f>HYPERLINK("https://twitter.com/juliathuren/status/1448691256624881669")</f>
        <v>https://twitter.com/juliathuren/status/1448691256624881669</v>
      </c>
      <c r="AA292" s="90"/>
      <c r="AB292" s="90"/>
      <c r="AC292" s="99" t="s">
        <v>522</v>
      </c>
      <c r="AD292" s="90"/>
      <c r="AE292" s="90" t="b">
        <v>0</v>
      </c>
      <c r="AF292" s="90">
        <v>0</v>
      </c>
      <c r="AG292" s="99" t="s">
        <v>535</v>
      </c>
      <c r="AH292" s="90" t="b">
        <v>1</v>
      </c>
      <c r="AI292" s="90" t="s">
        <v>537</v>
      </c>
      <c r="AJ292" s="90"/>
      <c r="AK292" s="99" t="s">
        <v>523</v>
      </c>
      <c r="AL292" s="90" t="b">
        <v>0</v>
      </c>
      <c r="AM292" s="90">
        <v>3</v>
      </c>
      <c r="AN292" s="99" t="s">
        <v>521</v>
      </c>
      <c r="AO292" s="99" t="s">
        <v>543</v>
      </c>
      <c r="AP292" s="90" t="b">
        <v>0</v>
      </c>
      <c r="AQ292" s="99" t="s">
        <v>521</v>
      </c>
      <c r="AR292" s="90" t="s">
        <v>187</v>
      </c>
      <c r="AS292" s="90">
        <v>0</v>
      </c>
      <c r="AT292" s="90">
        <v>0</v>
      </c>
      <c r="AU292" s="90"/>
      <c r="AV292" s="90"/>
      <c r="AW292" s="90"/>
      <c r="AX292" s="90"/>
      <c r="AY292" s="90"/>
      <c r="AZ292" s="90"/>
      <c r="BA292" s="90"/>
      <c r="BB292" s="90"/>
      <c r="BC292" s="90">
        <v>1</v>
      </c>
      <c r="BD292" s="89" t="str">
        <f>REPLACE(INDEX(GroupVertices[Group],MATCH(Edges[[#This Row],[Vertex 1]],GroupVertices[Vertex],0)),1,1,"")</f>
        <v>2</v>
      </c>
      <c r="BE292" s="89" t="str">
        <f>REPLACE(INDEX(GroupVertices[Group],MATCH(Edges[[#This Row],[Vertex 2]],GroupVertices[Vertex],0)),1,1,"")</f>
        <v>2</v>
      </c>
      <c r="BF292" s="49">
        <v>0</v>
      </c>
      <c r="BG292" s="50">
        <v>0</v>
      </c>
      <c r="BH292" s="49">
        <v>0</v>
      </c>
      <c r="BI292" s="50">
        <v>0</v>
      </c>
      <c r="BJ292" s="49">
        <v>0</v>
      </c>
      <c r="BK292" s="50">
        <v>0</v>
      </c>
      <c r="BL292" s="49">
        <v>25</v>
      </c>
      <c r="BM292" s="50">
        <v>100</v>
      </c>
      <c r="BN292" s="49">
        <v>25</v>
      </c>
    </row>
    <row r="293" spans="1:66" ht="15">
      <c r="A293" s="66" t="s">
        <v>297</v>
      </c>
      <c r="B293" s="66" t="s">
        <v>295</v>
      </c>
      <c r="C293" s="67" t="s">
        <v>2108</v>
      </c>
      <c r="D293" s="68">
        <v>1</v>
      </c>
      <c r="E293" s="69" t="s">
        <v>132</v>
      </c>
      <c r="F293" s="70">
        <v>32</v>
      </c>
      <c r="G293" s="67" t="s">
        <v>51</v>
      </c>
      <c r="H293" s="71"/>
      <c r="I293" s="72"/>
      <c r="J293" s="72"/>
      <c r="K293" s="35" t="s">
        <v>65</v>
      </c>
      <c r="L293" s="79">
        <v>293</v>
      </c>
      <c r="M293" s="79"/>
      <c r="N293" s="74"/>
      <c r="O293" s="90" t="s">
        <v>306</v>
      </c>
      <c r="P293" s="93">
        <v>44483.697743055556</v>
      </c>
      <c r="Q293" s="90" t="s">
        <v>322</v>
      </c>
      <c r="R293" s="90" t="s">
        <v>332</v>
      </c>
      <c r="S293" s="90" t="s">
        <v>336</v>
      </c>
      <c r="T293" s="99" t="s">
        <v>343</v>
      </c>
      <c r="U293" s="90"/>
      <c r="V293" s="96" t="str">
        <f>HYPERLINK("https://pbs.twimg.com/profile_images/420850254418694144/-VQXHOvT_normal.jpeg")</f>
        <v>https://pbs.twimg.com/profile_images/420850254418694144/-VQXHOvT_normal.jpeg</v>
      </c>
      <c r="W293" s="93">
        <v>44483.697743055556</v>
      </c>
      <c r="X293" s="102">
        <v>44483</v>
      </c>
      <c r="Y293" s="99" t="s">
        <v>428</v>
      </c>
      <c r="Z293" s="96" t="str">
        <f>HYPERLINK("https://twitter.com/juliathuren/status/1448691256624881669")</f>
        <v>https://twitter.com/juliathuren/status/1448691256624881669</v>
      </c>
      <c r="AA293" s="90"/>
      <c r="AB293" s="90"/>
      <c r="AC293" s="99" t="s">
        <v>522</v>
      </c>
      <c r="AD293" s="90"/>
      <c r="AE293" s="90" t="b">
        <v>0</v>
      </c>
      <c r="AF293" s="90">
        <v>0</v>
      </c>
      <c r="AG293" s="99" t="s">
        <v>535</v>
      </c>
      <c r="AH293" s="90" t="b">
        <v>1</v>
      </c>
      <c r="AI293" s="90" t="s">
        <v>537</v>
      </c>
      <c r="AJ293" s="90"/>
      <c r="AK293" s="99" t="s">
        <v>523</v>
      </c>
      <c r="AL293" s="90" t="b">
        <v>0</v>
      </c>
      <c r="AM293" s="90">
        <v>3</v>
      </c>
      <c r="AN293" s="99" t="s">
        <v>521</v>
      </c>
      <c r="AO293" s="99" t="s">
        <v>543</v>
      </c>
      <c r="AP293" s="90" t="b">
        <v>0</v>
      </c>
      <c r="AQ293" s="99" t="s">
        <v>521</v>
      </c>
      <c r="AR293" s="90" t="s">
        <v>187</v>
      </c>
      <c r="AS293" s="90">
        <v>0</v>
      </c>
      <c r="AT293" s="90">
        <v>0</v>
      </c>
      <c r="AU293" s="90"/>
      <c r="AV293" s="90"/>
      <c r="AW293" s="90"/>
      <c r="AX293" s="90"/>
      <c r="AY293" s="90"/>
      <c r="AZ293" s="90"/>
      <c r="BA293" s="90"/>
      <c r="BB293" s="90"/>
      <c r="BC293" s="90">
        <v>1</v>
      </c>
      <c r="BD293" s="89" t="str">
        <f>REPLACE(INDEX(GroupVertices[Group],MATCH(Edges[[#This Row],[Vertex 1]],GroupVertices[Vertex],0)),1,1,"")</f>
        <v>2</v>
      </c>
      <c r="BE293" s="89" t="str">
        <f>REPLACE(INDEX(GroupVertices[Group],MATCH(Edges[[#This Row],[Vertex 2]],GroupVertices[Vertex],0)),1,1,"")</f>
        <v>2</v>
      </c>
      <c r="BF293" s="49"/>
      <c r="BG293" s="50"/>
      <c r="BH293" s="49"/>
      <c r="BI293" s="50"/>
      <c r="BJ293" s="49"/>
      <c r="BK293" s="50"/>
      <c r="BL293" s="49"/>
      <c r="BM293" s="50"/>
      <c r="BN293" s="49"/>
    </row>
    <row r="294" spans="1:66" ht="15">
      <c r="A294" s="66" t="s">
        <v>297</v>
      </c>
      <c r="B294" s="66" t="s">
        <v>293</v>
      </c>
      <c r="C294" s="67" t="s">
        <v>2108</v>
      </c>
      <c r="D294" s="68">
        <v>1</v>
      </c>
      <c r="E294" s="69" t="s">
        <v>132</v>
      </c>
      <c r="F294" s="70">
        <v>32</v>
      </c>
      <c r="G294" s="67" t="s">
        <v>51</v>
      </c>
      <c r="H294" s="71"/>
      <c r="I294" s="72"/>
      <c r="J294" s="72"/>
      <c r="K294" s="35" t="s">
        <v>65</v>
      </c>
      <c r="L294" s="79">
        <v>294</v>
      </c>
      <c r="M294" s="79"/>
      <c r="N294" s="74"/>
      <c r="O294" s="90" t="s">
        <v>306</v>
      </c>
      <c r="P294" s="93">
        <v>44483.697743055556</v>
      </c>
      <c r="Q294" s="90" t="s">
        <v>322</v>
      </c>
      <c r="R294" s="90" t="s">
        <v>332</v>
      </c>
      <c r="S294" s="90" t="s">
        <v>336</v>
      </c>
      <c r="T294" s="99" t="s">
        <v>343</v>
      </c>
      <c r="U294" s="90"/>
      <c r="V294" s="96" t="str">
        <f>HYPERLINK("https://pbs.twimg.com/profile_images/420850254418694144/-VQXHOvT_normal.jpeg")</f>
        <v>https://pbs.twimg.com/profile_images/420850254418694144/-VQXHOvT_normal.jpeg</v>
      </c>
      <c r="W294" s="93">
        <v>44483.697743055556</v>
      </c>
      <c r="X294" s="102">
        <v>44483</v>
      </c>
      <c r="Y294" s="99" t="s">
        <v>428</v>
      </c>
      <c r="Z294" s="96" t="str">
        <f>HYPERLINK("https://twitter.com/juliathuren/status/1448691256624881669")</f>
        <v>https://twitter.com/juliathuren/status/1448691256624881669</v>
      </c>
      <c r="AA294" s="90"/>
      <c r="AB294" s="90"/>
      <c r="AC294" s="99" t="s">
        <v>522</v>
      </c>
      <c r="AD294" s="90"/>
      <c r="AE294" s="90" t="b">
        <v>0</v>
      </c>
      <c r="AF294" s="90">
        <v>0</v>
      </c>
      <c r="AG294" s="99" t="s">
        <v>535</v>
      </c>
      <c r="AH294" s="90" t="b">
        <v>1</v>
      </c>
      <c r="AI294" s="90" t="s">
        <v>537</v>
      </c>
      <c r="AJ294" s="90"/>
      <c r="AK294" s="99" t="s">
        <v>523</v>
      </c>
      <c r="AL294" s="90" t="b">
        <v>0</v>
      </c>
      <c r="AM294" s="90">
        <v>3</v>
      </c>
      <c r="AN294" s="99" t="s">
        <v>521</v>
      </c>
      <c r="AO294" s="99" t="s">
        <v>543</v>
      </c>
      <c r="AP294" s="90" t="b">
        <v>0</v>
      </c>
      <c r="AQ294" s="99" t="s">
        <v>521</v>
      </c>
      <c r="AR294" s="90" t="s">
        <v>187</v>
      </c>
      <c r="AS294" s="90">
        <v>0</v>
      </c>
      <c r="AT294" s="90">
        <v>0</v>
      </c>
      <c r="AU294" s="90"/>
      <c r="AV294" s="90"/>
      <c r="AW294" s="90"/>
      <c r="AX294" s="90"/>
      <c r="AY294" s="90"/>
      <c r="AZ294" s="90"/>
      <c r="BA294" s="90"/>
      <c r="BB294" s="90"/>
      <c r="BC294" s="90">
        <v>1</v>
      </c>
      <c r="BD294" s="89" t="str">
        <f>REPLACE(INDEX(GroupVertices[Group],MATCH(Edges[[#This Row],[Vertex 1]],GroupVertices[Vertex],0)),1,1,"")</f>
        <v>2</v>
      </c>
      <c r="BE294" s="89" t="str">
        <f>REPLACE(INDEX(GroupVertices[Group],MATCH(Edges[[#This Row],[Vertex 2]],GroupVertices[Vertex],0)),1,1,"")</f>
        <v>3</v>
      </c>
      <c r="BF294" s="49"/>
      <c r="BG294" s="50"/>
      <c r="BH294" s="49"/>
      <c r="BI294" s="50"/>
      <c r="BJ294" s="49"/>
      <c r="BK294" s="50"/>
      <c r="BL294" s="49"/>
      <c r="BM294" s="50"/>
      <c r="BN294" s="49"/>
    </row>
    <row r="295" spans="1:66" ht="15">
      <c r="A295" s="66" t="s">
        <v>298</v>
      </c>
      <c r="B295" s="66" t="s">
        <v>299</v>
      </c>
      <c r="C295" s="67" t="s">
        <v>2108</v>
      </c>
      <c r="D295" s="68">
        <v>1</v>
      </c>
      <c r="E295" s="69" t="s">
        <v>132</v>
      </c>
      <c r="F295" s="70">
        <v>32</v>
      </c>
      <c r="G295" s="67" t="s">
        <v>51</v>
      </c>
      <c r="H295" s="71"/>
      <c r="I295" s="72"/>
      <c r="J295" s="72"/>
      <c r="K295" s="35" t="s">
        <v>65</v>
      </c>
      <c r="L295" s="79">
        <v>295</v>
      </c>
      <c r="M295" s="79"/>
      <c r="N295" s="74"/>
      <c r="O295" s="90" t="s">
        <v>306</v>
      </c>
      <c r="P295" s="93">
        <v>44483.70652777778</v>
      </c>
      <c r="Q295" s="90" t="s">
        <v>310</v>
      </c>
      <c r="R295" s="96" t="str">
        <f>HYPERLINK("https://talouskurssi.fi/")</f>
        <v>https://talouskurssi.fi/</v>
      </c>
      <c r="S295" s="90" t="s">
        <v>334</v>
      </c>
      <c r="T295" s="99" t="s">
        <v>338</v>
      </c>
      <c r="U295" s="96" t="str">
        <f>HYPERLINK("https://pbs.twimg.com/ext_tw_video_thumb/1448527896562348036/pu/img/0PqSbNMaXHvzKHCc.jpg")</f>
        <v>https://pbs.twimg.com/ext_tw_video_thumb/1448527896562348036/pu/img/0PqSbNMaXHvzKHCc.jpg</v>
      </c>
      <c r="V295" s="96" t="str">
        <f>HYPERLINK("https://pbs.twimg.com/ext_tw_video_thumb/1448527896562348036/pu/img/0PqSbNMaXHvzKHCc.jpg")</f>
        <v>https://pbs.twimg.com/ext_tw_video_thumb/1448527896562348036/pu/img/0PqSbNMaXHvzKHCc.jpg</v>
      </c>
      <c r="W295" s="93">
        <v>44483.70652777778</v>
      </c>
      <c r="X295" s="102">
        <v>44483</v>
      </c>
      <c r="Y295" s="99" t="s">
        <v>430</v>
      </c>
      <c r="Z295" s="96" t="str">
        <f>HYPERLINK("https://twitter.com/tanjaremes/status/1448694439304744968")</f>
        <v>https://twitter.com/tanjaremes/status/1448694439304744968</v>
      </c>
      <c r="AA295" s="90"/>
      <c r="AB295" s="90"/>
      <c r="AC295" s="99" t="s">
        <v>524</v>
      </c>
      <c r="AD295" s="90"/>
      <c r="AE295" s="90" t="b">
        <v>0</v>
      </c>
      <c r="AF295" s="90">
        <v>0</v>
      </c>
      <c r="AG295" s="99" t="s">
        <v>535</v>
      </c>
      <c r="AH295" s="90" t="b">
        <v>0</v>
      </c>
      <c r="AI295" s="90" t="s">
        <v>537</v>
      </c>
      <c r="AJ295" s="90"/>
      <c r="AK295" s="99" t="s">
        <v>535</v>
      </c>
      <c r="AL295" s="90" t="b">
        <v>0</v>
      </c>
      <c r="AM295" s="90">
        <v>52</v>
      </c>
      <c r="AN295" s="99" t="s">
        <v>526</v>
      </c>
      <c r="AO295" s="99" t="s">
        <v>543</v>
      </c>
      <c r="AP295" s="90" t="b">
        <v>0</v>
      </c>
      <c r="AQ295" s="99" t="s">
        <v>526</v>
      </c>
      <c r="AR295" s="90" t="s">
        <v>187</v>
      </c>
      <c r="AS295" s="90">
        <v>0</v>
      </c>
      <c r="AT295" s="90">
        <v>0</v>
      </c>
      <c r="AU295" s="90"/>
      <c r="AV295" s="90"/>
      <c r="AW295" s="90"/>
      <c r="AX295" s="90"/>
      <c r="AY295" s="90"/>
      <c r="AZ295" s="90"/>
      <c r="BA295" s="90"/>
      <c r="BB295" s="90"/>
      <c r="BC295" s="90">
        <v>1</v>
      </c>
      <c r="BD295" s="89" t="str">
        <f>REPLACE(INDEX(GroupVertices[Group],MATCH(Edges[[#This Row],[Vertex 1]],GroupVertices[Vertex],0)),1,1,"")</f>
        <v>1</v>
      </c>
      <c r="BE295" s="89" t="str">
        <f>REPLACE(INDEX(GroupVertices[Group],MATCH(Edges[[#This Row],[Vertex 2]],GroupVertices[Vertex],0)),1,1,"")</f>
        <v>1</v>
      </c>
      <c r="BF295" s="49"/>
      <c r="BG295" s="50"/>
      <c r="BH295" s="49"/>
      <c r="BI295" s="50"/>
      <c r="BJ295" s="49"/>
      <c r="BK295" s="50"/>
      <c r="BL295" s="49"/>
      <c r="BM295" s="50"/>
      <c r="BN295" s="49"/>
    </row>
    <row r="296" spans="1:66" ht="15">
      <c r="A296" s="66" t="s">
        <v>298</v>
      </c>
      <c r="B296" s="66" t="s">
        <v>302</v>
      </c>
      <c r="C296" s="67" t="s">
        <v>2108</v>
      </c>
      <c r="D296" s="68">
        <v>1</v>
      </c>
      <c r="E296" s="69" t="s">
        <v>132</v>
      </c>
      <c r="F296" s="70">
        <v>32</v>
      </c>
      <c r="G296" s="67" t="s">
        <v>51</v>
      </c>
      <c r="H296" s="71"/>
      <c r="I296" s="72"/>
      <c r="J296" s="72"/>
      <c r="K296" s="35" t="s">
        <v>65</v>
      </c>
      <c r="L296" s="79">
        <v>296</v>
      </c>
      <c r="M296" s="79"/>
      <c r="N296" s="74"/>
      <c r="O296" s="90" t="s">
        <v>306</v>
      </c>
      <c r="P296" s="93">
        <v>44483.70652777778</v>
      </c>
      <c r="Q296" s="90" t="s">
        <v>310</v>
      </c>
      <c r="R296" s="96" t="str">
        <f>HYPERLINK("https://talouskurssi.fi/")</f>
        <v>https://talouskurssi.fi/</v>
      </c>
      <c r="S296" s="90" t="s">
        <v>334</v>
      </c>
      <c r="T296" s="99" t="s">
        <v>338</v>
      </c>
      <c r="U296" s="96" t="str">
        <f>HYPERLINK("https://pbs.twimg.com/ext_tw_video_thumb/1448527896562348036/pu/img/0PqSbNMaXHvzKHCc.jpg")</f>
        <v>https://pbs.twimg.com/ext_tw_video_thumb/1448527896562348036/pu/img/0PqSbNMaXHvzKHCc.jpg</v>
      </c>
      <c r="V296" s="96" t="str">
        <f>HYPERLINK("https://pbs.twimg.com/ext_tw_video_thumb/1448527896562348036/pu/img/0PqSbNMaXHvzKHCc.jpg")</f>
        <v>https://pbs.twimg.com/ext_tw_video_thumb/1448527896562348036/pu/img/0PqSbNMaXHvzKHCc.jpg</v>
      </c>
      <c r="W296" s="93">
        <v>44483.70652777778</v>
      </c>
      <c r="X296" s="102">
        <v>44483</v>
      </c>
      <c r="Y296" s="99" t="s">
        <v>430</v>
      </c>
      <c r="Z296" s="96" t="str">
        <f>HYPERLINK("https://twitter.com/tanjaremes/status/1448694439304744968")</f>
        <v>https://twitter.com/tanjaremes/status/1448694439304744968</v>
      </c>
      <c r="AA296" s="90"/>
      <c r="AB296" s="90"/>
      <c r="AC296" s="99" t="s">
        <v>524</v>
      </c>
      <c r="AD296" s="90"/>
      <c r="AE296" s="90" t="b">
        <v>0</v>
      </c>
      <c r="AF296" s="90">
        <v>0</v>
      </c>
      <c r="AG296" s="99" t="s">
        <v>535</v>
      </c>
      <c r="AH296" s="90" t="b">
        <v>0</v>
      </c>
      <c r="AI296" s="90" t="s">
        <v>537</v>
      </c>
      <c r="AJ296" s="90"/>
      <c r="AK296" s="99" t="s">
        <v>535</v>
      </c>
      <c r="AL296" s="90" t="b">
        <v>0</v>
      </c>
      <c r="AM296" s="90">
        <v>52</v>
      </c>
      <c r="AN296" s="99" t="s">
        <v>526</v>
      </c>
      <c r="AO296" s="99" t="s">
        <v>543</v>
      </c>
      <c r="AP296" s="90" t="b">
        <v>0</v>
      </c>
      <c r="AQ296" s="99" t="s">
        <v>526</v>
      </c>
      <c r="AR296" s="90" t="s">
        <v>187</v>
      </c>
      <c r="AS296" s="90">
        <v>0</v>
      </c>
      <c r="AT296" s="90">
        <v>0</v>
      </c>
      <c r="AU296" s="90"/>
      <c r="AV296" s="90"/>
      <c r="AW296" s="90"/>
      <c r="AX296" s="90"/>
      <c r="AY296" s="90"/>
      <c r="AZ296" s="90"/>
      <c r="BA296" s="90"/>
      <c r="BB296" s="90"/>
      <c r="BC296" s="90">
        <v>1</v>
      </c>
      <c r="BD296" s="89" t="str">
        <f>REPLACE(INDEX(GroupVertices[Group],MATCH(Edges[[#This Row],[Vertex 1]],GroupVertices[Vertex],0)),1,1,"")</f>
        <v>1</v>
      </c>
      <c r="BE296" s="89" t="str">
        <f>REPLACE(INDEX(GroupVertices[Group],MATCH(Edges[[#This Row],[Vertex 2]],GroupVertices[Vertex],0)),1,1,"")</f>
        <v>1</v>
      </c>
      <c r="BF296" s="49"/>
      <c r="BG296" s="50"/>
      <c r="BH296" s="49"/>
      <c r="BI296" s="50"/>
      <c r="BJ296" s="49"/>
      <c r="BK296" s="50"/>
      <c r="BL296" s="49"/>
      <c r="BM296" s="50"/>
      <c r="BN296" s="49"/>
    </row>
    <row r="297" spans="1:66" ht="15">
      <c r="A297" s="66" t="s">
        <v>298</v>
      </c>
      <c r="B297" s="66" t="s">
        <v>293</v>
      </c>
      <c r="C297" s="67" t="s">
        <v>2108</v>
      </c>
      <c r="D297" s="68">
        <v>1</v>
      </c>
      <c r="E297" s="69" t="s">
        <v>132</v>
      </c>
      <c r="F297" s="70">
        <v>32</v>
      </c>
      <c r="G297" s="67" t="s">
        <v>51</v>
      </c>
      <c r="H297" s="71"/>
      <c r="I297" s="72"/>
      <c r="J297" s="72"/>
      <c r="K297" s="35" t="s">
        <v>65</v>
      </c>
      <c r="L297" s="79">
        <v>297</v>
      </c>
      <c r="M297" s="79"/>
      <c r="N297" s="74"/>
      <c r="O297" s="90" t="s">
        <v>305</v>
      </c>
      <c r="P297" s="93">
        <v>44483.70652777778</v>
      </c>
      <c r="Q297" s="90" t="s">
        <v>310</v>
      </c>
      <c r="R297" s="96" t="str">
        <f>HYPERLINK("https://talouskurssi.fi/")</f>
        <v>https://talouskurssi.fi/</v>
      </c>
      <c r="S297" s="90" t="s">
        <v>334</v>
      </c>
      <c r="T297" s="99" t="s">
        <v>338</v>
      </c>
      <c r="U297" s="96" t="str">
        <f>HYPERLINK("https://pbs.twimg.com/ext_tw_video_thumb/1448527896562348036/pu/img/0PqSbNMaXHvzKHCc.jpg")</f>
        <v>https://pbs.twimg.com/ext_tw_video_thumb/1448527896562348036/pu/img/0PqSbNMaXHvzKHCc.jpg</v>
      </c>
      <c r="V297" s="96" t="str">
        <f>HYPERLINK("https://pbs.twimg.com/ext_tw_video_thumb/1448527896562348036/pu/img/0PqSbNMaXHvzKHCc.jpg")</f>
        <v>https://pbs.twimg.com/ext_tw_video_thumb/1448527896562348036/pu/img/0PqSbNMaXHvzKHCc.jpg</v>
      </c>
      <c r="W297" s="93">
        <v>44483.70652777778</v>
      </c>
      <c r="X297" s="102">
        <v>44483</v>
      </c>
      <c r="Y297" s="99" t="s">
        <v>430</v>
      </c>
      <c r="Z297" s="96" t="str">
        <f>HYPERLINK("https://twitter.com/tanjaremes/status/1448694439304744968")</f>
        <v>https://twitter.com/tanjaremes/status/1448694439304744968</v>
      </c>
      <c r="AA297" s="90"/>
      <c r="AB297" s="90"/>
      <c r="AC297" s="99" t="s">
        <v>524</v>
      </c>
      <c r="AD297" s="90"/>
      <c r="AE297" s="90" t="b">
        <v>0</v>
      </c>
      <c r="AF297" s="90">
        <v>0</v>
      </c>
      <c r="AG297" s="99" t="s">
        <v>535</v>
      </c>
      <c r="AH297" s="90" t="b">
        <v>0</v>
      </c>
      <c r="AI297" s="90" t="s">
        <v>537</v>
      </c>
      <c r="AJ297" s="90"/>
      <c r="AK297" s="99" t="s">
        <v>535</v>
      </c>
      <c r="AL297" s="90" t="b">
        <v>0</v>
      </c>
      <c r="AM297" s="90">
        <v>52</v>
      </c>
      <c r="AN297" s="99" t="s">
        <v>526</v>
      </c>
      <c r="AO297" s="99" t="s">
        <v>543</v>
      </c>
      <c r="AP297" s="90" t="b">
        <v>0</v>
      </c>
      <c r="AQ297" s="99" t="s">
        <v>526</v>
      </c>
      <c r="AR297" s="90" t="s">
        <v>187</v>
      </c>
      <c r="AS297" s="90">
        <v>0</v>
      </c>
      <c r="AT297" s="90">
        <v>0</v>
      </c>
      <c r="AU297" s="90"/>
      <c r="AV297" s="90"/>
      <c r="AW297" s="90"/>
      <c r="AX297" s="90"/>
      <c r="AY297" s="90"/>
      <c r="AZ297" s="90"/>
      <c r="BA297" s="90"/>
      <c r="BB297" s="90"/>
      <c r="BC297" s="90">
        <v>1</v>
      </c>
      <c r="BD297" s="89" t="str">
        <f>REPLACE(INDEX(GroupVertices[Group],MATCH(Edges[[#This Row],[Vertex 1]],GroupVertices[Vertex],0)),1,1,"")</f>
        <v>1</v>
      </c>
      <c r="BE297" s="89" t="str">
        <f>REPLACE(INDEX(GroupVertices[Group],MATCH(Edges[[#This Row],[Vertex 2]],GroupVertices[Vertex],0)),1,1,"")</f>
        <v>3</v>
      </c>
      <c r="BF297" s="49">
        <v>0</v>
      </c>
      <c r="BG297" s="50">
        <v>0</v>
      </c>
      <c r="BH297" s="49">
        <v>0</v>
      </c>
      <c r="BI297" s="50">
        <v>0</v>
      </c>
      <c r="BJ297" s="49">
        <v>0</v>
      </c>
      <c r="BK297" s="50">
        <v>0</v>
      </c>
      <c r="BL297" s="49">
        <v>28</v>
      </c>
      <c r="BM297" s="50">
        <v>100</v>
      </c>
      <c r="BN297" s="49">
        <v>28</v>
      </c>
    </row>
    <row r="298" spans="1:66" ht="15">
      <c r="A298" s="66" t="s">
        <v>2133</v>
      </c>
      <c r="B298" s="66" t="s">
        <v>2133</v>
      </c>
      <c r="C298" s="67" t="s">
        <v>2108</v>
      </c>
      <c r="D298" s="68">
        <v>1</v>
      </c>
      <c r="E298" s="69" t="s">
        <v>132</v>
      </c>
      <c r="F298" s="70">
        <v>32</v>
      </c>
      <c r="G298" s="67" t="s">
        <v>51</v>
      </c>
      <c r="H298" s="71"/>
      <c r="I298" s="72"/>
      <c r="J298" s="72"/>
      <c r="K298" s="35" t="s">
        <v>65</v>
      </c>
      <c r="L298" s="79">
        <v>298</v>
      </c>
      <c r="M298" s="79"/>
      <c r="N298" s="74"/>
      <c r="O298" s="90" t="s">
        <v>187</v>
      </c>
      <c r="P298" s="93">
        <v>44483.35020833334</v>
      </c>
      <c r="Q298" s="90" t="s">
        <v>2141</v>
      </c>
      <c r="R298" s="90" t="s">
        <v>2150</v>
      </c>
      <c r="S298" s="90" t="s">
        <v>2152</v>
      </c>
      <c r="T298" s="90"/>
      <c r="U298" s="90"/>
      <c r="V298" s="96" t="str">
        <f>HYPERLINK("https://pbs.twimg.com/profile_images/1553301676/3a842e8_normal.jpg")</f>
        <v>https://pbs.twimg.com/profile_images/1553301676/3a842e8_normal.jpg</v>
      </c>
      <c r="W298" s="93">
        <v>44483.35020833334</v>
      </c>
      <c r="X298" s="102">
        <v>44483</v>
      </c>
      <c r="Y298" s="99" t="s">
        <v>2184</v>
      </c>
      <c r="Z298" s="96" t="str">
        <f>HYPERLINK("https://twitter.com/mikaelcollan/status/1448565312585097217")</f>
        <v>https://twitter.com/mikaelcollan/status/1448565312585097217</v>
      </c>
      <c r="AA298" s="90"/>
      <c r="AB298" s="90"/>
      <c r="AC298" s="99" t="s">
        <v>2230</v>
      </c>
      <c r="AD298" s="90"/>
      <c r="AE298" s="90" t="b">
        <v>0</v>
      </c>
      <c r="AF298" s="90">
        <v>15</v>
      </c>
      <c r="AG298" s="99" t="s">
        <v>535</v>
      </c>
      <c r="AH298" s="90" t="b">
        <v>0</v>
      </c>
      <c r="AI298" s="90" t="s">
        <v>537</v>
      </c>
      <c r="AJ298" s="90"/>
      <c r="AK298" s="99" t="s">
        <v>535</v>
      </c>
      <c r="AL298" s="90" t="b">
        <v>0</v>
      </c>
      <c r="AM298" s="90">
        <v>4</v>
      </c>
      <c r="AN298" s="99" t="s">
        <v>535</v>
      </c>
      <c r="AO298" s="99" t="s">
        <v>2246</v>
      </c>
      <c r="AP298" s="90" t="b">
        <v>0</v>
      </c>
      <c r="AQ298" s="99" t="s">
        <v>2230</v>
      </c>
      <c r="AR298" s="90" t="s">
        <v>187</v>
      </c>
      <c r="AS298" s="90">
        <v>0</v>
      </c>
      <c r="AT298" s="90">
        <v>0</v>
      </c>
      <c r="AU298" s="90"/>
      <c r="AV298" s="90"/>
      <c r="AW298" s="90"/>
      <c r="AX298" s="90"/>
      <c r="AY298" s="90"/>
      <c r="AZ298" s="90"/>
      <c r="BA298" s="90"/>
      <c r="BB298" s="90"/>
      <c r="BC298" s="90">
        <v>1</v>
      </c>
      <c r="BD298" s="89" t="str">
        <f>REPLACE(INDEX(GroupVertices[Group],MATCH(Edges[[#This Row],[Vertex 1]],GroupVertices[Vertex],0)),1,1,"")</f>
        <v>3</v>
      </c>
      <c r="BE298" s="89" t="str">
        <f>REPLACE(INDEX(GroupVertices[Group],MATCH(Edges[[#This Row],[Vertex 2]],GroupVertices[Vertex],0)),1,1,"")</f>
        <v>3</v>
      </c>
      <c r="BF298" s="49">
        <v>0</v>
      </c>
      <c r="BG298" s="50">
        <v>0</v>
      </c>
      <c r="BH298" s="49">
        <v>0</v>
      </c>
      <c r="BI298" s="50">
        <v>0</v>
      </c>
      <c r="BJ298" s="49">
        <v>0</v>
      </c>
      <c r="BK298" s="50">
        <v>0</v>
      </c>
      <c r="BL298" s="49">
        <v>31</v>
      </c>
      <c r="BM298" s="50">
        <v>100</v>
      </c>
      <c r="BN298" s="49">
        <v>31</v>
      </c>
    </row>
    <row r="299" spans="1:66" ht="15">
      <c r="A299" s="66" t="s">
        <v>293</v>
      </c>
      <c r="B299" s="66" t="s">
        <v>2133</v>
      </c>
      <c r="C299" s="67" t="s">
        <v>2108</v>
      </c>
      <c r="D299" s="68">
        <v>1</v>
      </c>
      <c r="E299" s="69" t="s">
        <v>132</v>
      </c>
      <c r="F299" s="70">
        <v>32</v>
      </c>
      <c r="G299" s="67" t="s">
        <v>51</v>
      </c>
      <c r="H299" s="71"/>
      <c r="I299" s="72"/>
      <c r="J299" s="72"/>
      <c r="K299" s="35" t="s">
        <v>65</v>
      </c>
      <c r="L299" s="79">
        <v>299</v>
      </c>
      <c r="M299" s="79"/>
      <c r="N299" s="74"/>
      <c r="O299" s="90" t="s">
        <v>305</v>
      </c>
      <c r="P299" s="93">
        <v>44483.362233796295</v>
      </c>
      <c r="Q299" s="90" t="s">
        <v>2141</v>
      </c>
      <c r="R299" s="90" t="s">
        <v>2150</v>
      </c>
      <c r="S299" s="90" t="s">
        <v>2152</v>
      </c>
      <c r="T299" s="90"/>
      <c r="U299" s="90"/>
      <c r="V299" s="96" t="str">
        <f>HYPERLINK("https://pbs.twimg.com/profile_images/1448535539880243200/KmRATUa5_normal.jpg")</f>
        <v>https://pbs.twimg.com/profile_images/1448535539880243200/KmRATUa5_normal.jpg</v>
      </c>
      <c r="W299" s="93">
        <v>44483.362233796295</v>
      </c>
      <c r="X299" s="102">
        <v>44483</v>
      </c>
      <c r="Y299" s="99" t="s">
        <v>2185</v>
      </c>
      <c r="Z299" s="96" t="str">
        <f>HYPERLINK("https://twitter.com/helsinkigse/status/1448569671477829633")</f>
        <v>https://twitter.com/helsinkigse/status/1448569671477829633</v>
      </c>
      <c r="AA299" s="90"/>
      <c r="AB299" s="90"/>
      <c r="AC299" s="99" t="s">
        <v>2231</v>
      </c>
      <c r="AD299" s="90"/>
      <c r="AE299" s="90" t="b">
        <v>0</v>
      </c>
      <c r="AF299" s="90">
        <v>0</v>
      </c>
      <c r="AG299" s="99" t="s">
        <v>535</v>
      </c>
      <c r="AH299" s="90" t="b">
        <v>0</v>
      </c>
      <c r="AI299" s="90" t="s">
        <v>537</v>
      </c>
      <c r="AJ299" s="90"/>
      <c r="AK299" s="99" t="s">
        <v>535</v>
      </c>
      <c r="AL299" s="90" t="b">
        <v>0</v>
      </c>
      <c r="AM299" s="90">
        <v>4</v>
      </c>
      <c r="AN299" s="99" t="s">
        <v>2230</v>
      </c>
      <c r="AO299" s="99" t="s">
        <v>542</v>
      </c>
      <c r="AP299" s="90" t="b">
        <v>0</v>
      </c>
      <c r="AQ299" s="99" t="s">
        <v>2230</v>
      </c>
      <c r="AR299" s="90" t="s">
        <v>187</v>
      </c>
      <c r="AS299" s="90">
        <v>0</v>
      </c>
      <c r="AT299" s="90">
        <v>0</v>
      </c>
      <c r="AU299" s="90"/>
      <c r="AV299" s="90"/>
      <c r="AW299" s="90"/>
      <c r="AX299" s="90"/>
      <c r="AY299" s="90"/>
      <c r="AZ299" s="90"/>
      <c r="BA299" s="90"/>
      <c r="BB299" s="90"/>
      <c r="BC299" s="90">
        <v>1</v>
      </c>
      <c r="BD299" s="89" t="str">
        <f>REPLACE(INDEX(GroupVertices[Group],MATCH(Edges[[#This Row],[Vertex 1]],GroupVertices[Vertex],0)),1,1,"")</f>
        <v>3</v>
      </c>
      <c r="BE299" s="89" t="str">
        <f>REPLACE(INDEX(GroupVertices[Group],MATCH(Edges[[#This Row],[Vertex 2]],GroupVertices[Vertex],0)),1,1,"")</f>
        <v>3</v>
      </c>
      <c r="BF299" s="49">
        <v>0</v>
      </c>
      <c r="BG299" s="50">
        <v>0</v>
      </c>
      <c r="BH299" s="49">
        <v>0</v>
      </c>
      <c r="BI299" s="50">
        <v>0</v>
      </c>
      <c r="BJ299" s="49">
        <v>0</v>
      </c>
      <c r="BK299" s="50">
        <v>0</v>
      </c>
      <c r="BL299" s="49">
        <v>31</v>
      </c>
      <c r="BM299" s="50">
        <v>100</v>
      </c>
      <c r="BN299" s="49">
        <v>31</v>
      </c>
    </row>
    <row r="300" spans="1:66" ht="15">
      <c r="A300" s="66" t="s">
        <v>294</v>
      </c>
      <c r="B300" s="66" t="s">
        <v>299</v>
      </c>
      <c r="C300" s="67" t="s">
        <v>2108</v>
      </c>
      <c r="D300" s="68">
        <v>1</v>
      </c>
      <c r="E300" s="69" t="s">
        <v>132</v>
      </c>
      <c r="F300" s="70">
        <v>32</v>
      </c>
      <c r="G300" s="67" t="s">
        <v>51</v>
      </c>
      <c r="H300" s="71"/>
      <c r="I300" s="72"/>
      <c r="J300" s="72"/>
      <c r="K300" s="35" t="s">
        <v>65</v>
      </c>
      <c r="L300" s="79">
        <v>300</v>
      </c>
      <c r="M300" s="79"/>
      <c r="N300" s="74"/>
      <c r="O300" s="90" t="s">
        <v>307</v>
      </c>
      <c r="P300" s="93">
        <v>44483.48572916666</v>
      </c>
      <c r="Q300" s="90" t="s">
        <v>319</v>
      </c>
      <c r="R300" s="90" t="s">
        <v>331</v>
      </c>
      <c r="S300" s="90" t="s">
        <v>335</v>
      </c>
      <c r="T300" s="99" t="s">
        <v>342</v>
      </c>
      <c r="U300" s="96" t="str">
        <f>HYPERLINK("https://pbs.twimg.com/media/FBqDIVrXsAA8FP7.jpg")</f>
        <v>https://pbs.twimg.com/media/FBqDIVrXsAA8FP7.jpg</v>
      </c>
      <c r="V300" s="96" t="str">
        <f>HYPERLINK("https://pbs.twimg.com/media/FBqDIVrXsAA8FP7.jpg")</f>
        <v>https://pbs.twimg.com/media/FBqDIVrXsAA8FP7.jpg</v>
      </c>
      <c r="W300" s="93">
        <v>44483.48572916666</v>
      </c>
      <c r="X300" s="102">
        <v>44483</v>
      </c>
      <c r="Y300" s="99" t="s">
        <v>424</v>
      </c>
      <c r="Z300" s="96" t="str">
        <f>HYPERLINK("https://twitter.com/sklehtonen/status/1448614426278510595")</f>
        <v>https://twitter.com/sklehtonen/status/1448614426278510595</v>
      </c>
      <c r="AA300" s="90"/>
      <c r="AB300" s="90"/>
      <c r="AC300" s="99" t="s">
        <v>518</v>
      </c>
      <c r="AD300" s="90"/>
      <c r="AE300" s="90" t="b">
        <v>0</v>
      </c>
      <c r="AF300" s="90">
        <v>12</v>
      </c>
      <c r="AG300" s="99" t="s">
        <v>535</v>
      </c>
      <c r="AH300" s="90" t="b">
        <v>1</v>
      </c>
      <c r="AI300" s="90" t="s">
        <v>537</v>
      </c>
      <c r="AJ300" s="90"/>
      <c r="AK300" s="99" t="s">
        <v>526</v>
      </c>
      <c r="AL300" s="90" t="b">
        <v>0</v>
      </c>
      <c r="AM300" s="90">
        <v>3</v>
      </c>
      <c r="AN300" s="99" t="s">
        <v>535</v>
      </c>
      <c r="AO300" s="99" t="s">
        <v>545</v>
      </c>
      <c r="AP300" s="90" t="b">
        <v>0</v>
      </c>
      <c r="AQ300" s="99" t="s">
        <v>518</v>
      </c>
      <c r="AR300" s="90" t="s">
        <v>187</v>
      </c>
      <c r="AS300" s="90">
        <v>0</v>
      </c>
      <c r="AT300" s="90">
        <v>0</v>
      </c>
      <c r="AU300" s="90"/>
      <c r="AV300" s="90"/>
      <c r="AW300" s="90"/>
      <c r="AX300" s="90"/>
      <c r="AY300" s="90"/>
      <c r="AZ300" s="90"/>
      <c r="BA300" s="90"/>
      <c r="BB300" s="90"/>
      <c r="BC300" s="90">
        <v>1</v>
      </c>
      <c r="BD300" s="89" t="str">
        <f>REPLACE(INDEX(GroupVertices[Group],MATCH(Edges[[#This Row],[Vertex 1]],GroupVertices[Vertex],0)),1,1,"")</f>
        <v>1</v>
      </c>
      <c r="BE300" s="89" t="str">
        <f>REPLACE(INDEX(GroupVertices[Group],MATCH(Edges[[#This Row],[Vertex 2]],GroupVertices[Vertex],0)),1,1,"")</f>
        <v>1</v>
      </c>
      <c r="BF300" s="49"/>
      <c r="BG300" s="50"/>
      <c r="BH300" s="49"/>
      <c r="BI300" s="50"/>
      <c r="BJ300" s="49"/>
      <c r="BK300" s="50"/>
      <c r="BL300" s="49"/>
      <c r="BM300" s="50"/>
      <c r="BN300" s="49"/>
    </row>
    <row r="301" spans="1:66" ht="15">
      <c r="A301" s="66" t="s">
        <v>294</v>
      </c>
      <c r="B301" s="66" t="s">
        <v>302</v>
      </c>
      <c r="C301" s="67" t="s">
        <v>2108</v>
      </c>
      <c r="D301" s="68">
        <v>1</v>
      </c>
      <c r="E301" s="69" t="s">
        <v>132</v>
      </c>
      <c r="F301" s="70">
        <v>32</v>
      </c>
      <c r="G301" s="67" t="s">
        <v>51</v>
      </c>
      <c r="H301" s="71"/>
      <c r="I301" s="72"/>
      <c r="J301" s="72"/>
      <c r="K301" s="35" t="s">
        <v>65</v>
      </c>
      <c r="L301" s="79">
        <v>301</v>
      </c>
      <c r="M301" s="79"/>
      <c r="N301" s="74"/>
      <c r="O301" s="90" t="s">
        <v>307</v>
      </c>
      <c r="P301" s="93">
        <v>44483.48572916666</v>
      </c>
      <c r="Q301" s="90" t="s">
        <v>319</v>
      </c>
      <c r="R301" s="90" t="s">
        <v>331</v>
      </c>
      <c r="S301" s="90" t="s">
        <v>335</v>
      </c>
      <c r="T301" s="99" t="s">
        <v>342</v>
      </c>
      <c r="U301" s="96" t="str">
        <f>HYPERLINK("https://pbs.twimg.com/media/FBqDIVrXsAA8FP7.jpg")</f>
        <v>https://pbs.twimg.com/media/FBqDIVrXsAA8FP7.jpg</v>
      </c>
      <c r="V301" s="96" t="str">
        <f>HYPERLINK("https://pbs.twimg.com/media/FBqDIVrXsAA8FP7.jpg")</f>
        <v>https://pbs.twimg.com/media/FBqDIVrXsAA8FP7.jpg</v>
      </c>
      <c r="W301" s="93">
        <v>44483.48572916666</v>
      </c>
      <c r="X301" s="102">
        <v>44483</v>
      </c>
      <c r="Y301" s="99" t="s">
        <v>424</v>
      </c>
      <c r="Z301" s="96" t="str">
        <f>HYPERLINK("https://twitter.com/sklehtonen/status/1448614426278510595")</f>
        <v>https://twitter.com/sklehtonen/status/1448614426278510595</v>
      </c>
      <c r="AA301" s="90"/>
      <c r="AB301" s="90"/>
      <c r="AC301" s="99" t="s">
        <v>518</v>
      </c>
      <c r="AD301" s="90"/>
      <c r="AE301" s="90" t="b">
        <v>0</v>
      </c>
      <c r="AF301" s="90">
        <v>12</v>
      </c>
      <c r="AG301" s="99" t="s">
        <v>535</v>
      </c>
      <c r="AH301" s="90" t="b">
        <v>1</v>
      </c>
      <c r="AI301" s="90" t="s">
        <v>537</v>
      </c>
      <c r="AJ301" s="90"/>
      <c r="AK301" s="99" t="s">
        <v>526</v>
      </c>
      <c r="AL301" s="90" t="b">
        <v>0</v>
      </c>
      <c r="AM301" s="90">
        <v>3</v>
      </c>
      <c r="AN301" s="99" t="s">
        <v>535</v>
      </c>
      <c r="AO301" s="99" t="s">
        <v>545</v>
      </c>
      <c r="AP301" s="90" t="b">
        <v>0</v>
      </c>
      <c r="AQ301" s="99" t="s">
        <v>518</v>
      </c>
      <c r="AR301" s="90" t="s">
        <v>187</v>
      </c>
      <c r="AS301" s="90">
        <v>0</v>
      </c>
      <c r="AT301" s="90">
        <v>0</v>
      </c>
      <c r="AU301" s="90"/>
      <c r="AV301" s="90"/>
      <c r="AW301" s="90"/>
      <c r="AX301" s="90"/>
      <c r="AY301" s="90"/>
      <c r="AZ301" s="90"/>
      <c r="BA301" s="90"/>
      <c r="BB301" s="90"/>
      <c r="BC301" s="90">
        <v>1</v>
      </c>
      <c r="BD301" s="89" t="str">
        <f>REPLACE(INDEX(GroupVertices[Group],MATCH(Edges[[#This Row],[Vertex 1]],GroupVertices[Vertex],0)),1,1,"")</f>
        <v>1</v>
      </c>
      <c r="BE301" s="89"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6" t="s">
        <v>293</v>
      </c>
      <c r="B302" s="66" t="s">
        <v>294</v>
      </c>
      <c r="C302" s="67" t="s">
        <v>2108</v>
      </c>
      <c r="D302" s="68">
        <v>1</v>
      </c>
      <c r="E302" s="69" t="s">
        <v>132</v>
      </c>
      <c r="F302" s="70">
        <v>32</v>
      </c>
      <c r="G302" s="67" t="s">
        <v>51</v>
      </c>
      <c r="H302" s="71"/>
      <c r="I302" s="72"/>
      <c r="J302" s="72"/>
      <c r="K302" s="35" t="s">
        <v>65</v>
      </c>
      <c r="L302" s="79">
        <v>302</v>
      </c>
      <c r="M302" s="79"/>
      <c r="N302" s="74"/>
      <c r="O302" s="90" t="s">
        <v>305</v>
      </c>
      <c r="P302" s="93">
        <v>44483.50150462963</v>
      </c>
      <c r="Q302" s="90" t="s">
        <v>319</v>
      </c>
      <c r="R302" s="90" t="s">
        <v>331</v>
      </c>
      <c r="S302" s="90" t="s">
        <v>335</v>
      </c>
      <c r="T302" s="99" t="s">
        <v>342</v>
      </c>
      <c r="U302" s="96" t="str">
        <f>HYPERLINK("https://pbs.twimg.com/media/FBqDIVrXsAA8FP7.jpg")</f>
        <v>https://pbs.twimg.com/media/FBqDIVrXsAA8FP7.jpg</v>
      </c>
      <c r="V302" s="96" t="str">
        <f>HYPERLINK("https://pbs.twimg.com/media/FBqDIVrXsAA8FP7.jpg")</f>
        <v>https://pbs.twimg.com/media/FBqDIVrXsAA8FP7.jpg</v>
      </c>
      <c r="W302" s="93">
        <v>44483.50150462963</v>
      </c>
      <c r="X302" s="102">
        <v>44483</v>
      </c>
      <c r="Y302" s="99" t="s">
        <v>425</v>
      </c>
      <c r="Z302" s="96" t="str">
        <f>HYPERLINK("https://twitter.com/helsinkigse/status/1448620143584612365")</f>
        <v>https://twitter.com/helsinkigse/status/1448620143584612365</v>
      </c>
      <c r="AA302" s="90"/>
      <c r="AB302" s="90"/>
      <c r="AC302" s="99" t="s">
        <v>519</v>
      </c>
      <c r="AD302" s="90"/>
      <c r="AE302" s="90" t="b">
        <v>0</v>
      </c>
      <c r="AF302" s="90">
        <v>0</v>
      </c>
      <c r="AG302" s="99" t="s">
        <v>535</v>
      </c>
      <c r="AH302" s="90" t="b">
        <v>1</v>
      </c>
      <c r="AI302" s="90" t="s">
        <v>537</v>
      </c>
      <c r="AJ302" s="90"/>
      <c r="AK302" s="99" t="s">
        <v>526</v>
      </c>
      <c r="AL302" s="90" t="b">
        <v>0</v>
      </c>
      <c r="AM302" s="90">
        <v>3</v>
      </c>
      <c r="AN302" s="99" t="s">
        <v>518</v>
      </c>
      <c r="AO302" s="99" t="s">
        <v>542</v>
      </c>
      <c r="AP302" s="90" t="b">
        <v>0</v>
      </c>
      <c r="AQ302" s="99" t="s">
        <v>518</v>
      </c>
      <c r="AR302" s="90" t="s">
        <v>187</v>
      </c>
      <c r="AS302" s="90">
        <v>0</v>
      </c>
      <c r="AT302" s="90">
        <v>0</v>
      </c>
      <c r="AU302" s="90"/>
      <c r="AV302" s="90"/>
      <c r="AW302" s="90"/>
      <c r="AX302" s="90"/>
      <c r="AY302" s="90"/>
      <c r="AZ302" s="90"/>
      <c r="BA302" s="90"/>
      <c r="BB302" s="90"/>
      <c r="BC302" s="90">
        <v>1</v>
      </c>
      <c r="BD302" s="89" t="str">
        <f>REPLACE(INDEX(GroupVertices[Group],MATCH(Edges[[#This Row],[Vertex 1]],GroupVertices[Vertex],0)),1,1,"")</f>
        <v>3</v>
      </c>
      <c r="BE302" s="89" t="str">
        <f>REPLACE(INDEX(GroupVertices[Group],MATCH(Edges[[#This Row],[Vertex 2]],GroupVertices[Vertex],0)),1,1,"")</f>
        <v>1</v>
      </c>
      <c r="BF302" s="49">
        <v>0</v>
      </c>
      <c r="BG302" s="50">
        <v>0</v>
      </c>
      <c r="BH302" s="49">
        <v>0</v>
      </c>
      <c r="BI302" s="50">
        <v>0</v>
      </c>
      <c r="BJ302" s="49">
        <v>0</v>
      </c>
      <c r="BK302" s="50">
        <v>0</v>
      </c>
      <c r="BL302" s="49">
        <v>14</v>
      </c>
      <c r="BM302" s="50">
        <v>100</v>
      </c>
      <c r="BN302" s="49">
        <v>14</v>
      </c>
    </row>
    <row r="303" spans="1:66" ht="15">
      <c r="A303" s="66" t="s">
        <v>289</v>
      </c>
      <c r="B303" s="66" t="s">
        <v>293</v>
      </c>
      <c r="C303" s="67" t="s">
        <v>2108</v>
      </c>
      <c r="D303" s="68">
        <v>1</v>
      </c>
      <c r="E303" s="69" t="s">
        <v>132</v>
      </c>
      <c r="F303" s="70">
        <v>32</v>
      </c>
      <c r="G303" s="67" t="s">
        <v>51</v>
      </c>
      <c r="H303" s="71"/>
      <c r="I303" s="72"/>
      <c r="J303" s="72"/>
      <c r="K303" s="35" t="s">
        <v>66</v>
      </c>
      <c r="L303" s="79">
        <v>303</v>
      </c>
      <c r="M303" s="79"/>
      <c r="N303" s="74"/>
      <c r="O303" s="90" t="s">
        <v>307</v>
      </c>
      <c r="P303" s="93">
        <v>44483.56626157407</v>
      </c>
      <c r="Q303" s="90" t="s">
        <v>2146</v>
      </c>
      <c r="R303" s="96" t="str">
        <f>HYPERLINK("https://www.op.fi/op-ryhma/vastuullisuus/vastuullisuus/taloustaidot/talouskurssi")</f>
        <v>https://www.op.fi/op-ryhma/vastuullisuus/vastuullisuus/taloustaidot/talouskurssi</v>
      </c>
      <c r="S303" s="90" t="s">
        <v>2153</v>
      </c>
      <c r="T303" s="99" t="s">
        <v>1127</v>
      </c>
      <c r="U303" s="96" t="str">
        <f>HYPERLINK("https://pbs.twimg.com/amplify_video_thumb/1448643417429340165/img/lmb1Q6KF2kqCAAPT.jpg")</f>
        <v>https://pbs.twimg.com/amplify_video_thumb/1448643417429340165/img/lmb1Q6KF2kqCAAPT.jpg</v>
      </c>
      <c r="V303" s="96" t="str">
        <f>HYPERLINK("https://pbs.twimg.com/amplify_video_thumb/1448643417429340165/img/lmb1Q6KF2kqCAAPT.jpg")</f>
        <v>https://pbs.twimg.com/amplify_video_thumb/1448643417429340165/img/lmb1Q6KF2kqCAAPT.jpg</v>
      </c>
      <c r="W303" s="93">
        <v>44483.56626157407</v>
      </c>
      <c r="X303" s="102">
        <v>44483</v>
      </c>
      <c r="Y303" s="99" t="s">
        <v>2186</v>
      </c>
      <c r="Z303" s="96" t="str">
        <f>HYPERLINK("https://twitter.com/op_ryhma/status/1448643609901744129")</f>
        <v>https://twitter.com/op_ryhma/status/1448643609901744129</v>
      </c>
      <c r="AA303" s="90"/>
      <c r="AB303" s="90"/>
      <c r="AC303" s="99" t="s">
        <v>534</v>
      </c>
      <c r="AD303" s="90"/>
      <c r="AE303" s="90" t="b">
        <v>0</v>
      </c>
      <c r="AF303" s="90">
        <v>7</v>
      </c>
      <c r="AG303" s="99" t="s">
        <v>535</v>
      </c>
      <c r="AH303" s="90" t="b">
        <v>0</v>
      </c>
      <c r="AI303" s="90" t="s">
        <v>537</v>
      </c>
      <c r="AJ303" s="90"/>
      <c r="AK303" s="99" t="s">
        <v>535</v>
      </c>
      <c r="AL303" s="90" t="b">
        <v>0</v>
      </c>
      <c r="AM303" s="90">
        <v>3</v>
      </c>
      <c r="AN303" s="99" t="s">
        <v>535</v>
      </c>
      <c r="AO303" s="99" t="s">
        <v>2247</v>
      </c>
      <c r="AP303" s="90" t="b">
        <v>0</v>
      </c>
      <c r="AQ303" s="99" t="s">
        <v>534</v>
      </c>
      <c r="AR303" s="90" t="s">
        <v>187</v>
      </c>
      <c r="AS303" s="90">
        <v>0</v>
      </c>
      <c r="AT303" s="90">
        <v>0</v>
      </c>
      <c r="AU303" s="90"/>
      <c r="AV303" s="90"/>
      <c r="AW303" s="90"/>
      <c r="AX303" s="90"/>
      <c r="AY303" s="90"/>
      <c r="AZ303" s="90"/>
      <c r="BA303" s="90"/>
      <c r="BB303" s="90"/>
      <c r="BC303" s="90">
        <v>1</v>
      </c>
      <c r="BD303" s="89" t="str">
        <f>REPLACE(INDEX(GroupVertices[Group],MATCH(Edges[[#This Row],[Vertex 1]],GroupVertices[Vertex],0)),1,1,"")</f>
        <v>2</v>
      </c>
      <c r="BE303" s="89" t="str">
        <f>REPLACE(INDEX(GroupVertices[Group],MATCH(Edges[[#This Row],[Vertex 2]],GroupVertices[Vertex],0)),1,1,"")</f>
        <v>3</v>
      </c>
      <c r="BF303" s="49">
        <v>0</v>
      </c>
      <c r="BG303" s="50">
        <v>0</v>
      </c>
      <c r="BH303" s="49">
        <v>0</v>
      </c>
      <c r="BI303" s="50">
        <v>0</v>
      </c>
      <c r="BJ303" s="49">
        <v>0</v>
      </c>
      <c r="BK303" s="50">
        <v>0</v>
      </c>
      <c r="BL303" s="49">
        <v>31</v>
      </c>
      <c r="BM303" s="50">
        <v>100</v>
      </c>
      <c r="BN303" s="49">
        <v>31</v>
      </c>
    </row>
    <row r="304" spans="1:66" ht="15">
      <c r="A304" s="66" t="s">
        <v>289</v>
      </c>
      <c r="B304" s="66" t="s">
        <v>302</v>
      </c>
      <c r="C304" s="67" t="s">
        <v>2108</v>
      </c>
      <c r="D304" s="68">
        <v>1</v>
      </c>
      <c r="E304" s="69" t="s">
        <v>132</v>
      </c>
      <c r="F304" s="70">
        <v>32</v>
      </c>
      <c r="G304" s="67" t="s">
        <v>51</v>
      </c>
      <c r="H304" s="71"/>
      <c r="I304" s="72"/>
      <c r="J304" s="72"/>
      <c r="K304" s="35" t="s">
        <v>65</v>
      </c>
      <c r="L304" s="79">
        <v>304</v>
      </c>
      <c r="M304" s="79"/>
      <c r="N304" s="74"/>
      <c r="O304" s="90" t="s">
        <v>307</v>
      </c>
      <c r="P304" s="93">
        <v>44483.56658564815</v>
      </c>
      <c r="Q304" s="90" t="s">
        <v>323</v>
      </c>
      <c r="R304" s="90"/>
      <c r="S304" s="90"/>
      <c r="T304" s="99" t="s">
        <v>344</v>
      </c>
      <c r="U304" s="90"/>
      <c r="V304" s="96" t="str">
        <f>HYPERLINK("https://pbs.twimg.com/profile_images/550208070584786944/XIkH6cRe_normal.png")</f>
        <v>https://pbs.twimg.com/profile_images/550208070584786944/XIkH6cRe_normal.png</v>
      </c>
      <c r="W304" s="93">
        <v>44483.56658564815</v>
      </c>
      <c r="X304" s="102">
        <v>44483</v>
      </c>
      <c r="Y304" s="99" t="s">
        <v>414</v>
      </c>
      <c r="Z304" s="96" t="str">
        <f>HYPERLINK("https://twitter.com/op_ryhma/status/1448643726872485889")</f>
        <v>https://twitter.com/op_ryhma/status/1448643726872485889</v>
      </c>
      <c r="AA304" s="90"/>
      <c r="AB304" s="90"/>
      <c r="AC304" s="99" t="s">
        <v>508</v>
      </c>
      <c r="AD304" s="99" t="s">
        <v>534</v>
      </c>
      <c r="AE304" s="90" t="b">
        <v>0</v>
      </c>
      <c r="AF304" s="90">
        <v>5</v>
      </c>
      <c r="AG304" s="99" t="s">
        <v>536</v>
      </c>
      <c r="AH304" s="90" t="b">
        <v>0</v>
      </c>
      <c r="AI304" s="90" t="s">
        <v>537</v>
      </c>
      <c r="AJ304" s="90"/>
      <c r="AK304" s="99" t="s">
        <v>535</v>
      </c>
      <c r="AL304" s="90" t="b">
        <v>0</v>
      </c>
      <c r="AM304" s="90">
        <v>1</v>
      </c>
      <c r="AN304" s="99" t="s">
        <v>535</v>
      </c>
      <c r="AO304" s="99" t="s">
        <v>542</v>
      </c>
      <c r="AP304" s="90" t="b">
        <v>0</v>
      </c>
      <c r="AQ304" s="99" t="s">
        <v>534</v>
      </c>
      <c r="AR304" s="90" t="s">
        <v>187</v>
      </c>
      <c r="AS304" s="90">
        <v>0</v>
      </c>
      <c r="AT304" s="90">
        <v>0</v>
      </c>
      <c r="AU304" s="90"/>
      <c r="AV304" s="90"/>
      <c r="AW304" s="90"/>
      <c r="AX304" s="90"/>
      <c r="AY304" s="90"/>
      <c r="AZ304" s="90"/>
      <c r="BA304" s="90"/>
      <c r="BB304" s="90"/>
      <c r="BC304" s="90">
        <v>1</v>
      </c>
      <c r="BD304" s="89" t="str">
        <f>REPLACE(INDEX(GroupVertices[Group],MATCH(Edges[[#This Row],[Vertex 1]],GroupVertices[Vertex],0)),1,1,"")</f>
        <v>2</v>
      </c>
      <c r="BE304" s="89" t="str">
        <f>REPLACE(INDEX(GroupVertices[Group],MATCH(Edges[[#This Row],[Vertex 2]],GroupVertices[Vertex],0)),1,1,"")</f>
        <v>1</v>
      </c>
      <c r="BF304" s="49"/>
      <c r="BG304" s="50"/>
      <c r="BH304" s="49"/>
      <c r="BI304" s="50"/>
      <c r="BJ304" s="49"/>
      <c r="BK304" s="50"/>
      <c r="BL304" s="49"/>
      <c r="BM304" s="50"/>
      <c r="BN304" s="49"/>
    </row>
    <row r="305" spans="1:66" ht="15">
      <c r="A305" s="66" t="s">
        <v>289</v>
      </c>
      <c r="B305" s="66" t="s">
        <v>299</v>
      </c>
      <c r="C305" s="67" t="s">
        <v>2108</v>
      </c>
      <c r="D305" s="68">
        <v>1</v>
      </c>
      <c r="E305" s="69" t="s">
        <v>132</v>
      </c>
      <c r="F305" s="70">
        <v>32</v>
      </c>
      <c r="G305" s="67" t="s">
        <v>51</v>
      </c>
      <c r="H305" s="71"/>
      <c r="I305" s="72"/>
      <c r="J305" s="72"/>
      <c r="K305" s="35" t="s">
        <v>65</v>
      </c>
      <c r="L305" s="79">
        <v>305</v>
      </c>
      <c r="M305" s="79"/>
      <c r="N305" s="74"/>
      <c r="O305" s="90" t="s">
        <v>307</v>
      </c>
      <c r="P305" s="93">
        <v>44483.56658564815</v>
      </c>
      <c r="Q305" s="90" t="s">
        <v>323</v>
      </c>
      <c r="R305" s="90"/>
      <c r="S305" s="90"/>
      <c r="T305" s="99" t="s">
        <v>344</v>
      </c>
      <c r="U305" s="90"/>
      <c r="V305" s="96" t="str">
        <f>HYPERLINK("https://pbs.twimg.com/profile_images/550208070584786944/XIkH6cRe_normal.png")</f>
        <v>https://pbs.twimg.com/profile_images/550208070584786944/XIkH6cRe_normal.png</v>
      </c>
      <c r="W305" s="93">
        <v>44483.56658564815</v>
      </c>
      <c r="X305" s="102">
        <v>44483</v>
      </c>
      <c r="Y305" s="99" t="s">
        <v>414</v>
      </c>
      <c r="Z305" s="96" t="str">
        <f>HYPERLINK("https://twitter.com/op_ryhma/status/1448643726872485889")</f>
        <v>https://twitter.com/op_ryhma/status/1448643726872485889</v>
      </c>
      <c r="AA305" s="90"/>
      <c r="AB305" s="90"/>
      <c r="AC305" s="99" t="s">
        <v>508</v>
      </c>
      <c r="AD305" s="99" t="s">
        <v>534</v>
      </c>
      <c r="AE305" s="90" t="b">
        <v>0</v>
      </c>
      <c r="AF305" s="90">
        <v>5</v>
      </c>
      <c r="AG305" s="99" t="s">
        <v>536</v>
      </c>
      <c r="AH305" s="90" t="b">
        <v>0</v>
      </c>
      <c r="AI305" s="90" t="s">
        <v>537</v>
      </c>
      <c r="AJ305" s="90"/>
      <c r="AK305" s="99" t="s">
        <v>535</v>
      </c>
      <c r="AL305" s="90" t="b">
        <v>0</v>
      </c>
      <c r="AM305" s="90">
        <v>1</v>
      </c>
      <c r="AN305" s="99" t="s">
        <v>535</v>
      </c>
      <c r="AO305" s="99" t="s">
        <v>542</v>
      </c>
      <c r="AP305" s="90" t="b">
        <v>0</v>
      </c>
      <c r="AQ305" s="99" t="s">
        <v>534</v>
      </c>
      <c r="AR305" s="90" t="s">
        <v>187</v>
      </c>
      <c r="AS305" s="90">
        <v>0</v>
      </c>
      <c r="AT305" s="90">
        <v>0</v>
      </c>
      <c r="AU305" s="90"/>
      <c r="AV305" s="90"/>
      <c r="AW305" s="90"/>
      <c r="AX305" s="90"/>
      <c r="AY305" s="90"/>
      <c r="AZ305" s="90"/>
      <c r="BA305" s="90"/>
      <c r="BB305" s="90"/>
      <c r="BC305" s="90">
        <v>1</v>
      </c>
      <c r="BD305" s="89" t="str">
        <f>REPLACE(INDEX(GroupVertices[Group],MATCH(Edges[[#This Row],[Vertex 1]],GroupVertices[Vertex],0)),1,1,"")</f>
        <v>2</v>
      </c>
      <c r="BE305" s="89" t="str">
        <f>REPLACE(INDEX(GroupVertices[Group],MATCH(Edges[[#This Row],[Vertex 2]],GroupVertices[Vertex],0)),1,1,"")</f>
        <v>1</v>
      </c>
      <c r="BF305" s="49"/>
      <c r="BG305" s="50"/>
      <c r="BH305" s="49"/>
      <c r="BI305" s="50"/>
      <c r="BJ305" s="49"/>
      <c r="BK305" s="50"/>
      <c r="BL305" s="49"/>
      <c r="BM305" s="50"/>
      <c r="BN305" s="49"/>
    </row>
    <row r="306" spans="1:66" ht="15">
      <c r="A306" s="66" t="s">
        <v>289</v>
      </c>
      <c r="B306" s="66" t="s">
        <v>293</v>
      </c>
      <c r="C306" s="67" t="s">
        <v>2108</v>
      </c>
      <c r="D306" s="68">
        <v>1</v>
      </c>
      <c r="E306" s="69" t="s">
        <v>132</v>
      </c>
      <c r="F306" s="70">
        <v>32</v>
      </c>
      <c r="G306" s="67" t="s">
        <v>51</v>
      </c>
      <c r="H306" s="71"/>
      <c r="I306" s="72"/>
      <c r="J306" s="72"/>
      <c r="K306" s="35" t="s">
        <v>66</v>
      </c>
      <c r="L306" s="79">
        <v>306</v>
      </c>
      <c r="M306" s="79"/>
      <c r="N306" s="74"/>
      <c r="O306" s="90" t="s">
        <v>308</v>
      </c>
      <c r="P306" s="93">
        <v>44483.56658564815</v>
      </c>
      <c r="Q306" s="90" t="s">
        <v>323</v>
      </c>
      <c r="R306" s="90"/>
      <c r="S306" s="90"/>
      <c r="T306" s="99" t="s">
        <v>344</v>
      </c>
      <c r="U306" s="90"/>
      <c r="V306" s="96" t="str">
        <f>HYPERLINK("https://pbs.twimg.com/profile_images/550208070584786944/XIkH6cRe_normal.png")</f>
        <v>https://pbs.twimg.com/profile_images/550208070584786944/XIkH6cRe_normal.png</v>
      </c>
      <c r="W306" s="93">
        <v>44483.56658564815</v>
      </c>
      <c r="X306" s="102">
        <v>44483</v>
      </c>
      <c r="Y306" s="99" t="s">
        <v>414</v>
      </c>
      <c r="Z306" s="96" t="str">
        <f>HYPERLINK("https://twitter.com/op_ryhma/status/1448643726872485889")</f>
        <v>https://twitter.com/op_ryhma/status/1448643726872485889</v>
      </c>
      <c r="AA306" s="90"/>
      <c r="AB306" s="90"/>
      <c r="AC306" s="99" t="s">
        <v>508</v>
      </c>
      <c r="AD306" s="99" t="s">
        <v>534</v>
      </c>
      <c r="AE306" s="90" t="b">
        <v>0</v>
      </c>
      <c r="AF306" s="90">
        <v>5</v>
      </c>
      <c r="AG306" s="99" t="s">
        <v>536</v>
      </c>
      <c r="AH306" s="90" t="b">
        <v>0</v>
      </c>
      <c r="AI306" s="90" t="s">
        <v>537</v>
      </c>
      <c r="AJ306" s="90"/>
      <c r="AK306" s="99" t="s">
        <v>535</v>
      </c>
      <c r="AL306" s="90" t="b">
        <v>0</v>
      </c>
      <c r="AM306" s="90">
        <v>1</v>
      </c>
      <c r="AN306" s="99" t="s">
        <v>535</v>
      </c>
      <c r="AO306" s="99" t="s">
        <v>542</v>
      </c>
      <c r="AP306" s="90" t="b">
        <v>0</v>
      </c>
      <c r="AQ306" s="99" t="s">
        <v>534</v>
      </c>
      <c r="AR306" s="90" t="s">
        <v>187</v>
      </c>
      <c r="AS306" s="90">
        <v>0</v>
      </c>
      <c r="AT306" s="90">
        <v>0</v>
      </c>
      <c r="AU306" s="90"/>
      <c r="AV306" s="90"/>
      <c r="AW306" s="90"/>
      <c r="AX306" s="90"/>
      <c r="AY306" s="90"/>
      <c r="AZ306" s="90"/>
      <c r="BA306" s="90"/>
      <c r="BB306" s="90"/>
      <c r="BC306" s="90">
        <v>1</v>
      </c>
      <c r="BD306" s="89" t="str">
        <f>REPLACE(INDEX(GroupVertices[Group],MATCH(Edges[[#This Row],[Vertex 1]],GroupVertices[Vertex],0)),1,1,"")</f>
        <v>2</v>
      </c>
      <c r="BE306" s="89" t="str">
        <f>REPLACE(INDEX(GroupVertices[Group],MATCH(Edges[[#This Row],[Vertex 2]],GroupVertices[Vertex],0)),1,1,"")</f>
        <v>3</v>
      </c>
      <c r="BF306" s="49"/>
      <c r="BG306" s="50"/>
      <c r="BH306" s="49"/>
      <c r="BI306" s="50"/>
      <c r="BJ306" s="49"/>
      <c r="BK306" s="50"/>
      <c r="BL306" s="49"/>
      <c r="BM306" s="50"/>
      <c r="BN306" s="49"/>
    </row>
    <row r="307" spans="1:66" ht="15">
      <c r="A307" s="66" t="s">
        <v>293</v>
      </c>
      <c r="B307" s="66" t="s">
        <v>289</v>
      </c>
      <c r="C307" s="67" t="s">
        <v>2108</v>
      </c>
      <c r="D307" s="68">
        <v>1</v>
      </c>
      <c r="E307" s="69" t="s">
        <v>132</v>
      </c>
      <c r="F307" s="70">
        <v>32</v>
      </c>
      <c r="G307" s="67" t="s">
        <v>51</v>
      </c>
      <c r="H307" s="71"/>
      <c r="I307" s="72"/>
      <c r="J307" s="72"/>
      <c r="K307" s="35" t="s">
        <v>66</v>
      </c>
      <c r="L307" s="79">
        <v>307</v>
      </c>
      <c r="M307" s="79"/>
      <c r="N307" s="74"/>
      <c r="O307" s="90" t="s">
        <v>305</v>
      </c>
      <c r="P307" s="93">
        <v>44483.56895833334</v>
      </c>
      <c r="Q307" s="90" t="s">
        <v>2146</v>
      </c>
      <c r="R307" s="96" t="str">
        <f>HYPERLINK("https://www.op.fi/op-ryhma/vastuullisuus/vastuullisuus/taloustaidot/talouskurssi")</f>
        <v>https://www.op.fi/op-ryhma/vastuullisuus/vastuullisuus/taloustaidot/talouskurssi</v>
      </c>
      <c r="S307" s="90" t="s">
        <v>2153</v>
      </c>
      <c r="T307" s="99" t="s">
        <v>1127</v>
      </c>
      <c r="U307" s="96" t="str">
        <f>HYPERLINK("https://pbs.twimg.com/amplify_video_thumb/1448643417429340165/img/lmb1Q6KF2kqCAAPT.jpg")</f>
        <v>https://pbs.twimg.com/amplify_video_thumb/1448643417429340165/img/lmb1Q6KF2kqCAAPT.jpg</v>
      </c>
      <c r="V307" s="96" t="str">
        <f>HYPERLINK("https://pbs.twimg.com/amplify_video_thumb/1448643417429340165/img/lmb1Q6KF2kqCAAPT.jpg")</f>
        <v>https://pbs.twimg.com/amplify_video_thumb/1448643417429340165/img/lmb1Q6KF2kqCAAPT.jpg</v>
      </c>
      <c r="W307" s="93">
        <v>44483.56895833334</v>
      </c>
      <c r="X307" s="102">
        <v>44483</v>
      </c>
      <c r="Y307" s="99" t="s">
        <v>2187</v>
      </c>
      <c r="Z307" s="96" t="str">
        <f>HYPERLINK("https://twitter.com/helsinkigse/status/1448644585660432387")</f>
        <v>https://twitter.com/helsinkigse/status/1448644585660432387</v>
      </c>
      <c r="AA307" s="90"/>
      <c r="AB307" s="90"/>
      <c r="AC307" s="99" t="s">
        <v>2232</v>
      </c>
      <c r="AD307" s="90"/>
      <c r="AE307" s="90" t="b">
        <v>0</v>
      </c>
      <c r="AF307" s="90">
        <v>0</v>
      </c>
      <c r="AG307" s="99" t="s">
        <v>535</v>
      </c>
      <c r="AH307" s="90" t="b">
        <v>0</v>
      </c>
      <c r="AI307" s="90" t="s">
        <v>537</v>
      </c>
      <c r="AJ307" s="90"/>
      <c r="AK307" s="99" t="s">
        <v>535</v>
      </c>
      <c r="AL307" s="90" t="b">
        <v>0</v>
      </c>
      <c r="AM307" s="90">
        <v>3</v>
      </c>
      <c r="AN307" s="99" t="s">
        <v>534</v>
      </c>
      <c r="AO307" s="99" t="s">
        <v>542</v>
      </c>
      <c r="AP307" s="90" t="b">
        <v>0</v>
      </c>
      <c r="AQ307" s="99" t="s">
        <v>534</v>
      </c>
      <c r="AR307" s="90" t="s">
        <v>187</v>
      </c>
      <c r="AS307" s="90">
        <v>0</v>
      </c>
      <c r="AT307" s="90">
        <v>0</v>
      </c>
      <c r="AU307" s="90"/>
      <c r="AV307" s="90"/>
      <c r="AW307" s="90"/>
      <c r="AX307" s="90"/>
      <c r="AY307" s="90"/>
      <c r="AZ307" s="90"/>
      <c r="BA307" s="90"/>
      <c r="BB307" s="90"/>
      <c r="BC307" s="90">
        <v>1</v>
      </c>
      <c r="BD307" s="89" t="str">
        <f>REPLACE(INDEX(GroupVertices[Group],MATCH(Edges[[#This Row],[Vertex 1]],GroupVertices[Vertex],0)),1,1,"")</f>
        <v>3</v>
      </c>
      <c r="BE307" s="89" t="str">
        <f>REPLACE(INDEX(GroupVertices[Group],MATCH(Edges[[#This Row],[Vertex 2]],GroupVertices[Vertex],0)),1,1,"")</f>
        <v>2</v>
      </c>
      <c r="BF307" s="49">
        <v>0</v>
      </c>
      <c r="BG307" s="50">
        <v>0</v>
      </c>
      <c r="BH307" s="49">
        <v>0</v>
      </c>
      <c r="BI307" s="50">
        <v>0</v>
      </c>
      <c r="BJ307" s="49">
        <v>0</v>
      </c>
      <c r="BK307" s="50">
        <v>0</v>
      </c>
      <c r="BL307" s="49">
        <v>31</v>
      </c>
      <c r="BM307" s="50">
        <v>100</v>
      </c>
      <c r="BN307" s="49">
        <v>31</v>
      </c>
    </row>
    <row r="308" spans="1:66" ht="15">
      <c r="A308" s="66" t="s">
        <v>2134</v>
      </c>
      <c r="B308" s="66" t="s">
        <v>299</v>
      </c>
      <c r="C308" s="67" t="s">
        <v>2108</v>
      </c>
      <c r="D308" s="68">
        <v>1</v>
      </c>
      <c r="E308" s="69" t="s">
        <v>132</v>
      </c>
      <c r="F308" s="70">
        <v>32</v>
      </c>
      <c r="G308" s="67" t="s">
        <v>51</v>
      </c>
      <c r="H308" s="71"/>
      <c r="I308" s="72"/>
      <c r="J308" s="72"/>
      <c r="K308" s="35" t="s">
        <v>65</v>
      </c>
      <c r="L308" s="79">
        <v>308</v>
      </c>
      <c r="M308" s="79"/>
      <c r="N308" s="74"/>
      <c r="O308" s="90" t="s">
        <v>307</v>
      </c>
      <c r="P308" s="93">
        <v>44483.35857638889</v>
      </c>
      <c r="Q308" s="90" t="s">
        <v>2142</v>
      </c>
      <c r="R308" s="96" t="str">
        <f>HYPERLINK("https://twitter.com/HelsinkiGSE/status/1448530102837514240")</f>
        <v>https://twitter.com/HelsinkiGSE/status/1448530102837514240</v>
      </c>
      <c r="S308" s="90" t="s">
        <v>333</v>
      </c>
      <c r="T308" s="90"/>
      <c r="U308" s="90"/>
      <c r="V308" s="96" t="str">
        <f>HYPERLINK("https://pbs.twimg.com/profile_images/1423573352086753280/7nuR6Wr3_normal.jpg")</f>
        <v>https://pbs.twimg.com/profile_images/1423573352086753280/7nuR6Wr3_normal.jpg</v>
      </c>
      <c r="W308" s="93">
        <v>44483.35857638889</v>
      </c>
      <c r="X308" s="102">
        <v>44483</v>
      </c>
      <c r="Y308" s="99" t="s">
        <v>2188</v>
      </c>
      <c r="Z308" s="96" t="str">
        <f>HYPERLINK("https://twitter.com/esahamal/status/1448568344538386437")</f>
        <v>https://twitter.com/esahamal/status/1448568344538386437</v>
      </c>
      <c r="AA308" s="90"/>
      <c r="AB308" s="90"/>
      <c r="AC308" s="99" t="s">
        <v>2233</v>
      </c>
      <c r="AD308" s="90"/>
      <c r="AE308" s="90" t="b">
        <v>0</v>
      </c>
      <c r="AF308" s="90">
        <v>18</v>
      </c>
      <c r="AG308" s="99" t="s">
        <v>535</v>
      </c>
      <c r="AH308" s="90" t="b">
        <v>1</v>
      </c>
      <c r="AI308" s="90" t="s">
        <v>537</v>
      </c>
      <c r="AJ308" s="90"/>
      <c r="AK308" s="99" t="s">
        <v>526</v>
      </c>
      <c r="AL308" s="90" t="b">
        <v>0</v>
      </c>
      <c r="AM308" s="90">
        <v>6</v>
      </c>
      <c r="AN308" s="99" t="s">
        <v>535</v>
      </c>
      <c r="AO308" s="99" t="s">
        <v>543</v>
      </c>
      <c r="AP308" s="90" t="b">
        <v>0</v>
      </c>
      <c r="AQ308" s="99" t="s">
        <v>2233</v>
      </c>
      <c r="AR308" s="90" t="s">
        <v>187</v>
      </c>
      <c r="AS308" s="90">
        <v>0</v>
      </c>
      <c r="AT308" s="90">
        <v>0</v>
      </c>
      <c r="AU308" s="90"/>
      <c r="AV308" s="90"/>
      <c r="AW308" s="90"/>
      <c r="AX308" s="90"/>
      <c r="AY308" s="90"/>
      <c r="AZ308" s="90"/>
      <c r="BA308" s="90"/>
      <c r="BB308" s="90"/>
      <c r="BC308" s="90">
        <v>1</v>
      </c>
      <c r="BD308" s="89" t="str">
        <f>REPLACE(INDEX(GroupVertices[Group],MATCH(Edges[[#This Row],[Vertex 1]],GroupVertices[Vertex],0)),1,1,"")</f>
        <v>1</v>
      </c>
      <c r="BE308" s="89" t="str">
        <f>REPLACE(INDEX(GroupVertices[Group],MATCH(Edges[[#This Row],[Vertex 2]],GroupVertices[Vertex],0)),1,1,"")</f>
        <v>1</v>
      </c>
      <c r="BF308" s="49"/>
      <c r="BG308" s="50"/>
      <c r="BH308" s="49"/>
      <c r="BI308" s="50"/>
      <c r="BJ308" s="49"/>
      <c r="BK308" s="50"/>
      <c r="BL308" s="49"/>
      <c r="BM308" s="50"/>
      <c r="BN308" s="49"/>
    </row>
    <row r="309" spans="1:66" ht="15">
      <c r="A309" s="66" t="s">
        <v>2134</v>
      </c>
      <c r="B309" s="66" t="s">
        <v>302</v>
      </c>
      <c r="C309" s="67" t="s">
        <v>2108</v>
      </c>
      <c r="D309" s="68">
        <v>1</v>
      </c>
      <c r="E309" s="69" t="s">
        <v>132</v>
      </c>
      <c r="F309" s="70">
        <v>32</v>
      </c>
      <c r="G309" s="67" t="s">
        <v>51</v>
      </c>
      <c r="H309" s="71"/>
      <c r="I309" s="72"/>
      <c r="J309" s="72"/>
      <c r="K309" s="35" t="s">
        <v>65</v>
      </c>
      <c r="L309" s="79">
        <v>309</v>
      </c>
      <c r="M309" s="79"/>
      <c r="N309" s="74"/>
      <c r="O309" s="90" t="s">
        <v>307</v>
      </c>
      <c r="P309" s="93">
        <v>44483.35857638889</v>
      </c>
      <c r="Q309" s="90" t="s">
        <v>2142</v>
      </c>
      <c r="R309" s="96" t="str">
        <f>HYPERLINK("https://twitter.com/HelsinkiGSE/status/1448530102837514240")</f>
        <v>https://twitter.com/HelsinkiGSE/status/1448530102837514240</v>
      </c>
      <c r="S309" s="90" t="s">
        <v>333</v>
      </c>
      <c r="T309" s="90"/>
      <c r="U309" s="90"/>
      <c r="V309" s="96" t="str">
        <f>HYPERLINK("https://pbs.twimg.com/profile_images/1423573352086753280/7nuR6Wr3_normal.jpg")</f>
        <v>https://pbs.twimg.com/profile_images/1423573352086753280/7nuR6Wr3_normal.jpg</v>
      </c>
      <c r="W309" s="93">
        <v>44483.35857638889</v>
      </c>
      <c r="X309" s="102">
        <v>44483</v>
      </c>
      <c r="Y309" s="99" t="s">
        <v>2188</v>
      </c>
      <c r="Z309" s="96" t="str">
        <f>HYPERLINK("https://twitter.com/esahamal/status/1448568344538386437")</f>
        <v>https://twitter.com/esahamal/status/1448568344538386437</v>
      </c>
      <c r="AA309" s="90"/>
      <c r="AB309" s="90"/>
      <c r="AC309" s="99" t="s">
        <v>2233</v>
      </c>
      <c r="AD309" s="90"/>
      <c r="AE309" s="90" t="b">
        <v>0</v>
      </c>
      <c r="AF309" s="90">
        <v>18</v>
      </c>
      <c r="AG309" s="99" t="s">
        <v>535</v>
      </c>
      <c r="AH309" s="90" t="b">
        <v>1</v>
      </c>
      <c r="AI309" s="90" t="s">
        <v>537</v>
      </c>
      <c r="AJ309" s="90"/>
      <c r="AK309" s="99" t="s">
        <v>526</v>
      </c>
      <c r="AL309" s="90" t="b">
        <v>0</v>
      </c>
      <c r="AM309" s="90">
        <v>6</v>
      </c>
      <c r="AN309" s="99" t="s">
        <v>535</v>
      </c>
      <c r="AO309" s="99" t="s">
        <v>543</v>
      </c>
      <c r="AP309" s="90" t="b">
        <v>0</v>
      </c>
      <c r="AQ309" s="99" t="s">
        <v>2233</v>
      </c>
      <c r="AR309" s="90" t="s">
        <v>187</v>
      </c>
      <c r="AS309" s="90">
        <v>0</v>
      </c>
      <c r="AT309" s="90">
        <v>0</v>
      </c>
      <c r="AU309" s="90"/>
      <c r="AV309" s="90"/>
      <c r="AW309" s="90"/>
      <c r="AX309" s="90"/>
      <c r="AY309" s="90"/>
      <c r="AZ309" s="90"/>
      <c r="BA309" s="90"/>
      <c r="BB309" s="90"/>
      <c r="BC309" s="90">
        <v>1</v>
      </c>
      <c r="BD309" s="89" t="str">
        <f>REPLACE(INDEX(GroupVertices[Group],MATCH(Edges[[#This Row],[Vertex 1]],GroupVertices[Vertex],0)),1,1,"")</f>
        <v>1</v>
      </c>
      <c r="BE309" s="89" t="str">
        <f>REPLACE(INDEX(GroupVertices[Group],MATCH(Edges[[#This Row],[Vertex 2]],GroupVertices[Vertex],0)),1,1,"")</f>
        <v>1</v>
      </c>
      <c r="BF309" s="49"/>
      <c r="BG309" s="50"/>
      <c r="BH309" s="49"/>
      <c r="BI309" s="50"/>
      <c r="BJ309" s="49"/>
      <c r="BK309" s="50"/>
      <c r="BL309" s="49"/>
      <c r="BM309" s="50"/>
      <c r="BN309" s="49"/>
    </row>
    <row r="310" spans="1:66" ht="15">
      <c r="A310" s="66" t="s">
        <v>2134</v>
      </c>
      <c r="B310" s="66" t="s">
        <v>293</v>
      </c>
      <c r="C310" s="67" t="s">
        <v>2108</v>
      </c>
      <c r="D310" s="68">
        <v>1</v>
      </c>
      <c r="E310" s="69" t="s">
        <v>132</v>
      </c>
      <c r="F310" s="70">
        <v>32</v>
      </c>
      <c r="G310" s="67" t="s">
        <v>51</v>
      </c>
      <c r="H310" s="71"/>
      <c r="I310" s="72"/>
      <c r="J310" s="72"/>
      <c r="K310" s="35" t="s">
        <v>66</v>
      </c>
      <c r="L310" s="79">
        <v>310</v>
      </c>
      <c r="M310" s="79"/>
      <c r="N310" s="74"/>
      <c r="O310" s="90" t="s">
        <v>307</v>
      </c>
      <c r="P310" s="93">
        <v>44483.35857638889</v>
      </c>
      <c r="Q310" s="90" t="s">
        <v>2142</v>
      </c>
      <c r="R310" s="96" t="str">
        <f>HYPERLINK("https://twitter.com/HelsinkiGSE/status/1448530102837514240")</f>
        <v>https://twitter.com/HelsinkiGSE/status/1448530102837514240</v>
      </c>
      <c r="S310" s="90" t="s">
        <v>333</v>
      </c>
      <c r="T310" s="90"/>
      <c r="U310" s="90"/>
      <c r="V310" s="96" t="str">
        <f>HYPERLINK("https://pbs.twimg.com/profile_images/1423573352086753280/7nuR6Wr3_normal.jpg")</f>
        <v>https://pbs.twimg.com/profile_images/1423573352086753280/7nuR6Wr3_normal.jpg</v>
      </c>
      <c r="W310" s="93">
        <v>44483.35857638889</v>
      </c>
      <c r="X310" s="102">
        <v>44483</v>
      </c>
      <c r="Y310" s="99" t="s">
        <v>2188</v>
      </c>
      <c r="Z310" s="96" t="str">
        <f>HYPERLINK("https://twitter.com/esahamal/status/1448568344538386437")</f>
        <v>https://twitter.com/esahamal/status/1448568344538386437</v>
      </c>
      <c r="AA310" s="90"/>
      <c r="AB310" s="90"/>
      <c r="AC310" s="99" t="s">
        <v>2233</v>
      </c>
      <c r="AD310" s="90"/>
      <c r="AE310" s="90" t="b">
        <v>0</v>
      </c>
      <c r="AF310" s="90">
        <v>18</v>
      </c>
      <c r="AG310" s="99" t="s">
        <v>535</v>
      </c>
      <c r="AH310" s="90" t="b">
        <v>1</v>
      </c>
      <c r="AI310" s="90" t="s">
        <v>537</v>
      </c>
      <c r="AJ310" s="90"/>
      <c r="AK310" s="99" t="s">
        <v>526</v>
      </c>
      <c r="AL310" s="90" t="b">
        <v>0</v>
      </c>
      <c r="AM310" s="90">
        <v>6</v>
      </c>
      <c r="AN310" s="99" t="s">
        <v>535</v>
      </c>
      <c r="AO310" s="99" t="s">
        <v>543</v>
      </c>
      <c r="AP310" s="90" t="b">
        <v>0</v>
      </c>
      <c r="AQ310" s="99" t="s">
        <v>2233</v>
      </c>
      <c r="AR310" s="90" t="s">
        <v>187</v>
      </c>
      <c r="AS310" s="90">
        <v>0</v>
      </c>
      <c r="AT310" s="90">
        <v>0</v>
      </c>
      <c r="AU310" s="90"/>
      <c r="AV310" s="90"/>
      <c r="AW310" s="90"/>
      <c r="AX310" s="90"/>
      <c r="AY310" s="90"/>
      <c r="AZ310" s="90"/>
      <c r="BA310" s="90"/>
      <c r="BB310" s="90"/>
      <c r="BC310" s="90">
        <v>1</v>
      </c>
      <c r="BD310" s="89" t="str">
        <f>REPLACE(INDEX(GroupVertices[Group],MATCH(Edges[[#This Row],[Vertex 1]],GroupVertices[Vertex],0)),1,1,"")</f>
        <v>1</v>
      </c>
      <c r="BE310" s="89" t="str">
        <f>REPLACE(INDEX(GroupVertices[Group],MATCH(Edges[[#This Row],[Vertex 2]],GroupVertices[Vertex],0)),1,1,"")</f>
        <v>3</v>
      </c>
      <c r="BF310" s="49">
        <v>0</v>
      </c>
      <c r="BG310" s="50">
        <v>0</v>
      </c>
      <c r="BH310" s="49">
        <v>0</v>
      </c>
      <c r="BI310" s="50">
        <v>0</v>
      </c>
      <c r="BJ310" s="49">
        <v>0</v>
      </c>
      <c r="BK310" s="50">
        <v>0</v>
      </c>
      <c r="BL310" s="49">
        <v>12</v>
      </c>
      <c r="BM310" s="50">
        <v>100</v>
      </c>
      <c r="BN310" s="49">
        <v>12</v>
      </c>
    </row>
    <row r="311" spans="1:66" ht="15">
      <c r="A311" s="66" t="s">
        <v>293</v>
      </c>
      <c r="B311" s="66" t="s">
        <v>2134</v>
      </c>
      <c r="C311" s="67" t="s">
        <v>2108</v>
      </c>
      <c r="D311" s="68">
        <v>1</v>
      </c>
      <c r="E311" s="69" t="s">
        <v>132</v>
      </c>
      <c r="F311" s="70">
        <v>32</v>
      </c>
      <c r="G311" s="67" t="s">
        <v>51</v>
      </c>
      <c r="H311" s="71"/>
      <c r="I311" s="72"/>
      <c r="J311" s="72"/>
      <c r="K311" s="35" t="s">
        <v>66</v>
      </c>
      <c r="L311" s="79">
        <v>311</v>
      </c>
      <c r="M311" s="79"/>
      <c r="N311" s="74"/>
      <c r="O311" s="90" t="s">
        <v>305</v>
      </c>
      <c r="P311" s="93">
        <v>44483.71402777778</v>
      </c>
      <c r="Q311" s="90" t="s">
        <v>2142</v>
      </c>
      <c r="R311" s="96" t="str">
        <f>HYPERLINK("https://twitter.com/HelsinkiGSE/status/1448530102837514240")</f>
        <v>https://twitter.com/HelsinkiGSE/status/1448530102837514240</v>
      </c>
      <c r="S311" s="90" t="s">
        <v>333</v>
      </c>
      <c r="T311" s="90"/>
      <c r="U311" s="90"/>
      <c r="V311" s="96" t="str">
        <f>HYPERLINK("https://pbs.twimg.com/profile_images/1448535539880243200/KmRATUa5_normal.jpg")</f>
        <v>https://pbs.twimg.com/profile_images/1448535539880243200/KmRATUa5_normal.jpg</v>
      </c>
      <c r="W311" s="93">
        <v>44483.71402777778</v>
      </c>
      <c r="X311" s="102">
        <v>44483</v>
      </c>
      <c r="Y311" s="99" t="s">
        <v>2189</v>
      </c>
      <c r="Z311" s="96" t="str">
        <f>HYPERLINK("https://twitter.com/helsinkigse/status/1448697156949454857")</f>
        <v>https://twitter.com/helsinkigse/status/1448697156949454857</v>
      </c>
      <c r="AA311" s="90"/>
      <c r="AB311" s="90"/>
      <c r="AC311" s="99" t="s">
        <v>2234</v>
      </c>
      <c r="AD311" s="90"/>
      <c r="AE311" s="90" t="b">
        <v>0</v>
      </c>
      <c r="AF311" s="90">
        <v>0</v>
      </c>
      <c r="AG311" s="99" t="s">
        <v>535</v>
      </c>
      <c r="AH311" s="90" t="b">
        <v>1</v>
      </c>
      <c r="AI311" s="90" t="s">
        <v>537</v>
      </c>
      <c r="AJ311" s="90"/>
      <c r="AK311" s="99" t="s">
        <v>526</v>
      </c>
      <c r="AL311" s="90" t="b">
        <v>0</v>
      </c>
      <c r="AM311" s="90">
        <v>6</v>
      </c>
      <c r="AN311" s="99" t="s">
        <v>2233</v>
      </c>
      <c r="AO311" s="99" t="s">
        <v>542</v>
      </c>
      <c r="AP311" s="90" t="b">
        <v>0</v>
      </c>
      <c r="AQ311" s="99" t="s">
        <v>2233</v>
      </c>
      <c r="AR311" s="90" t="s">
        <v>187</v>
      </c>
      <c r="AS311" s="90">
        <v>0</v>
      </c>
      <c r="AT311" s="90">
        <v>0</v>
      </c>
      <c r="AU311" s="90"/>
      <c r="AV311" s="90"/>
      <c r="AW311" s="90"/>
      <c r="AX311" s="90"/>
      <c r="AY311" s="90"/>
      <c r="AZ311" s="90"/>
      <c r="BA311" s="90"/>
      <c r="BB311" s="90"/>
      <c r="BC311" s="90">
        <v>1</v>
      </c>
      <c r="BD311" s="89" t="str">
        <f>REPLACE(INDEX(GroupVertices[Group],MATCH(Edges[[#This Row],[Vertex 1]],GroupVertices[Vertex],0)),1,1,"")</f>
        <v>3</v>
      </c>
      <c r="BE311" s="89" t="str">
        <f>REPLACE(INDEX(GroupVertices[Group],MATCH(Edges[[#This Row],[Vertex 2]],GroupVertices[Vertex],0)),1,1,"")</f>
        <v>1</v>
      </c>
      <c r="BF311" s="49">
        <v>0</v>
      </c>
      <c r="BG311" s="50">
        <v>0</v>
      </c>
      <c r="BH311" s="49">
        <v>0</v>
      </c>
      <c r="BI311" s="50">
        <v>0</v>
      </c>
      <c r="BJ311" s="49">
        <v>0</v>
      </c>
      <c r="BK311" s="50">
        <v>0</v>
      </c>
      <c r="BL311" s="49">
        <v>12</v>
      </c>
      <c r="BM311" s="50">
        <v>100</v>
      </c>
      <c r="BN311" s="49">
        <v>12</v>
      </c>
    </row>
    <row r="312" spans="1:66" ht="15">
      <c r="A312" s="66" t="s">
        <v>249</v>
      </c>
      <c r="B312" s="66" t="s">
        <v>249</v>
      </c>
      <c r="C312" s="67" t="s">
        <v>2108</v>
      </c>
      <c r="D312" s="68">
        <v>1</v>
      </c>
      <c r="E312" s="69" t="s">
        <v>132</v>
      </c>
      <c r="F312" s="70">
        <v>32</v>
      </c>
      <c r="G312" s="67" t="s">
        <v>51</v>
      </c>
      <c r="H312" s="71"/>
      <c r="I312" s="72"/>
      <c r="J312" s="72"/>
      <c r="K312" s="35" t="s">
        <v>65</v>
      </c>
      <c r="L312" s="79">
        <v>312</v>
      </c>
      <c r="M312" s="79"/>
      <c r="N312" s="74"/>
      <c r="O312" s="90" t="s">
        <v>187</v>
      </c>
      <c r="P312" s="93">
        <v>44483.357824074075</v>
      </c>
      <c r="Q312" s="90" t="s">
        <v>315</v>
      </c>
      <c r="R312" s="96" t="str">
        <f>HYPERLINK("https://twitter.com/teemu_roos/status/1448566055861948418")</f>
        <v>https://twitter.com/teemu_roos/status/1448566055861948418</v>
      </c>
      <c r="S312" s="90" t="s">
        <v>333</v>
      </c>
      <c r="T312" s="99" t="s">
        <v>338</v>
      </c>
      <c r="U312" s="90"/>
      <c r="V312" s="96" t="str">
        <f>HYPERLINK("https://pbs.twimg.com/profile_images/1134360485736984576/KAKDXRpX_normal.png")</f>
        <v>https://pbs.twimg.com/profile_images/1134360485736984576/KAKDXRpX_normal.png</v>
      </c>
      <c r="W312" s="93">
        <v>44483.357824074075</v>
      </c>
      <c r="X312" s="102">
        <v>44483</v>
      </c>
      <c r="Y312" s="99" t="s">
        <v>370</v>
      </c>
      <c r="Z312" s="96" t="str">
        <f>HYPERLINK("https://twitter.com/jarijarvenpaa/status/1448568074400145415")</f>
        <v>https://twitter.com/jarijarvenpaa/status/1448568074400145415</v>
      </c>
      <c r="AA312" s="90"/>
      <c r="AB312" s="90"/>
      <c r="AC312" s="99" t="s">
        <v>464</v>
      </c>
      <c r="AD312" s="90"/>
      <c r="AE312" s="90" t="b">
        <v>0</v>
      </c>
      <c r="AF312" s="90">
        <v>3</v>
      </c>
      <c r="AG312" s="99" t="s">
        <v>535</v>
      </c>
      <c r="AH312" s="90" t="b">
        <v>1</v>
      </c>
      <c r="AI312" s="90" t="s">
        <v>537</v>
      </c>
      <c r="AJ312" s="90"/>
      <c r="AK312" s="99" t="s">
        <v>538</v>
      </c>
      <c r="AL312" s="90" t="b">
        <v>0</v>
      </c>
      <c r="AM312" s="90">
        <v>0</v>
      </c>
      <c r="AN312" s="99" t="s">
        <v>535</v>
      </c>
      <c r="AO312" s="99" t="s">
        <v>542</v>
      </c>
      <c r="AP312" s="90" t="b">
        <v>0</v>
      </c>
      <c r="AQ312" s="99" t="s">
        <v>464</v>
      </c>
      <c r="AR312" s="90" t="s">
        <v>187</v>
      </c>
      <c r="AS312" s="90">
        <v>0</v>
      </c>
      <c r="AT312" s="90">
        <v>0</v>
      </c>
      <c r="AU312" s="90"/>
      <c r="AV312" s="90"/>
      <c r="AW312" s="90"/>
      <c r="AX312" s="90"/>
      <c r="AY312" s="90"/>
      <c r="AZ312" s="90"/>
      <c r="BA312" s="90"/>
      <c r="BB312" s="90"/>
      <c r="BC312" s="90">
        <v>1</v>
      </c>
      <c r="BD312" s="89" t="str">
        <f>REPLACE(INDEX(GroupVertices[Group],MATCH(Edges[[#This Row],[Vertex 1]],GroupVertices[Vertex],0)),1,1,"")</f>
        <v>3</v>
      </c>
      <c r="BE312" s="89" t="str">
        <f>REPLACE(INDEX(GroupVertices[Group],MATCH(Edges[[#This Row],[Vertex 2]],GroupVertices[Vertex],0)),1,1,"")</f>
        <v>3</v>
      </c>
      <c r="BF312" s="49">
        <v>0</v>
      </c>
      <c r="BG312" s="50">
        <v>0</v>
      </c>
      <c r="BH312" s="49">
        <v>0</v>
      </c>
      <c r="BI312" s="50">
        <v>0</v>
      </c>
      <c r="BJ312" s="49">
        <v>0</v>
      </c>
      <c r="BK312" s="50">
        <v>0</v>
      </c>
      <c r="BL312" s="49">
        <v>6</v>
      </c>
      <c r="BM312" s="50">
        <v>100</v>
      </c>
      <c r="BN312" s="49">
        <v>6</v>
      </c>
    </row>
    <row r="313" spans="1:66" ht="15">
      <c r="A313" s="66" t="s">
        <v>249</v>
      </c>
      <c r="B313" s="66" t="s">
        <v>2137</v>
      </c>
      <c r="C313" s="67" t="s">
        <v>2108</v>
      </c>
      <c r="D313" s="68">
        <v>1</v>
      </c>
      <c r="E313" s="69" t="s">
        <v>132</v>
      </c>
      <c r="F313" s="70">
        <v>32</v>
      </c>
      <c r="G313" s="67" t="s">
        <v>51</v>
      </c>
      <c r="H313" s="71"/>
      <c r="I313" s="72"/>
      <c r="J313" s="72"/>
      <c r="K313" s="35" t="s">
        <v>65</v>
      </c>
      <c r="L313" s="79">
        <v>313</v>
      </c>
      <c r="M313" s="79"/>
      <c r="N313" s="74"/>
      <c r="O313" s="90" t="s">
        <v>305</v>
      </c>
      <c r="P313" s="93">
        <v>44483.71761574074</v>
      </c>
      <c r="Q313" s="90" t="s">
        <v>2149</v>
      </c>
      <c r="R313" s="96" t="str">
        <f>HYPERLINK("https://talouskurssi.fi/")</f>
        <v>https://talouskurssi.fi/</v>
      </c>
      <c r="S313" s="90" t="s">
        <v>334</v>
      </c>
      <c r="T313" s="90"/>
      <c r="U313" s="90"/>
      <c r="V313" s="96" t="str">
        <f>HYPERLINK("https://pbs.twimg.com/profile_images/1134360485736984576/KAKDXRpX_normal.png")</f>
        <v>https://pbs.twimg.com/profile_images/1134360485736984576/KAKDXRpX_normal.png</v>
      </c>
      <c r="W313" s="93">
        <v>44483.71761574074</v>
      </c>
      <c r="X313" s="102">
        <v>44483</v>
      </c>
      <c r="Y313" s="99" t="s">
        <v>2190</v>
      </c>
      <c r="Z313" s="96" t="str">
        <f>HYPERLINK("https://twitter.com/jarijarvenpaa/status/1448698457976365063")</f>
        <v>https://twitter.com/jarijarvenpaa/status/1448698457976365063</v>
      </c>
      <c r="AA313" s="90"/>
      <c r="AB313" s="90"/>
      <c r="AC313" s="99" t="s">
        <v>2235</v>
      </c>
      <c r="AD313" s="90"/>
      <c r="AE313" s="90" t="b">
        <v>0</v>
      </c>
      <c r="AF313" s="90">
        <v>0</v>
      </c>
      <c r="AG313" s="99" t="s">
        <v>535</v>
      </c>
      <c r="AH313" s="90" t="b">
        <v>0</v>
      </c>
      <c r="AI313" s="90" t="s">
        <v>537</v>
      </c>
      <c r="AJ313" s="90"/>
      <c r="AK313" s="99" t="s">
        <v>535</v>
      </c>
      <c r="AL313" s="90" t="b">
        <v>0</v>
      </c>
      <c r="AM313" s="90">
        <v>3</v>
      </c>
      <c r="AN313" s="99" t="s">
        <v>2243</v>
      </c>
      <c r="AO313" s="99" t="s">
        <v>542</v>
      </c>
      <c r="AP313" s="90" t="b">
        <v>0</v>
      </c>
      <c r="AQ313" s="99" t="s">
        <v>2243</v>
      </c>
      <c r="AR313" s="90" t="s">
        <v>187</v>
      </c>
      <c r="AS313" s="90">
        <v>0</v>
      </c>
      <c r="AT313" s="90">
        <v>0</v>
      </c>
      <c r="AU313" s="90"/>
      <c r="AV313" s="90"/>
      <c r="AW313" s="90"/>
      <c r="AX313" s="90"/>
      <c r="AY313" s="90"/>
      <c r="AZ313" s="90"/>
      <c r="BA313" s="90"/>
      <c r="BB313" s="90"/>
      <c r="BC313" s="90">
        <v>1</v>
      </c>
      <c r="BD313" s="89" t="str">
        <f>REPLACE(INDEX(GroupVertices[Group],MATCH(Edges[[#This Row],[Vertex 1]],GroupVertices[Vertex],0)),1,1,"")</f>
        <v>3</v>
      </c>
      <c r="BE313" s="89" t="str">
        <f>REPLACE(INDEX(GroupVertices[Group],MATCH(Edges[[#This Row],[Vertex 2]],GroupVertices[Vertex],0)),1,1,"")</f>
        <v>3</v>
      </c>
      <c r="BF313" s="49">
        <v>0</v>
      </c>
      <c r="BG313" s="50">
        <v>0</v>
      </c>
      <c r="BH313" s="49">
        <v>0</v>
      </c>
      <c r="BI313" s="50">
        <v>0</v>
      </c>
      <c r="BJ313" s="49">
        <v>0</v>
      </c>
      <c r="BK313" s="50">
        <v>0</v>
      </c>
      <c r="BL313" s="49">
        <v>21</v>
      </c>
      <c r="BM313" s="50">
        <v>100</v>
      </c>
      <c r="BN313" s="49">
        <v>21</v>
      </c>
    </row>
    <row r="314" spans="1:66" ht="15">
      <c r="A314" s="66" t="s">
        <v>300</v>
      </c>
      <c r="B314" s="66" t="s">
        <v>299</v>
      </c>
      <c r="C314" s="67" t="s">
        <v>2108</v>
      </c>
      <c r="D314" s="68">
        <v>1</v>
      </c>
      <c r="E314" s="69" t="s">
        <v>132</v>
      </c>
      <c r="F314" s="70">
        <v>32</v>
      </c>
      <c r="G314" s="67" t="s">
        <v>51</v>
      </c>
      <c r="H314" s="71"/>
      <c r="I314" s="72"/>
      <c r="J314" s="72"/>
      <c r="K314" s="35" t="s">
        <v>65</v>
      </c>
      <c r="L314" s="79">
        <v>314</v>
      </c>
      <c r="M314" s="79"/>
      <c r="N314" s="74"/>
      <c r="O314" s="90" t="s">
        <v>306</v>
      </c>
      <c r="P314" s="93">
        <v>44483.72280092593</v>
      </c>
      <c r="Q314" s="90" t="s">
        <v>310</v>
      </c>
      <c r="R314" s="96" t="str">
        <f>HYPERLINK("https://talouskurssi.fi/")</f>
        <v>https://talouskurssi.fi/</v>
      </c>
      <c r="S314" s="90" t="s">
        <v>334</v>
      </c>
      <c r="T314" s="99" t="s">
        <v>338</v>
      </c>
      <c r="U314" s="96" t="str">
        <f>HYPERLINK("https://pbs.twimg.com/ext_tw_video_thumb/1448527896562348036/pu/img/0PqSbNMaXHvzKHCc.jpg")</f>
        <v>https://pbs.twimg.com/ext_tw_video_thumb/1448527896562348036/pu/img/0PqSbNMaXHvzKHCc.jpg</v>
      </c>
      <c r="V314" s="96" t="str">
        <f>HYPERLINK("https://pbs.twimg.com/ext_tw_video_thumb/1448527896562348036/pu/img/0PqSbNMaXHvzKHCc.jpg")</f>
        <v>https://pbs.twimg.com/ext_tw_video_thumb/1448527896562348036/pu/img/0PqSbNMaXHvzKHCc.jpg</v>
      </c>
      <c r="W314" s="93">
        <v>44483.72280092593</v>
      </c>
      <c r="X314" s="102">
        <v>44483</v>
      </c>
      <c r="Y314" s="99" t="s">
        <v>433</v>
      </c>
      <c r="Z314" s="96" t="str">
        <f>HYPERLINK("https://twitter.com/krista_ri_/status/1448700336106049542")</f>
        <v>https://twitter.com/krista_ri_/status/1448700336106049542</v>
      </c>
      <c r="AA314" s="90"/>
      <c r="AB314" s="90"/>
      <c r="AC314" s="99" t="s">
        <v>527</v>
      </c>
      <c r="AD314" s="90"/>
      <c r="AE314" s="90" t="b">
        <v>0</v>
      </c>
      <c r="AF314" s="90">
        <v>0</v>
      </c>
      <c r="AG314" s="99" t="s">
        <v>535</v>
      </c>
      <c r="AH314" s="90" t="b">
        <v>0</v>
      </c>
      <c r="AI314" s="90" t="s">
        <v>537</v>
      </c>
      <c r="AJ314" s="90"/>
      <c r="AK314" s="99" t="s">
        <v>535</v>
      </c>
      <c r="AL314" s="90" t="b">
        <v>0</v>
      </c>
      <c r="AM314" s="90">
        <v>52</v>
      </c>
      <c r="AN314" s="99" t="s">
        <v>526</v>
      </c>
      <c r="AO314" s="99" t="s">
        <v>543</v>
      </c>
      <c r="AP314" s="90" t="b">
        <v>0</v>
      </c>
      <c r="AQ314" s="99" t="s">
        <v>526</v>
      </c>
      <c r="AR314" s="90" t="s">
        <v>187</v>
      </c>
      <c r="AS314" s="90">
        <v>0</v>
      </c>
      <c r="AT314" s="90">
        <v>0</v>
      </c>
      <c r="AU314" s="90"/>
      <c r="AV314" s="90"/>
      <c r="AW314" s="90"/>
      <c r="AX314" s="90"/>
      <c r="AY314" s="90"/>
      <c r="AZ314" s="90"/>
      <c r="BA314" s="90"/>
      <c r="BB314" s="90"/>
      <c r="BC314" s="90">
        <v>1</v>
      </c>
      <c r="BD314" s="89" t="str">
        <f>REPLACE(INDEX(GroupVertices[Group],MATCH(Edges[[#This Row],[Vertex 1]],GroupVertices[Vertex],0)),1,1,"")</f>
        <v>1</v>
      </c>
      <c r="BE314" s="89" t="str">
        <f>REPLACE(INDEX(GroupVertices[Group],MATCH(Edges[[#This Row],[Vertex 2]],GroupVertices[Vertex],0)),1,1,"")</f>
        <v>1</v>
      </c>
      <c r="BF314" s="49"/>
      <c r="BG314" s="50"/>
      <c r="BH314" s="49"/>
      <c r="BI314" s="50"/>
      <c r="BJ314" s="49"/>
      <c r="BK314" s="50"/>
      <c r="BL314" s="49"/>
      <c r="BM314" s="50"/>
      <c r="BN314" s="49"/>
    </row>
    <row r="315" spans="1:66" ht="15">
      <c r="A315" s="66" t="s">
        <v>300</v>
      </c>
      <c r="B315" s="66" t="s">
        <v>302</v>
      </c>
      <c r="C315" s="67" t="s">
        <v>2108</v>
      </c>
      <c r="D315" s="68">
        <v>1</v>
      </c>
      <c r="E315" s="69" t="s">
        <v>132</v>
      </c>
      <c r="F315" s="70">
        <v>32</v>
      </c>
      <c r="G315" s="67" t="s">
        <v>51</v>
      </c>
      <c r="H315" s="71"/>
      <c r="I315" s="72"/>
      <c r="J315" s="72"/>
      <c r="K315" s="35" t="s">
        <v>65</v>
      </c>
      <c r="L315" s="79">
        <v>315</v>
      </c>
      <c r="M315" s="79"/>
      <c r="N315" s="74"/>
      <c r="O315" s="90" t="s">
        <v>306</v>
      </c>
      <c r="P315" s="93">
        <v>44483.72280092593</v>
      </c>
      <c r="Q315" s="90" t="s">
        <v>310</v>
      </c>
      <c r="R315" s="96" t="str">
        <f>HYPERLINK("https://talouskurssi.fi/")</f>
        <v>https://talouskurssi.fi/</v>
      </c>
      <c r="S315" s="90" t="s">
        <v>334</v>
      </c>
      <c r="T315" s="99" t="s">
        <v>338</v>
      </c>
      <c r="U315" s="96" t="str">
        <f>HYPERLINK("https://pbs.twimg.com/ext_tw_video_thumb/1448527896562348036/pu/img/0PqSbNMaXHvzKHCc.jpg")</f>
        <v>https://pbs.twimg.com/ext_tw_video_thumb/1448527896562348036/pu/img/0PqSbNMaXHvzKHCc.jpg</v>
      </c>
      <c r="V315" s="96" t="str">
        <f>HYPERLINK("https://pbs.twimg.com/ext_tw_video_thumb/1448527896562348036/pu/img/0PqSbNMaXHvzKHCc.jpg")</f>
        <v>https://pbs.twimg.com/ext_tw_video_thumb/1448527896562348036/pu/img/0PqSbNMaXHvzKHCc.jpg</v>
      </c>
      <c r="W315" s="93">
        <v>44483.72280092593</v>
      </c>
      <c r="X315" s="102">
        <v>44483</v>
      </c>
      <c r="Y315" s="99" t="s">
        <v>433</v>
      </c>
      <c r="Z315" s="96" t="str">
        <f>HYPERLINK("https://twitter.com/krista_ri_/status/1448700336106049542")</f>
        <v>https://twitter.com/krista_ri_/status/1448700336106049542</v>
      </c>
      <c r="AA315" s="90"/>
      <c r="AB315" s="90"/>
      <c r="AC315" s="99" t="s">
        <v>527</v>
      </c>
      <c r="AD315" s="90"/>
      <c r="AE315" s="90" t="b">
        <v>0</v>
      </c>
      <c r="AF315" s="90">
        <v>0</v>
      </c>
      <c r="AG315" s="99" t="s">
        <v>535</v>
      </c>
      <c r="AH315" s="90" t="b">
        <v>0</v>
      </c>
      <c r="AI315" s="90" t="s">
        <v>537</v>
      </c>
      <c r="AJ315" s="90"/>
      <c r="AK315" s="99" t="s">
        <v>535</v>
      </c>
      <c r="AL315" s="90" t="b">
        <v>0</v>
      </c>
      <c r="AM315" s="90">
        <v>52</v>
      </c>
      <c r="AN315" s="99" t="s">
        <v>526</v>
      </c>
      <c r="AO315" s="99" t="s">
        <v>543</v>
      </c>
      <c r="AP315" s="90" t="b">
        <v>0</v>
      </c>
      <c r="AQ315" s="99" t="s">
        <v>526</v>
      </c>
      <c r="AR315" s="90" t="s">
        <v>187</v>
      </c>
      <c r="AS315" s="90">
        <v>0</v>
      </c>
      <c r="AT315" s="90">
        <v>0</v>
      </c>
      <c r="AU315" s="90"/>
      <c r="AV315" s="90"/>
      <c r="AW315" s="90"/>
      <c r="AX315" s="90"/>
      <c r="AY315" s="90"/>
      <c r="AZ315" s="90"/>
      <c r="BA315" s="90"/>
      <c r="BB315" s="90"/>
      <c r="BC315" s="90">
        <v>1</v>
      </c>
      <c r="BD315" s="89" t="str">
        <f>REPLACE(INDEX(GroupVertices[Group],MATCH(Edges[[#This Row],[Vertex 1]],GroupVertices[Vertex],0)),1,1,"")</f>
        <v>1</v>
      </c>
      <c r="BE315" s="89" t="str">
        <f>REPLACE(INDEX(GroupVertices[Group],MATCH(Edges[[#This Row],[Vertex 2]],GroupVertices[Vertex],0)),1,1,"")</f>
        <v>1</v>
      </c>
      <c r="BF315" s="49"/>
      <c r="BG315" s="50"/>
      <c r="BH315" s="49"/>
      <c r="BI315" s="50"/>
      <c r="BJ315" s="49"/>
      <c r="BK315" s="50"/>
      <c r="BL315" s="49"/>
      <c r="BM315" s="50"/>
      <c r="BN315" s="49"/>
    </row>
    <row r="316" spans="1:66" ht="15">
      <c r="A316" s="66" t="s">
        <v>300</v>
      </c>
      <c r="B316" s="66" t="s">
        <v>293</v>
      </c>
      <c r="C316" s="67" t="s">
        <v>2108</v>
      </c>
      <c r="D316" s="68">
        <v>1</v>
      </c>
      <c r="E316" s="69" t="s">
        <v>132</v>
      </c>
      <c r="F316" s="70">
        <v>32</v>
      </c>
      <c r="G316" s="67" t="s">
        <v>51</v>
      </c>
      <c r="H316" s="71"/>
      <c r="I316" s="72"/>
      <c r="J316" s="72"/>
      <c r="K316" s="35" t="s">
        <v>65</v>
      </c>
      <c r="L316" s="79">
        <v>316</v>
      </c>
      <c r="M316" s="79"/>
      <c r="N316" s="74"/>
      <c r="O316" s="90" t="s">
        <v>305</v>
      </c>
      <c r="P316" s="93">
        <v>44483.72280092593</v>
      </c>
      <c r="Q316" s="90" t="s">
        <v>310</v>
      </c>
      <c r="R316" s="96" t="str">
        <f>HYPERLINK("https://talouskurssi.fi/")</f>
        <v>https://talouskurssi.fi/</v>
      </c>
      <c r="S316" s="90" t="s">
        <v>334</v>
      </c>
      <c r="T316" s="99" t="s">
        <v>338</v>
      </c>
      <c r="U316" s="96" t="str">
        <f>HYPERLINK("https://pbs.twimg.com/ext_tw_video_thumb/1448527896562348036/pu/img/0PqSbNMaXHvzKHCc.jpg")</f>
        <v>https://pbs.twimg.com/ext_tw_video_thumb/1448527896562348036/pu/img/0PqSbNMaXHvzKHCc.jpg</v>
      </c>
      <c r="V316" s="96" t="str">
        <f>HYPERLINK("https://pbs.twimg.com/ext_tw_video_thumb/1448527896562348036/pu/img/0PqSbNMaXHvzKHCc.jpg")</f>
        <v>https://pbs.twimg.com/ext_tw_video_thumb/1448527896562348036/pu/img/0PqSbNMaXHvzKHCc.jpg</v>
      </c>
      <c r="W316" s="93">
        <v>44483.72280092593</v>
      </c>
      <c r="X316" s="102">
        <v>44483</v>
      </c>
      <c r="Y316" s="99" t="s">
        <v>433</v>
      </c>
      <c r="Z316" s="96" t="str">
        <f>HYPERLINK("https://twitter.com/krista_ri_/status/1448700336106049542")</f>
        <v>https://twitter.com/krista_ri_/status/1448700336106049542</v>
      </c>
      <c r="AA316" s="90"/>
      <c r="AB316" s="90"/>
      <c r="AC316" s="99" t="s">
        <v>527</v>
      </c>
      <c r="AD316" s="90"/>
      <c r="AE316" s="90" t="b">
        <v>0</v>
      </c>
      <c r="AF316" s="90">
        <v>0</v>
      </c>
      <c r="AG316" s="99" t="s">
        <v>535</v>
      </c>
      <c r="AH316" s="90" t="b">
        <v>0</v>
      </c>
      <c r="AI316" s="90" t="s">
        <v>537</v>
      </c>
      <c r="AJ316" s="90"/>
      <c r="AK316" s="99" t="s">
        <v>535</v>
      </c>
      <c r="AL316" s="90" t="b">
        <v>0</v>
      </c>
      <c r="AM316" s="90">
        <v>52</v>
      </c>
      <c r="AN316" s="99" t="s">
        <v>526</v>
      </c>
      <c r="AO316" s="99" t="s">
        <v>543</v>
      </c>
      <c r="AP316" s="90" t="b">
        <v>0</v>
      </c>
      <c r="AQ316" s="99" t="s">
        <v>526</v>
      </c>
      <c r="AR316" s="90" t="s">
        <v>187</v>
      </c>
      <c r="AS316" s="90">
        <v>0</v>
      </c>
      <c r="AT316" s="90">
        <v>0</v>
      </c>
      <c r="AU316" s="90"/>
      <c r="AV316" s="90"/>
      <c r="AW316" s="90"/>
      <c r="AX316" s="90"/>
      <c r="AY316" s="90"/>
      <c r="AZ316" s="90"/>
      <c r="BA316" s="90"/>
      <c r="BB316" s="90"/>
      <c r="BC316" s="90">
        <v>1</v>
      </c>
      <c r="BD316" s="89" t="str">
        <f>REPLACE(INDEX(GroupVertices[Group],MATCH(Edges[[#This Row],[Vertex 1]],GroupVertices[Vertex],0)),1,1,"")</f>
        <v>1</v>
      </c>
      <c r="BE316" s="89" t="str">
        <f>REPLACE(INDEX(GroupVertices[Group],MATCH(Edges[[#This Row],[Vertex 2]],GroupVertices[Vertex],0)),1,1,"")</f>
        <v>3</v>
      </c>
      <c r="BF316" s="49">
        <v>0</v>
      </c>
      <c r="BG316" s="50">
        <v>0</v>
      </c>
      <c r="BH316" s="49">
        <v>0</v>
      </c>
      <c r="BI316" s="50">
        <v>0</v>
      </c>
      <c r="BJ316" s="49">
        <v>0</v>
      </c>
      <c r="BK316" s="50">
        <v>0</v>
      </c>
      <c r="BL316" s="49">
        <v>28</v>
      </c>
      <c r="BM316" s="50">
        <v>100</v>
      </c>
      <c r="BN316" s="49">
        <v>28</v>
      </c>
    </row>
    <row r="317" spans="1:66" ht="15">
      <c r="A317" s="66" t="s">
        <v>250</v>
      </c>
      <c r="B317" s="66" t="s">
        <v>302</v>
      </c>
      <c r="C317" s="67" t="s">
        <v>2108</v>
      </c>
      <c r="D317" s="68">
        <v>1</v>
      </c>
      <c r="E317" s="69" t="s">
        <v>132</v>
      </c>
      <c r="F317" s="70">
        <v>32</v>
      </c>
      <c r="G317" s="67" t="s">
        <v>51</v>
      </c>
      <c r="H317" s="71"/>
      <c r="I317" s="72"/>
      <c r="J317" s="72"/>
      <c r="K317" s="35" t="s">
        <v>65</v>
      </c>
      <c r="L317" s="79">
        <v>317</v>
      </c>
      <c r="M317" s="79"/>
      <c r="N317" s="74"/>
      <c r="O317" s="90" t="s">
        <v>306</v>
      </c>
      <c r="P317" s="93">
        <v>44483.359618055554</v>
      </c>
      <c r="Q317" s="90" t="s">
        <v>310</v>
      </c>
      <c r="R317" s="96" t="str">
        <f>HYPERLINK("https://talouskurssi.fi/")</f>
        <v>https://talouskurssi.fi/</v>
      </c>
      <c r="S317" s="90" t="s">
        <v>334</v>
      </c>
      <c r="T317" s="99" t="s">
        <v>338</v>
      </c>
      <c r="U317" s="96" t="str">
        <f>HYPERLINK("https://pbs.twimg.com/ext_tw_video_thumb/1448527896562348036/pu/img/0PqSbNMaXHvzKHCc.jpg")</f>
        <v>https://pbs.twimg.com/ext_tw_video_thumb/1448527896562348036/pu/img/0PqSbNMaXHvzKHCc.jpg</v>
      </c>
      <c r="V317" s="96" t="str">
        <f>HYPERLINK("https://pbs.twimg.com/ext_tw_video_thumb/1448527896562348036/pu/img/0PqSbNMaXHvzKHCc.jpg")</f>
        <v>https://pbs.twimg.com/ext_tw_video_thumb/1448527896562348036/pu/img/0PqSbNMaXHvzKHCc.jpg</v>
      </c>
      <c r="W317" s="93">
        <v>44483.359618055554</v>
      </c>
      <c r="X317" s="102">
        <v>44483</v>
      </c>
      <c r="Y317" s="99" t="s">
        <v>371</v>
      </c>
      <c r="Z317" s="96" t="str">
        <f>HYPERLINK("https://twitter.com/teemu_roos/status/1448568723367989254")</f>
        <v>https://twitter.com/teemu_roos/status/1448568723367989254</v>
      </c>
      <c r="AA317" s="90"/>
      <c r="AB317" s="90"/>
      <c r="AC317" s="99" t="s">
        <v>465</v>
      </c>
      <c r="AD317" s="90"/>
      <c r="AE317" s="90" t="b">
        <v>0</v>
      </c>
      <c r="AF317" s="90">
        <v>0</v>
      </c>
      <c r="AG317" s="99" t="s">
        <v>535</v>
      </c>
      <c r="AH317" s="90" t="b">
        <v>0</v>
      </c>
      <c r="AI317" s="90" t="s">
        <v>537</v>
      </c>
      <c r="AJ317" s="90"/>
      <c r="AK317" s="99" t="s">
        <v>535</v>
      </c>
      <c r="AL317" s="90" t="b">
        <v>0</v>
      </c>
      <c r="AM317" s="90">
        <v>52</v>
      </c>
      <c r="AN317" s="99" t="s">
        <v>526</v>
      </c>
      <c r="AO317" s="99" t="s">
        <v>542</v>
      </c>
      <c r="AP317" s="90" t="b">
        <v>0</v>
      </c>
      <c r="AQ317" s="99" t="s">
        <v>526</v>
      </c>
      <c r="AR317" s="90" t="s">
        <v>187</v>
      </c>
      <c r="AS317" s="90">
        <v>0</v>
      </c>
      <c r="AT317" s="90">
        <v>0</v>
      </c>
      <c r="AU317" s="90"/>
      <c r="AV317" s="90"/>
      <c r="AW317" s="90"/>
      <c r="AX317" s="90"/>
      <c r="AY317" s="90"/>
      <c r="AZ317" s="90"/>
      <c r="BA317" s="90"/>
      <c r="BB317" s="90"/>
      <c r="BC317" s="90">
        <v>1</v>
      </c>
      <c r="BD317" s="89" t="str">
        <f>REPLACE(INDEX(GroupVertices[Group],MATCH(Edges[[#This Row],[Vertex 1]],GroupVertices[Vertex],0)),1,1,"")</f>
        <v>2</v>
      </c>
      <c r="BE317" s="89" t="str">
        <f>REPLACE(INDEX(GroupVertices[Group],MATCH(Edges[[#This Row],[Vertex 2]],GroupVertices[Vertex],0)),1,1,"")</f>
        <v>1</v>
      </c>
      <c r="BF317" s="49"/>
      <c r="BG317" s="50"/>
      <c r="BH317" s="49"/>
      <c r="BI317" s="50"/>
      <c r="BJ317" s="49"/>
      <c r="BK317" s="50"/>
      <c r="BL317" s="49"/>
      <c r="BM317" s="50"/>
      <c r="BN317" s="49"/>
    </row>
    <row r="318" spans="1:66" ht="15">
      <c r="A318" s="66" t="s">
        <v>252</v>
      </c>
      <c r="B318" s="66" t="s">
        <v>302</v>
      </c>
      <c r="C318" s="67" t="s">
        <v>2108</v>
      </c>
      <c r="D318" s="68">
        <v>1</v>
      </c>
      <c r="E318" s="69" t="s">
        <v>132</v>
      </c>
      <c r="F318" s="70">
        <v>32</v>
      </c>
      <c r="G318" s="67" t="s">
        <v>51</v>
      </c>
      <c r="H318" s="71"/>
      <c r="I318" s="72"/>
      <c r="J318" s="72"/>
      <c r="K318" s="35" t="s">
        <v>65</v>
      </c>
      <c r="L318" s="79">
        <v>318</v>
      </c>
      <c r="M318" s="79"/>
      <c r="N318" s="74"/>
      <c r="O318" s="90" t="s">
        <v>306</v>
      </c>
      <c r="P318" s="93">
        <v>44483.36479166667</v>
      </c>
      <c r="Q318" s="90" t="s">
        <v>310</v>
      </c>
      <c r="R318" s="96" t="str">
        <f>HYPERLINK("https://talouskurssi.fi/")</f>
        <v>https://talouskurssi.fi/</v>
      </c>
      <c r="S318" s="90" t="s">
        <v>334</v>
      </c>
      <c r="T318" s="99" t="s">
        <v>338</v>
      </c>
      <c r="U318" s="96" t="str">
        <f>HYPERLINK("https://pbs.twimg.com/ext_tw_video_thumb/1448527896562348036/pu/img/0PqSbNMaXHvzKHCc.jpg")</f>
        <v>https://pbs.twimg.com/ext_tw_video_thumb/1448527896562348036/pu/img/0PqSbNMaXHvzKHCc.jpg</v>
      </c>
      <c r="V318" s="96" t="str">
        <f>HYPERLINK("https://pbs.twimg.com/ext_tw_video_thumb/1448527896562348036/pu/img/0PqSbNMaXHvzKHCc.jpg")</f>
        <v>https://pbs.twimg.com/ext_tw_video_thumb/1448527896562348036/pu/img/0PqSbNMaXHvzKHCc.jpg</v>
      </c>
      <c r="W318" s="93">
        <v>44483.36479166667</v>
      </c>
      <c r="X318" s="102">
        <v>44483</v>
      </c>
      <c r="Y318" s="99" t="s">
        <v>373</v>
      </c>
      <c r="Z318" s="96" t="str">
        <f>HYPERLINK("https://twitter.com/moocfi/status/1448570598217732100")</f>
        <v>https://twitter.com/moocfi/status/1448570598217732100</v>
      </c>
      <c r="AA318" s="90"/>
      <c r="AB318" s="90"/>
      <c r="AC318" s="99" t="s">
        <v>467</v>
      </c>
      <c r="AD318" s="90"/>
      <c r="AE318" s="90" t="b">
        <v>0</v>
      </c>
      <c r="AF318" s="90">
        <v>0</v>
      </c>
      <c r="AG318" s="99" t="s">
        <v>535</v>
      </c>
      <c r="AH318" s="90" t="b">
        <v>0</v>
      </c>
      <c r="AI318" s="90" t="s">
        <v>537</v>
      </c>
      <c r="AJ318" s="90"/>
      <c r="AK318" s="99" t="s">
        <v>535</v>
      </c>
      <c r="AL318" s="90" t="b">
        <v>0</v>
      </c>
      <c r="AM318" s="90">
        <v>52</v>
      </c>
      <c r="AN318" s="99" t="s">
        <v>526</v>
      </c>
      <c r="AO318" s="99" t="s">
        <v>542</v>
      </c>
      <c r="AP318" s="90" t="b">
        <v>0</v>
      </c>
      <c r="AQ318" s="99" t="s">
        <v>526</v>
      </c>
      <c r="AR318" s="90" t="s">
        <v>187</v>
      </c>
      <c r="AS318" s="90">
        <v>0</v>
      </c>
      <c r="AT318" s="90">
        <v>0</v>
      </c>
      <c r="AU318" s="90"/>
      <c r="AV318" s="90"/>
      <c r="AW318" s="90"/>
      <c r="AX318" s="90"/>
      <c r="AY318" s="90"/>
      <c r="AZ318" s="90"/>
      <c r="BA318" s="90"/>
      <c r="BB318" s="90"/>
      <c r="BC318" s="90">
        <v>1</v>
      </c>
      <c r="BD318" s="89" t="str">
        <f>REPLACE(INDEX(GroupVertices[Group],MATCH(Edges[[#This Row],[Vertex 1]],GroupVertices[Vertex],0)),1,1,"")</f>
        <v>2</v>
      </c>
      <c r="BE318" s="89" t="str">
        <f>REPLACE(INDEX(GroupVertices[Group],MATCH(Edges[[#This Row],[Vertex 2]],GroupVertices[Vertex],0)),1,1,"")</f>
        <v>1</v>
      </c>
      <c r="BF318" s="49"/>
      <c r="BG318" s="50"/>
      <c r="BH318" s="49"/>
      <c r="BI318" s="50"/>
      <c r="BJ318" s="49"/>
      <c r="BK318" s="50"/>
      <c r="BL318" s="49"/>
      <c r="BM318" s="50"/>
      <c r="BN318" s="49"/>
    </row>
    <row r="319" spans="1:66" ht="15">
      <c r="A319" s="66" t="s">
        <v>299</v>
      </c>
      <c r="B319" s="66" t="s">
        <v>302</v>
      </c>
      <c r="C319" s="67" t="s">
        <v>2108</v>
      </c>
      <c r="D319" s="68">
        <v>1</v>
      </c>
      <c r="E319" s="69" t="s">
        <v>132</v>
      </c>
      <c r="F319" s="70">
        <v>32</v>
      </c>
      <c r="G319" s="67" t="s">
        <v>51</v>
      </c>
      <c r="H319" s="71"/>
      <c r="I319" s="72"/>
      <c r="J319" s="72"/>
      <c r="K319" s="35" t="s">
        <v>65</v>
      </c>
      <c r="L319" s="79">
        <v>319</v>
      </c>
      <c r="M319" s="79"/>
      <c r="N319" s="74"/>
      <c r="O319" s="90" t="s">
        <v>306</v>
      </c>
      <c r="P319" s="93">
        <v>44483.506215277775</v>
      </c>
      <c r="Q319" s="90" t="s">
        <v>310</v>
      </c>
      <c r="R319" s="96" t="str">
        <f>HYPERLINK("https://talouskurssi.fi/")</f>
        <v>https://talouskurssi.fi/</v>
      </c>
      <c r="S319" s="90" t="s">
        <v>334</v>
      </c>
      <c r="T319" s="99" t="s">
        <v>338</v>
      </c>
      <c r="U319" s="96" t="str">
        <f>HYPERLINK("https://pbs.twimg.com/ext_tw_video_thumb/1448527896562348036/pu/img/0PqSbNMaXHvzKHCc.jpg")</f>
        <v>https://pbs.twimg.com/ext_tw_video_thumb/1448527896562348036/pu/img/0PqSbNMaXHvzKHCc.jpg</v>
      </c>
      <c r="V319" s="96" t="str">
        <f>HYPERLINK("https://pbs.twimg.com/ext_tw_video_thumb/1448527896562348036/pu/img/0PqSbNMaXHvzKHCc.jpg")</f>
        <v>https://pbs.twimg.com/ext_tw_video_thumb/1448527896562348036/pu/img/0PqSbNMaXHvzKHCc.jpg</v>
      </c>
      <c r="W319" s="93">
        <v>44483.506215277775</v>
      </c>
      <c r="X319" s="102">
        <v>44483</v>
      </c>
      <c r="Y319" s="99" t="s">
        <v>431</v>
      </c>
      <c r="Z319" s="96" t="str">
        <f>HYPERLINK("https://twitter.com/helsinkiuni/status/1448621847738732547")</f>
        <v>https://twitter.com/helsinkiuni/status/1448621847738732547</v>
      </c>
      <c r="AA319" s="90"/>
      <c r="AB319" s="90"/>
      <c r="AC319" s="99" t="s">
        <v>525</v>
      </c>
      <c r="AD319" s="90"/>
      <c r="AE319" s="90" t="b">
        <v>0</v>
      </c>
      <c r="AF319" s="90">
        <v>0</v>
      </c>
      <c r="AG319" s="99" t="s">
        <v>535</v>
      </c>
      <c r="AH319" s="90" t="b">
        <v>0</v>
      </c>
      <c r="AI319" s="90" t="s">
        <v>537</v>
      </c>
      <c r="AJ319" s="90"/>
      <c r="AK319" s="99" t="s">
        <v>535</v>
      </c>
      <c r="AL319" s="90" t="b">
        <v>0</v>
      </c>
      <c r="AM319" s="90">
        <v>52</v>
      </c>
      <c r="AN319" s="99" t="s">
        <v>526</v>
      </c>
      <c r="AO319" s="99" t="s">
        <v>547</v>
      </c>
      <c r="AP319" s="90" t="b">
        <v>0</v>
      </c>
      <c r="AQ319" s="99" t="s">
        <v>526</v>
      </c>
      <c r="AR319" s="90" t="s">
        <v>187</v>
      </c>
      <c r="AS319" s="90">
        <v>0</v>
      </c>
      <c r="AT319" s="90">
        <v>0</v>
      </c>
      <c r="AU319" s="90"/>
      <c r="AV319" s="90"/>
      <c r="AW319" s="90"/>
      <c r="AX319" s="90"/>
      <c r="AY319" s="90"/>
      <c r="AZ319" s="90"/>
      <c r="BA319" s="90"/>
      <c r="BB319" s="90"/>
      <c r="BC319" s="90">
        <v>1</v>
      </c>
      <c r="BD319" s="89" t="str">
        <f>REPLACE(INDEX(GroupVertices[Group],MATCH(Edges[[#This Row],[Vertex 1]],GroupVertices[Vertex],0)),1,1,"")</f>
        <v>1</v>
      </c>
      <c r="BE319" s="89" t="str">
        <f>REPLACE(INDEX(GroupVertices[Group],MATCH(Edges[[#This Row],[Vertex 2]],GroupVertices[Vertex],0)),1,1,"")</f>
        <v>1</v>
      </c>
      <c r="BF319" s="49">
        <v>0</v>
      </c>
      <c r="BG319" s="50">
        <v>0</v>
      </c>
      <c r="BH319" s="49">
        <v>0</v>
      </c>
      <c r="BI319" s="50">
        <v>0</v>
      </c>
      <c r="BJ319" s="49">
        <v>0</v>
      </c>
      <c r="BK319" s="50">
        <v>0</v>
      </c>
      <c r="BL319" s="49">
        <v>28</v>
      </c>
      <c r="BM319" s="50">
        <v>100</v>
      </c>
      <c r="BN319" s="49">
        <v>28</v>
      </c>
    </row>
    <row r="320" spans="1:66" ht="15">
      <c r="A320" s="66" t="s">
        <v>293</v>
      </c>
      <c r="B320" s="66" t="s">
        <v>302</v>
      </c>
      <c r="C320" s="67" t="s">
        <v>2108</v>
      </c>
      <c r="D320" s="68">
        <v>1</v>
      </c>
      <c r="E320" s="69" t="s">
        <v>132</v>
      </c>
      <c r="F320" s="70">
        <v>32</v>
      </c>
      <c r="G320" s="67" t="s">
        <v>51</v>
      </c>
      <c r="H320" s="71"/>
      <c r="I320" s="72"/>
      <c r="J320" s="72"/>
      <c r="K320" s="35" t="s">
        <v>65</v>
      </c>
      <c r="L320" s="79">
        <v>320</v>
      </c>
      <c r="M320" s="79"/>
      <c r="N320" s="74"/>
      <c r="O320" s="90" t="s">
        <v>307</v>
      </c>
      <c r="P320" s="93">
        <v>44483.25304398148</v>
      </c>
      <c r="Q320" s="90" t="s">
        <v>310</v>
      </c>
      <c r="R320" s="96" t="str">
        <f>HYPERLINK("https://talouskurssi.fi/")</f>
        <v>https://talouskurssi.fi/</v>
      </c>
      <c r="S320" s="90" t="s">
        <v>334</v>
      </c>
      <c r="T320" s="99" t="s">
        <v>338</v>
      </c>
      <c r="U320" s="96" t="str">
        <f>HYPERLINK("https://pbs.twimg.com/ext_tw_video_thumb/1448527896562348036/pu/img/0PqSbNMaXHvzKHCc.jpg")</f>
        <v>https://pbs.twimg.com/ext_tw_video_thumb/1448527896562348036/pu/img/0PqSbNMaXHvzKHCc.jpg</v>
      </c>
      <c r="V320" s="96" t="str">
        <f>HYPERLINK("https://pbs.twimg.com/ext_tw_video_thumb/1448527896562348036/pu/img/0PqSbNMaXHvzKHCc.jpg")</f>
        <v>https://pbs.twimg.com/ext_tw_video_thumb/1448527896562348036/pu/img/0PqSbNMaXHvzKHCc.jpg</v>
      </c>
      <c r="W320" s="93">
        <v>44483.25304398148</v>
      </c>
      <c r="X320" s="102">
        <v>44483</v>
      </c>
      <c r="Y320" s="99" t="s">
        <v>432</v>
      </c>
      <c r="Z320" s="96" t="str">
        <f>HYPERLINK("https://twitter.com/helsinkigse/status/1448530102837514240")</f>
        <v>https://twitter.com/helsinkigse/status/1448530102837514240</v>
      </c>
      <c r="AA320" s="90"/>
      <c r="AB320" s="90"/>
      <c r="AC320" s="99" t="s">
        <v>526</v>
      </c>
      <c r="AD320" s="90"/>
      <c r="AE320" s="90" t="b">
        <v>0</v>
      </c>
      <c r="AF320" s="90">
        <v>154</v>
      </c>
      <c r="AG320" s="99" t="s">
        <v>535</v>
      </c>
      <c r="AH320" s="90" t="b">
        <v>0</v>
      </c>
      <c r="AI320" s="90" t="s">
        <v>537</v>
      </c>
      <c r="AJ320" s="90"/>
      <c r="AK320" s="99" t="s">
        <v>535</v>
      </c>
      <c r="AL320" s="90" t="b">
        <v>0</v>
      </c>
      <c r="AM320" s="90">
        <v>52</v>
      </c>
      <c r="AN320" s="99" t="s">
        <v>535</v>
      </c>
      <c r="AO320" s="99" t="s">
        <v>542</v>
      </c>
      <c r="AP320" s="90" t="b">
        <v>0</v>
      </c>
      <c r="AQ320" s="99" t="s">
        <v>526</v>
      </c>
      <c r="AR320" s="90" t="s">
        <v>187</v>
      </c>
      <c r="AS320" s="90">
        <v>0</v>
      </c>
      <c r="AT320" s="90">
        <v>0</v>
      </c>
      <c r="AU320" s="90"/>
      <c r="AV320" s="90"/>
      <c r="AW320" s="90"/>
      <c r="AX320" s="90"/>
      <c r="AY320" s="90"/>
      <c r="AZ320" s="90"/>
      <c r="BA320" s="90"/>
      <c r="BB320" s="90"/>
      <c r="BC320" s="90">
        <v>1</v>
      </c>
      <c r="BD320" s="89" t="str">
        <f>REPLACE(INDEX(GroupVertices[Group],MATCH(Edges[[#This Row],[Vertex 1]],GroupVertices[Vertex],0)),1,1,"")</f>
        <v>3</v>
      </c>
      <c r="BE320" s="89" t="str">
        <f>REPLACE(INDEX(GroupVertices[Group],MATCH(Edges[[#This Row],[Vertex 2]],GroupVertices[Vertex],0)),1,1,"")</f>
        <v>1</v>
      </c>
      <c r="BF320" s="49">
        <v>0</v>
      </c>
      <c r="BG320" s="50">
        <v>0</v>
      </c>
      <c r="BH320" s="49">
        <v>0</v>
      </c>
      <c r="BI320" s="50">
        <v>0</v>
      </c>
      <c r="BJ320" s="49">
        <v>0</v>
      </c>
      <c r="BK320" s="50">
        <v>0</v>
      </c>
      <c r="BL320" s="49">
        <v>28</v>
      </c>
      <c r="BM320" s="50">
        <v>100</v>
      </c>
      <c r="BN320" s="49">
        <v>28</v>
      </c>
    </row>
    <row r="321" spans="1:66" ht="15">
      <c r="A321" s="66" t="s">
        <v>293</v>
      </c>
      <c r="B321" s="66" t="s">
        <v>302</v>
      </c>
      <c r="C321" s="67" t="s">
        <v>2109</v>
      </c>
      <c r="D321" s="68">
        <v>10</v>
      </c>
      <c r="E321" s="69" t="s">
        <v>132</v>
      </c>
      <c r="F321" s="70">
        <v>10</v>
      </c>
      <c r="G321" s="67" t="s">
        <v>51</v>
      </c>
      <c r="H321" s="71"/>
      <c r="I321" s="72"/>
      <c r="J321" s="72"/>
      <c r="K321" s="35" t="s">
        <v>65</v>
      </c>
      <c r="L321" s="79">
        <v>321</v>
      </c>
      <c r="M321" s="79"/>
      <c r="N321" s="74"/>
      <c r="O321" s="90" t="s">
        <v>306</v>
      </c>
      <c r="P321" s="93">
        <v>44483.50150462963</v>
      </c>
      <c r="Q321" s="90" t="s">
        <v>319</v>
      </c>
      <c r="R321" s="90" t="s">
        <v>331</v>
      </c>
      <c r="S321" s="90" t="s">
        <v>335</v>
      </c>
      <c r="T321" s="99" t="s">
        <v>342</v>
      </c>
      <c r="U321" s="96" t="str">
        <f>HYPERLINK("https://pbs.twimg.com/media/FBqDIVrXsAA8FP7.jpg")</f>
        <v>https://pbs.twimg.com/media/FBqDIVrXsAA8FP7.jpg</v>
      </c>
      <c r="V321" s="96" t="str">
        <f>HYPERLINK("https://pbs.twimg.com/media/FBqDIVrXsAA8FP7.jpg")</f>
        <v>https://pbs.twimg.com/media/FBqDIVrXsAA8FP7.jpg</v>
      </c>
      <c r="W321" s="93">
        <v>44483.50150462963</v>
      </c>
      <c r="X321" s="102">
        <v>44483</v>
      </c>
      <c r="Y321" s="99" t="s">
        <v>425</v>
      </c>
      <c r="Z321" s="96" t="str">
        <f>HYPERLINK("https://twitter.com/helsinkigse/status/1448620143584612365")</f>
        <v>https://twitter.com/helsinkigse/status/1448620143584612365</v>
      </c>
      <c r="AA321" s="90"/>
      <c r="AB321" s="90"/>
      <c r="AC321" s="99" t="s">
        <v>519</v>
      </c>
      <c r="AD321" s="90"/>
      <c r="AE321" s="90" t="b">
        <v>0</v>
      </c>
      <c r="AF321" s="90">
        <v>0</v>
      </c>
      <c r="AG321" s="99" t="s">
        <v>535</v>
      </c>
      <c r="AH321" s="90" t="b">
        <v>1</v>
      </c>
      <c r="AI321" s="90" t="s">
        <v>537</v>
      </c>
      <c r="AJ321" s="90"/>
      <c r="AK321" s="99" t="s">
        <v>526</v>
      </c>
      <c r="AL321" s="90" t="b">
        <v>0</v>
      </c>
      <c r="AM321" s="90">
        <v>3</v>
      </c>
      <c r="AN321" s="99" t="s">
        <v>518</v>
      </c>
      <c r="AO321" s="99" t="s">
        <v>542</v>
      </c>
      <c r="AP321" s="90" t="b">
        <v>0</v>
      </c>
      <c r="AQ321" s="99" t="s">
        <v>518</v>
      </c>
      <c r="AR321" s="90" t="s">
        <v>187</v>
      </c>
      <c r="AS321" s="90">
        <v>0</v>
      </c>
      <c r="AT321" s="90">
        <v>0</v>
      </c>
      <c r="AU321" s="90"/>
      <c r="AV321" s="90"/>
      <c r="AW321" s="90"/>
      <c r="AX321" s="90"/>
      <c r="AY321" s="90"/>
      <c r="AZ321" s="90"/>
      <c r="BA321" s="90"/>
      <c r="BB321" s="90"/>
      <c r="BC321" s="90">
        <v>2</v>
      </c>
      <c r="BD321" s="89" t="str">
        <f>REPLACE(INDEX(GroupVertices[Group],MATCH(Edges[[#This Row],[Vertex 1]],GroupVertices[Vertex],0)),1,1,"")</f>
        <v>3</v>
      </c>
      <c r="BE321" s="89" t="str">
        <f>REPLACE(INDEX(GroupVertices[Group],MATCH(Edges[[#This Row],[Vertex 2]],GroupVertices[Vertex],0)),1,1,"")</f>
        <v>1</v>
      </c>
      <c r="BF321" s="49"/>
      <c r="BG321" s="50"/>
      <c r="BH321" s="49"/>
      <c r="BI321" s="50"/>
      <c r="BJ321" s="49"/>
      <c r="BK321" s="50"/>
      <c r="BL321" s="49"/>
      <c r="BM321" s="50"/>
      <c r="BN321" s="49"/>
    </row>
    <row r="322" spans="1:66" ht="15">
      <c r="A322" s="66" t="s">
        <v>293</v>
      </c>
      <c r="B322" s="66" t="s">
        <v>302</v>
      </c>
      <c r="C322" s="67" t="s">
        <v>2109</v>
      </c>
      <c r="D322" s="68">
        <v>10</v>
      </c>
      <c r="E322" s="69" t="s">
        <v>132</v>
      </c>
      <c r="F322" s="70">
        <v>10</v>
      </c>
      <c r="G322" s="67" t="s">
        <v>51</v>
      </c>
      <c r="H322" s="71"/>
      <c r="I322" s="72"/>
      <c r="J322" s="72"/>
      <c r="K322" s="35" t="s">
        <v>65</v>
      </c>
      <c r="L322" s="79">
        <v>322</v>
      </c>
      <c r="M322" s="79"/>
      <c r="N322" s="74"/>
      <c r="O322" s="90" t="s">
        <v>306</v>
      </c>
      <c r="P322" s="93">
        <v>44483.71402777778</v>
      </c>
      <c r="Q322" s="90" t="s">
        <v>2142</v>
      </c>
      <c r="R322" s="96" t="str">
        <f>HYPERLINK("https://twitter.com/HelsinkiGSE/status/1448530102837514240")</f>
        <v>https://twitter.com/HelsinkiGSE/status/1448530102837514240</v>
      </c>
      <c r="S322" s="90" t="s">
        <v>333</v>
      </c>
      <c r="T322" s="90"/>
      <c r="U322" s="90"/>
      <c r="V322" s="96" t="str">
        <f>HYPERLINK("https://pbs.twimg.com/profile_images/1448535539880243200/KmRATUa5_normal.jpg")</f>
        <v>https://pbs.twimg.com/profile_images/1448535539880243200/KmRATUa5_normal.jpg</v>
      </c>
      <c r="W322" s="93">
        <v>44483.71402777778</v>
      </c>
      <c r="X322" s="102">
        <v>44483</v>
      </c>
      <c r="Y322" s="99" t="s">
        <v>2189</v>
      </c>
      <c r="Z322" s="96" t="str">
        <f>HYPERLINK("https://twitter.com/helsinkigse/status/1448697156949454857")</f>
        <v>https://twitter.com/helsinkigse/status/1448697156949454857</v>
      </c>
      <c r="AA322" s="90"/>
      <c r="AB322" s="90"/>
      <c r="AC322" s="99" t="s">
        <v>2234</v>
      </c>
      <c r="AD322" s="90"/>
      <c r="AE322" s="90" t="b">
        <v>0</v>
      </c>
      <c r="AF322" s="90">
        <v>0</v>
      </c>
      <c r="AG322" s="99" t="s">
        <v>535</v>
      </c>
      <c r="AH322" s="90" t="b">
        <v>1</v>
      </c>
      <c r="AI322" s="90" t="s">
        <v>537</v>
      </c>
      <c r="AJ322" s="90"/>
      <c r="AK322" s="99" t="s">
        <v>526</v>
      </c>
      <c r="AL322" s="90" t="b">
        <v>0</v>
      </c>
      <c r="AM322" s="90">
        <v>6</v>
      </c>
      <c r="AN322" s="99" t="s">
        <v>2233</v>
      </c>
      <c r="AO322" s="99" t="s">
        <v>542</v>
      </c>
      <c r="AP322" s="90" t="b">
        <v>0</v>
      </c>
      <c r="AQ322" s="99" t="s">
        <v>2233</v>
      </c>
      <c r="AR322" s="90" t="s">
        <v>187</v>
      </c>
      <c r="AS322" s="90">
        <v>0</v>
      </c>
      <c r="AT322" s="90">
        <v>0</v>
      </c>
      <c r="AU322" s="90"/>
      <c r="AV322" s="90"/>
      <c r="AW322" s="90"/>
      <c r="AX322" s="90"/>
      <c r="AY322" s="90"/>
      <c r="AZ322" s="90"/>
      <c r="BA322" s="90"/>
      <c r="BB322" s="90"/>
      <c r="BC322" s="90">
        <v>2</v>
      </c>
      <c r="BD322" s="89" t="str">
        <f>REPLACE(INDEX(GroupVertices[Group],MATCH(Edges[[#This Row],[Vertex 1]],GroupVertices[Vertex],0)),1,1,"")</f>
        <v>3</v>
      </c>
      <c r="BE322" s="89" t="str">
        <f>REPLACE(INDEX(GroupVertices[Group],MATCH(Edges[[#This Row],[Vertex 2]],GroupVertices[Vertex],0)),1,1,"")</f>
        <v>1</v>
      </c>
      <c r="BF322" s="49"/>
      <c r="BG322" s="50"/>
      <c r="BH322" s="49"/>
      <c r="BI322" s="50"/>
      <c r="BJ322" s="49"/>
      <c r="BK322" s="50"/>
      <c r="BL322" s="49"/>
      <c r="BM322" s="50"/>
      <c r="BN322" s="49"/>
    </row>
    <row r="323" spans="1:66" ht="15">
      <c r="A323" s="66" t="s">
        <v>273</v>
      </c>
      <c r="B323" s="66" t="s">
        <v>302</v>
      </c>
      <c r="C323" s="67" t="s">
        <v>2108</v>
      </c>
      <c r="D323" s="68">
        <v>1</v>
      </c>
      <c r="E323" s="69" t="s">
        <v>132</v>
      </c>
      <c r="F323" s="70">
        <v>32</v>
      </c>
      <c r="G323" s="67" t="s">
        <v>51</v>
      </c>
      <c r="H323" s="71"/>
      <c r="I323" s="72"/>
      <c r="J323" s="72"/>
      <c r="K323" s="35" t="s">
        <v>65</v>
      </c>
      <c r="L323" s="79">
        <v>323</v>
      </c>
      <c r="M323" s="79"/>
      <c r="N323" s="74"/>
      <c r="O323" s="90" t="s">
        <v>306</v>
      </c>
      <c r="P323" s="93">
        <v>44483.363287037035</v>
      </c>
      <c r="Q323" s="90" t="s">
        <v>310</v>
      </c>
      <c r="R323" s="96" t="str">
        <f>HYPERLINK("https://talouskurssi.fi/")</f>
        <v>https://talouskurssi.fi/</v>
      </c>
      <c r="S323" s="90" t="s">
        <v>334</v>
      </c>
      <c r="T323" s="99" t="s">
        <v>338</v>
      </c>
      <c r="U323" s="96" t="str">
        <f>HYPERLINK("https://pbs.twimg.com/ext_tw_video_thumb/1448527896562348036/pu/img/0PqSbNMaXHvzKHCc.jpg")</f>
        <v>https://pbs.twimg.com/ext_tw_video_thumb/1448527896562348036/pu/img/0PqSbNMaXHvzKHCc.jpg</v>
      </c>
      <c r="V323" s="96" t="str">
        <f>HYPERLINK("https://pbs.twimg.com/ext_tw_video_thumb/1448527896562348036/pu/img/0PqSbNMaXHvzKHCc.jpg")</f>
        <v>https://pbs.twimg.com/ext_tw_video_thumb/1448527896562348036/pu/img/0PqSbNMaXHvzKHCc.jpg</v>
      </c>
      <c r="W323" s="93">
        <v>44483.363287037035</v>
      </c>
      <c r="X323" s="102">
        <v>44483</v>
      </c>
      <c r="Y323" s="99" t="s">
        <v>395</v>
      </c>
      <c r="Z323" s="96" t="str">
        <f>HYPERLINK("https://twitter.com/markkuilmari/status/1448570051527860224")</f>
        <v>https://twitter.com/markkuilmari/status/1448570051527860224</v>
      </c>
      <c r="AA323" s="90"/>
      <c r="AB323" s="90"/>
      <c r="AC323" s="99" t="s">
        <v>489</v>
      </c>
      <c r="AD323" s="90"/>
      <c r="AE323" s="90" t="b">
        <v>0</v>
      </c>
      <c r="AF323" s="90">
        <v>0</v>
      </c>
      <c r="AG323" s="99" t="s">
        <v>535</v>
      </c>
      <c r="AH323" s="90" t="b">
        <v>0</v>
      </c>
      <c r="AI323" s="90" t="s">
        <v>537</v>
      </c>
      <c r="AJ323" s="90"/>
      <c r="AK323" s="99" t="s">
        <v>535</v>
      </c>
      <c r="AL323" s="90" t="b">
        <v>0</v>
      </c>
      <c r="AM323" s="90">
        <v>52</v>
      </c>
      <c r="AN323" s="99" t="s">
        <v>526</v>
      </c>
      <c r="AO323" s="99" t="s">
        <v>543</v>
      </c>
      <c r="AP323" s="90" t="b">
        <v>0</v>
      </c>
      <c r="AQ323" s="99" t="s">
        <v>526</v>
      </c>
      <c r="AR323" s="90" t="s">
        <v>187</v>
      </c>
      <c r="AS323" s="90">
        <v>0</v>
      </c>
      <c r="AT323" s="90">
        <v>0</v>
      </c>
      <c r="AU323" s="90"/>
      <c r="AV323" s="90"/>
      <c r="AW323" s="90"/>
      <c r="AX323" s="90"/>
      <c r="AY323" s="90"/>
      <c r="AZ323" s="90"/>
      <c r="BA323" s="90"/>
      <c r="BB323" s="90"/>
      <c r="BC323" s="90">
        <v>1</v>
      </c>
      <c r="BD323" s="89" t="str">
        <f>REPLACE(INDEX(GroupVertices[Group],MATCH(Edges[[#This Row],[Vertex 1]],GroupVertices[Vertex],0)),1,1,"")</f>
        <v>2</v>
      </c>
      <c r="BE323" s="89" t="str">
        <f>REPLACE(INDEX(GroupVertices[Group],MATCH(Edges[[#This Row],[Vertex 2]],GroupVertices[Vertex],0)),1,1,"")</f>
        <v>1</v>
      </c>
      <c r="BF323" s="49"/>
      <c r="BG323" s="50"/>
      <c r="BH323" s="49"/>
      <c r="BI323" s="50"/>
      <c r="BJ323" s="49"/>
      <c r="BK323" s="50"/>
      <c r="BL323" s="49"/>
      <c r="BM323" s="50"/>
      <c r="BN323" s="49"/>
    </row>
    <row r="324" spans="1:66" ht="15">
      <c r="A324" s="66" t="s">
        <v>293</v>
      </c>
      <c r="B324" s="66" t="s">
        <v>303</v>
      </c>
      <c r="C324" s="67" t="s">
        <v>2108</v>
      </c>
      <c r="D324" s="68">
        <v>1</v>
      </c>
      <c r="E324" s="69" t="s">
        <v>132</v>
      </c>
      <c r="F324" s="70">
        <v>32</v>
      </c>
      <c r="G324" s="67" t="s">
        <v>51</v>
      </c>
      <c r="H324" s="71"/>
      <c r="I324" s="72"/>
      <c r="J324" s="72"/>
      <c r="K324" s="35" t="s">
        <v>65</v>
      </c>
      <c r="L324" s="79">
        <v>324</v>
      </c>
      <c r="M324" s="79"/>
      <c r="N324" s="74"/>
      <c r="O324" s="90" t="s">
        <v>307</v>
      </c>
      <c r="P324" s="93">
        <v>44483.34761574074</v>
      </c>
      <c r="Q324" s="90" t="s">
        <v>314</v>
      </c>
      <c r="R324" s="90"/>
      <c r="S324" s="90"/>
      <c r="T324" s="99" t="s">
        <v>338</v>
      </c>
      <c r="U324" s="96" t="str">
        <f>HYPERLINK("https://pbs.twimg.com/media/FBpVUeuWUAAiBrw.jpg")</f>
        <v>https://pbs.twimg.com/media/FBpVUeuWUAAiBrw.jpg</v>
      </c>
      <c r="V324" s="96" t="str">
        <f>HYPERLINK("https://pbs.twimg.com/media/FBpVUeuWUAAiBrw.jpg")</f>
        <v>https://pbs.twimg.com/media/FBpVUeuWUAAiBrw.jpg</v>
      </c>
      <c r="W324" s="93">
        <v>44483.34761574074</v>
      </c>
      <c r="X324" s="102">
        <v>44483</v>
      </c>
      <c r="Y324" s="99" t="s">
        <v>423</v>
      </c>
      <c r="Z324" s="96" t="str">
        <f>HYPERLINK("https://twitter.com/helsinkigse/status/1448564372968775680")</f>
        <v>https://twitter.com/helsinkigse/status/1448564372968775680</v>
      </c>
      <c r="AA324" s="90"/>
      <c r="AB324" s="90"/>
      <c r="AC324" s="99" t="s">
        <v>517</v>
      </c>
      <c r="AD324" s="90"/>
      <c r="AE324" s="90" t="b">
        <v>0</v>
      </c>
      <c r="AF324" s="90">
        <v>13</v>
      </c>
      <c r="AG324" s="99" t="s">
        <v>535</v>
      </c>
      <c r="AH324" s="90" t="b">
        <v>0</v>
      </c>
      <c r="AI324" s="90" t="s">
        <v>537</v>
      </c>
      <c r="AJ324" s="90"/>
      <c r="AK324" s="99" t="s">
        <v>535</v>
      </c>
      <c r="AL324" s="90" t="b">
        <v>0</v>
      </c>
      <c r="AM324" s="90">
        <v>5</v>
      </c>
      <c r="AN324" s="99" t="s">
        <v>535</v>
      </c>
      <c r="AO324" s="99" t="s">
        <v>542</v>
      </c>
      <c r="AP324" s="90" t="b">
        <v>0</v>
      </c>
      <c r="AQ324" s="99" t="s">
        <v>517</v>
      </c>
      <c r="AR324" s="90" t="s">
        <v>187</v>
      </c>
      <c r="AS324" s="90">
        <v>0</v>
      </c>
      <c r="AT324" s="90">
        <v>0</v>
      </c>
      <c r="AU324" s="90"/>
      <c r="AV324" s="90"/>
      <c r="AW324" s="90"/>
      <c r="AX324" s="90"/>
      <c r="AY324" s="90"/>
      <c r="AZ324" s="90"/>
      <c r="BA324" s="90"/>
      <c r="BB324" s="90"/>
      <c r="BC324" s="90">
        <v>1</v>
      </c>
      <c r="BD324" s="89" t="str">
        <f>REPLACE(INDEX(GroupVertices[Group],MATCH(Edges[[#This Row],[Vertex 1]],GroupVertices[Vertex],0)),1,1,"")</f>
        <v>3</v>
      </c>
      <c r="BE324" s="89" t="str">
        <f>REPLACE(INDEX(GroupVertices[Group],MATCH(Edges[[#This Row],[Vertex 2]],GroupVertices[Vertex],0)),1,1,"")</f>
        <v>3</v>
      </c>
      <c r="BF324" s="49">
        <v>0</v>
      </c>
      <c r="BG324" s="50">
        <v>0</v>
      </c>
      <c r="BH324" s="49">
        <v>0</v>
      </c>
      <c r="BI324" s="50">
        <v>0</v>
      </c>
      <c r="BJ324" s="49">
        <v>0</v>
      </c>
      <c r="BK324" s="50">
        <v>0</v>
      </c>
      <c r="BL324" s="49">
        <v>17</v>
      </c>
      <c r="BM324" s="50">
        <v>100</v>
      </c>
      <c r="BN324" s="49">
        <v>17</v>
      </c>
    </row>
    <row r="325" spans="1:66" ht="15">
      <c r="A325" s="66" t="s">
        <v>273</v>
      </c>
      <c r="B325" s="66" t="s">
        <v>303</v>
      </c>
      <c r="C325" s="67" t="s">
        <v>2108</v>
      </c>
      <c r="D325" s="68">
        <v>1</v>
      </c>
      <c r="E325" s="69" t="s">
        <v>132</v>
      </c>
      <c r="F325" s="70">
        <v>32</v>
      </c>
      <c r="G325" s="67" t="s">
        <v>51</v>
      </c>
      <c r="H325" s="71"/>
      <c r="I325" s="72"/>
      <c r="J325" s="72"/>
      <c r="K325" s="35" t="s">
        <v>65</v>
      </c>
      <c r="L325" s="79">
        <v>325</v>
      </c>
      <c r="M325" s="79"/>
      <c r="N325" s="74"/>
      <c r="O325" s="90" t="s">
        <v>306</v>
      </c>
      <c r="P325" s="93">
        <v>44483.48403935185</v>
      </c>
      <c r="Q325" s="90" t="s">
        <v>314</v>
      </c>
      <c r="R325" s="90"/>
      <c r="S325" s="90"/>
      <c r="T325" s="99" t="s">
        <v>338</v>
      </c>
      <c r="U325" s="96" t="str">
        <f>HYPERLINK("https://pbs.twimg.com/media/FBpVUeuWUAAiBrw.jpg")</f>
        <v>https://pbs.twimg.com/media/FBpVUeuWUAAiBrw.jpg</v>
      </c>
      <c r="V325" s="96" t="str">
        <f>HYPERLINK("https://pbs.twimg.com/media/FBpVUeuWUAAiBrw.jpg")</f>
        <v>https://pbs.twimg.com/media/FBpVUeuWUAAiBrw.jpg</v>
      </c>
      <c r="W325" s="93">
        <v>44483.48403935185</v>
      </c>
      <c r="X325" s="102">
        <v>44483</v>
      </c>
      <c r="Y325" s="99" t="s">
        <v>396</v>
      </c>
      <c r="Z325" s="96" t="str">
        <f>HYPERLINK("https://twitter.com/markkuilmari/status/1448613812261826561")</f>
        <v>https://twitter.com/markkuilmari/status/1448613812261826561</v>
      </c>
      <c r="AA325" s="90"/>
      <c r="AB325" s="90"/>
      <c r="AC325" s="99" t="s">
        <v>490</v>
      </c>
      <c r="AD325" s="90"/>
      <c r="AE325" s="90" t="b">
        <v>0</v>
      </c>
      <c r="AF325" s="90">
        <v>0</v>
      </c>
      <c r="AG325" s="99" t="s">
        <v>535</v>
      </c>
      <c r="AH325" s="90" t="b">
        <v>0</v>
      </c>
      <c r="AI325" s="90" t="s">
        <v>537</v>
      </c>
      <c r="AJ325" s="90"/>
      <c r="AK325" s="99" t="s">
        <v>535</v>
      </c>
      <c r="AL325" s="90" t="b">
        <v>0</v>
      </c>
      <c r="AM325" s="90">
        <v>5</v>
      </c>
      <c r="AN325" s="99" t="s">
        <v>517</v>
      </c>
      <c r="AO325" s="99" t="s">
        <v>543</v>
      </c>
      <c r="AP325" s="90" t="b">
        <v>0</v>
      </c>
      <c r="AQ325" s="99" t="s">
        <v>517</v>
      </c>
      <c r="AR325" s="90" t="s">
        <v>187</v>
      </c>
      <c r="AS325" s="90">
        <v>0</v>
      </c>
      <c r="AT325" s="90">
        <v>0</v>
      </c>
      <c r="AU325" s="90"/>
      <c r="AV325" s="90"/>
      <c r="AW325" s="90"/>
      <c r="AX325" s="90"/>
      <c r="AY325" s="90"/>
      <c r="AZ325" s="90"/>
      <c r="BA325" s="90"/>
      <c r="BB325" s="90"/>
      <c r="BC325" s="90">
        <v>1</v>
      </c>
      <c r="BD325" s="89" t="str">
        <f>REPLACE(INDEX(GroupVertices[Group],MATCH(Edges[[#This Row],[Vertex 1]],GroupVertices[Vertex],0)),1,1,"")</f>
        <v>2</v>
      </c>
      <c r="BE325" s="89" t="str">
        <f>REPLACE(INDEX(GroupVertices[Group],MATCH(Edges[[#This Row],[Vertex 2]],GroupVertices[Vertex],0)),1,1,"")</f>
        <v>3</v>
      </c>
      <c r="BF325" s="49"/>
      <c r="BG325" s="50"/>
      <c r="BH325" s="49"/>
      <c r="BI325" s="50"/>
      <c r="BJ325" s="49"/>
      <c r="BK325" s="50"/>
      <c r="BL325" s="49"/>
      <c r="BM325" s="50"/>
      <c r="BN325" s="49"/>
    </row>
    <row r="326" spans="1:66" ht="15">
      <c r="A326" s="66" t="s">
        <v>250</v>
      </c>
      <c r="B326" s="66" t="s">
        <v>252</v>
      </c>
      <c r="C326" s="67" t="s">
        <v>2108</v>
      </c>
      <c r="D326" s="68">
        <v>1</v>
      </c>
      <c r="E326" s="69" t="s">
        <v>132</v>
      </c>
      <c r="F326" s="70">
        <v>32</v>
      </c>
      <c r="G326" s="67" t="s">
        <v>51</v>
      </c>
      <c r="H326" s="71"/>
      <c r="I326" s="72"/>
      <c r="J326" s="72"/>
      <c r="K326" s="35" t="s">
        <v>66</v>
      </c>
      <c r="L326" s="79">
        <v>326</v>
      </c>
      <c r="M326" s="79"/>
      <c r="N326" s="74"/>
      <c r="O326" s="90" t="s">
        <v>307</v>
      </c>
      <c r="P326" s="93">
        <v>44483.35225694445</v>
      </c>
      <c r="Q326" s="90" t="s">
        <v>2140</v>
      </c>
      <c r="R326" s="96" t="str">
        <f>HYPERLINK("https://talouskurssi.fi")</f>
        <v>https://talouskurssi.fi</v>
      </c>
      <c r="S326" s="90" t="s">
        <v>334</v>
      </c>
      <c r="T326" s="90"/>
      <c r="U326" s="96" t="str">
        <f>HYPERLINK("https://pbs.twimg.com/media/FBpWom9XIAAjFw3.jpg")</f>
        <v>https://pbs.twimg.com/media/FBpWom9XIAAjFw3.jpg</v>
      </c>
      <c r="V326" s="96" t="str">
        <f>HYPERLINK("https://pbs.twimg.com/media/FBpWom9XIAAjFw3.jpg")</f>
        <v>https://pbs.twimg.com/media/FBpWom9XIAAjFw3.jpg</v>
      </c>
      <c r="W326" s="93">
        <v>44483.35225694445</v>
      </c>
      <c r="X326" s="102">
        <v>44483</v>
      </c>
      <c r="Y326" s="99" t="s">
        <v>2191</v>
      </c>
      <c r="Z326" s="96" t="str">
        <f>HYPERLINK("https://twitter.com/teemu_roos/status/1448566055861948418")</f>
        <v>https://twitter.com/teemu_roos/status/1448566055861948418</v>
      </c>
      <c r="AA326" s="90"/>
      <c r="AB326" s="90"/>
      <c r="AC326" s="99" t="s">
        <v>538</v>
      </c>
      <c r="AD326" s="90"/>
      <c r="AE326" s="90" t="b">
        <v>0</v>
      </c>
      <c r="AF326" s="90">
        <v>32</v>
      </c>
      <c r="AG326" s="99" t="s">
        <v>535</v>
      </c>
      <c r="AH326" s="90" t="b">
        <v>0</v>
      </c>
      <c r="AI326" s="90" t="s">
        <v>537</v>
      </c>
      <c r="AJ326" s="90"/>
      <c r="AK326" s="99" t="s">
        <v>535</v>
      </c>
      <c r="AL326" s="90" t="b">
        <v>0</v>
      </c>
      <c r="AM326" s="90">
        <v>9</v>
      </c>
      <c r="AN326" s="99" t="s">
        <v>535</v>
      </c>
      <c r="AO326" s="99" t="s">
        <v>542</v>
      </c>
      <c r="AP326" s="90" t="b">
        <v>0</v>
      </c>
      <c r="AQ326" s="99" t="s">
        <v>538</v>
      </c>
      <c r="AR326" s="90" t="s">
        <v>187</v>
      </c>
      <c r="AS326" s="90">
        <v>0</v>
      </c>
      <c r="AT326" s="90">
        <v>0</v>
      </c>
      <c r="AU326" s="90"/>
      <c r="AV326" s="90"/>
      <c r="AW326" s="90"/>
      <c r="AX326" s="90"/>
      <c r="AY326" s="90"/>
      <c r="AZ326" s="90"/>
      <c r="BA326" s="90"/>
      <c r="BB326" s="90"/>
      <c r="BC326" s="90">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6" t="s">
        <v>252</v>
      </c>
      <c r="B327" s="66" t="s">
        <v>295</v>
      </c>
      <c r="C327" s="67" t="s">
        <v>2108</v>
      </c>
      <c r="D327" s="68">
        <v>1</v>
      </c>
      <c r="E327" s="69" t="s">
        <v>132</v>
      </c>
      <c r="F327" s="70">
        <v>32</v>
      </c>
      <c r="G327" s="67" t="s">
        <v>51</v>
      </c>
      <c r="H327" s="71"/>
      <c r="I327" s="72"/>
      <c r="J327" s="72"/>
      <c r="K327" s="35" t="s">
        <v>65</v>
      </c>
      <c r="L327" s="79">
        <v>327</v>
      </c>
      <c r="M327" s="79"/>
      <c r="N327" s="74"/>
      <c r="O327" s="90" t="s">
        <v>306</v>
      </c>
      <c r="P327" s="93">
        <v>44483.35585648148</v>
      </c>
      <c r="Q327" s="90" t="s">
        <v>2140</v>
      </c>
      <c r="R327" s="96" t="str">
        <f>HYPERLINK("https://talouskurssi.fi")</f>
        <v>https://talouskurssi.fi</v>
      </c>
      <c r="S327" s="90" t="s">
        <v>334</v>
      </c>
      <c r="T327" s="90"/>
      <c r="U327" s="96" t="str">
        <f>HYPERLINK("https://pbs.twimg.com/media/FBpWom9XIAAjFw3.jpg")</f>
        <v>https://pbs.twimg.com/media/FBpWom9XIAAjFw3.jpg</v>
      </c>
      <c r="V327" s="96" t="str">
        <f>HYPERLINK("https://pbs.twimg.com/media/FBpWom9XIAAjFw3.jpg")</f>
        <v>https://pbs.twimg.com/media/FBpWom9XIAAjFw3.jpg</v>
      </c>
      <c r="W327" s="93">
        <v>44483.35585648148</v>
      </c>
      <c r="X327" s="102">
        <v>44483</v>
      </c>
      <c r="Y327" s="99" t="s">
        <v>2192</v>
      </c>
      <c r="Z327" s="96" t="str">
        <f>HYPERLINK("https://twitter.com/moocfi/status/1448567362073079813")</f>
        <v>https://twitter.com/moocfi/status/1448567362073079813</v>
      </c>
      <c r="AA327" s="90"/>
      <c r="AB327" s="90"/>
      <c r="AC327" s="99" t="s">
        <v>2236</v>
      </c>
      <c r="AD327" s="90"/>
      <c r="AE327" s="90" t="b">
        <v>0</v>
      </c>
      <c r="AF327" s="90">
        <v>0</v>
      </c>
      <c r="AG327" s="99" t="s">
        <v>535</v>
      </c>
      <c r="AH327" s="90" t="b">
        <v>0</v>
      </c>
      <c r="AI327" s="90" t="s">
        <v>537</v>
      </c>
      <c r="AJ327" s="90"/>
      <c r="AK327" s="99" t="s">
        <v>535</v>
      </c>
      <c r="AL327" s="90" t="b">
        <v>0</v>
      </c>
      <c r="AM327" s="90">
        <v>9</v>
      </c>
      <c r="AN327" s="99" t="s">
        <v>538</v>
      </c>
      <c r="AO327" s="99" t="s">
        <v>542</v>
      </c>
      <c r="AP327" s="90" t="b">
        <v>0</v>
      </c>
      <c r="AQ327" s="99" t="s">
        <v>538</v>
      </c>
      <c r="AR327" s="90" t="s">
        <v>187</v>
      </c>
      <c r="AS327" s="90">
        <v>0</v>
      </c>
      <c r="AT327" s="90">
        <v>0</v>
      </c>
      <c r="AU327" s="90"/>
      <c r="AV327" s="90"/>
      <c r="AW327" s="90"/>
      <c r="AX327" s="90"/>
      <c r="AY327" s="90"/>
      <c r="AZ327" s="90"/>
      <c r="BA327" s="90"/>
      <c r="BB327" s="90"/>
      <c r="BC327" s="90">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6" t="s">
        <v>252</v>
      </c>
      <c r="B328" s="66" t="s">
        <v>260</v>
      </c>
      <c r="C328" s="67" t="s">
        <v>2108</v>
      </c>
      <c r="D328" s="68">
        <v>1</v>
      </c>
      <c r="E328" s="69" t="s">
        <v>132</v>
      </c>
      <c r="F328" s="70">
        <v>32</v>
      </c>
      <c r="G328" s="67" t="s">
        <v>51</v>
      </c>
      <c r="H328" s="71"/>
      <c r="I328" s="72"/>
      <c r="J328" s="72"/>
      <c r="K328" s="35" t="s">
        <v>65</v>
      </c>
      <c r="L328" s="79">
        <v>328</v>
      </c>
      <c r="M328" s="79"/>
      <c r="N328" s="74"/>
      <c r="O328" s="90" t="s">
        <v>306</v>
      </c>
      <c r="P328" s="93">
        <v>44483.35585648148</v>
      </c>
      <c r="Q328" s="90" t="s">
        <v>2140</v>
      </c>
      <c r="R328" s="96" t="str">
        <f>HYPERLINK("https://talouskurssi.fi")</f>
        <v>https://talouskurssi.fi</v>
      </c>
      <c r="S328" s="90" t="s">
        <v>334</v>
      </c>
      <c r="T328" s="90"/>
      <c r="U328" s="96" t="str">
        <f>HYPERLINK("https://pbs.twimg.com/media/FBpWom9XIAAjFw3.jpg")</f>
        <v>https://pbs.twimg.com/media/FBpWom9XIAAjFw3.jpg</v>
      </c>
      <c r="V328" s="96" t="str">
        <f>HYPERLINK("https://pbs.twimg.com/media/FBpWom9XIAAjFw3.jpg")</f>
        <v>https://pbs.twimg.com/media/FBpWom9XIAAjFw3.jpg</v>
      </c>
      <c r="W328" s="93">
        <v>44483.35585648148</v>
      </c>
      <c r="X328" s="102">
        <v>44483</v>
      </c>
      <c r="Y328" s="99" t="s">
        <v>2192</v>
      </c>
      <c r="Z328" s="96" t="str">
        <f>HYPERLINK("https://twitter.com/moocfi/status/1448567362073079813")</f>
        <v>https://twitter.com/moocfi/status/1448567362073079813</v>
      </c>
      <c r="AA328" s="90"/>
      <c r="AB328" s="90"/>
      <c r="AC328" s="99" t="s">
        <v>2236</v>
      </c>
      <c r="AD328" s="90"/>
      <c r="AE328" s="90" t="b">
        <v>0</v>
      </c>
      <c r="AF328" s="90">
        <v>0</v>
      </c>
      <c r="AG328" s="99" t="s">
        <v>535</v>
      </c>
      <c r="AH328" s="90" t="b">
        <v>0</v>
      </c>
      <c r="AI328" s="90" t="s">
        <v>537</v>
      </c>
      <c r="AJ328" s="90"/>
      <c r="AK328" s="99" t="s">
        <v>535</v>
      </c>
      <c r="AL328" s="90" t="b">
        <v>0</v>
      </c>
      <c r="AM328" s="90">
        <v>9</v>
      </c>
      <c r="AN328" s="99" t="s">
        <v>538</v>
      </c>
      <c r="AO328" s="99" t="s">
        <v>542</v>
      </c>
      <c r="AP328" s="90" t="b">
        <v>0</v>
      </c>
      <c r="AQ328" s="99" t="s">
        <v>538</v>
      </c>
      <c r="AR328" s="90" t="s">
        <v>187</v>
      </c>
      <c r="AS328" s="90">
        <v>0</v>
      </c>
      <c r="AT328" s="90">
        <v>0</v>
      </c>
      <c r="AU328" s="90"/>
      <c r="AV328" s="90"/>
      <c r="AW328" s="90"/>
      <c r="AX328" s="90"/>
      <c r="AY328" s="90"/>
      <c r="AZ328" s="90"/>
      <c r="BA328" s="90"/>
      <c r="BB328" s="90"/>
      <c r="BC328" s="90">
        <v>1</v>
      </c>
      <c r="BD328" s="89" t="str">
        <f>REPLACE(INDEX(GroupVertices[Group],MATCH(Edges[[#This Row],[Vertex 1]],GroupVertices[Vertex],0)),1,1,"")</f>
        <v>2</v>
      </c>
      <c r="BE328" s="89" t="str">
        <f>REPLACE(INDEX(GroupVertices[Group],MATCH(Edges[[#This Row],[Vertex 2]],GroupVertices[Vertex],0)),1,1,"")</f>
        <v>2</v>
      </c>
      <c r="BF328" s="49"/>
      <c r="BG328" s="50"/>
      <c r="BH328" s="49"/>
      <c r="BI328" s="50"/>
      <c r="BJ328" s="49"/>
      <c r="BK328" s="50"/>
      <c r="BL328" s="49"/>
      <c r="BM328" s="50"/>
      <c r="BN328" s="49"/>
    </row>
    <row r="329" spans="1:66" ht="15">
      <c r="A329" s="66" t="s">
        <v>252</v>
      </c>
      <c r="B329" s="66" t="s">
        <v>293</v>
      </c>
      <c r="C329" s="67" t="s">
        <v>2108</v>
      </c>
      <c r="D329" s="68">
        <v>1</v>
      </c>
      <c r="E329" s="69" t="s">
        <v>132</v>
      </c>
      <c r="F329" s="70">
        <v>32</v>
      </c>
      <c r="G329" s="67" t="s">
        <v>51</v>
      </c>
      <c r="H329" s="71"/>
      <c r="I329" s="72"/>
      <c r="J329" s="72"/>
      <c r="K329" s="35" t="s">
        <v>66</v>
      </c>
      <c r="L329" s="79">
        <v>329</v>
      </c>
      <c r="M329" s="79"/>
      <c r="N329" s="74"/>
      <c r="O329" s="90" t="s">
        <v>306</v>
      </c>
      <c r="P329" s="93">
        <v>44483.35585648148</v>
      </c>
      <c r="Q329" s="90" t="s">
        <v>2140</v>
      </c>
      <c r="R329" s="96" t="str">
        <f>HYPERLINK("https://talouskurssi.fi")</f>
        <v>https://talouskurssi.fi</v>
      </c>
      <c r="S329" s="90" t="s">
        <v>334</v>
      </c>
      <c r="T329" s="90"/>
      <c r="U329" s="96" t="str">
        <f>HYPERLINK("https://pbs.twimg.com/media/FBpWom9XIAAjFw3.jpg")</f>
        <v>https://pbs.twimg.com/media/FBpWom9XIAAjFw3.jpg</v>
      </c>
      <c r="V329" s="96" t="str">
        <f>HYPERLINK("https://pbs.twimg.com/media/FBpWom9XIAAjFw3.jpg")</f>
        <v>https://pbs.twimg.com/media/FBpWom9XIAAjFw3.jpg</v>
      </c>
      <c r="W329" s="93">
        <v>44483.35585648148</v>
      </c>
      <c r="X329" s="102">
        <v>44483</v>
      </c>
      <c r="Y329" s="99" t="s">
        <v>2192</v>
      </c>
      <c r="Z329" s="96" t="str">
        <f>HYPERLINK("https://twitter.com/moocfi/status/1448567362073079813")</f>
        <v>https://twitter.com/moocfi/status/1448567362073079813</v>
      </c>
      <c r="AA329" s="90"/>
      <c r="AB329" s="90"/>
      <c r="AC329" s="99" t="s">
        <v>2236</v>
      </c>
      <c r="AD329" s="90"/>
      <c r="AE329" s="90" t="b">
        <v>0</v>
      </c>
      <c r="AF329" s="90">
        <v>0</v>
      </c>
      <c r="AG329" s="99" t="s">
        <v>535</v>
      </c>
      <c r="AH329" s="90" t="b">
        <v>0</v>
      </c>
      <c r="AI329" s="90" t="s">
        <v>537</v>
      </c>
      <c r="AJ329" s="90"/>
      <c r="AK329" s="99" t="s">
        <v>535</v>
      </c>
      <c r="AL329" s="90" t="b">
        <v>0</v>
      </c>
      <c r="AM329" s="90">
        <v>9</v>
      </c>
      <c r="AN329" s="99" t="s">
        <v>538</v>
      </c>
      <c r="AO329" s="99" t="s">
        <v>542</v>
      </c>
      <c r="AP329" s="90" t="b">
        <v>0</v>
      </c>
      <c r="AQ329" s="99" t="s">
        <v>538</v>
      </c>
      <c r="AR329" s="90" t="s">
        <v>187</v>
      </c>
      <c r="AS329" s="90">
        <v>0</v>
      </c>
      <c r="AT329" s="90">
        <v>0</v>
      </c>
      <c r="AU329" s="90"/>
      <c r="AV329" s="90"/>
      <c r="AW329" s="90"/>
      <c r="AX329" s="90"/>
      <c r="AY329" s="90"/>
      <c r="AZ329" s="90"/>
      <c r="BA329" s="90"/>
      <c r="BB329" s="90"/>
      <c r="BC329" s="90">
        <v>1</v>
      </c>
      <c r="BD329" s="89" t="str">
        <f>REPLACE(INDEX(GroupVertices[Group],MATCH(Edges[[#This Row],[Vertex 1]],GroupVertices[Vertex],0)),1,1,"")</f>
        <v>2</v>
      </c>
      <c r="BE329" s="89" t="str">
        <f>REPLACE(INDEX(GroupVertices[Group],MATCH(Edges[[#This Row],[Vertex 2]],GroupVertices[Vertex],0)),1,1,"")</f>
        <v>3</v>
      </c>
      <c r="BF329" s="49"/>
      <c r="BG329" s="50"/>
      <c r="BH329" s="49"/>
      <c r="BI329" s="50"/>
      <c r="BJ329" s="49"/>
      <c r="BK329" s="50"/>
      <c r="BL329" s="49"/>
      <c r="BM329" s="50"/>
      <c r="BN329" s="49"/>
    </row>
    <row r="330" spans="1:66" ht="15">
      <c r="A330" s="66" t="s">
        <v>252</v>
      </c>
      <c r="B330" s="66" t="s">
        <v>250</v>
      </c>
      <c r="C330" s="67" t="s">
        <v>2108</v>
      </c>
      <c r="D330" s="68">
        <v>1</v>
      </c>
      <c r="E330" s="69" t="s">
        <v>132</v>
      </c>
      <c r="F330" s="70">
        <v>32</v>
      </c>
      <c r="G330" s="67" t="s">
        <v>51</v>
      </c>
      <c r="H330" s="71"/>
      <c r="I330" s="72"/>
      <c r="J330" s="72"/>
      <c r="K330" s="35" t="s">
        <v>66</v>
      </c>
      <c r="L330" s="79">
        <v>330</v>
      </c>
      <c r="M330" s="79"/>
      <c r="N330" s="74"/>
      <c r="O330" s="90" t="s">
        <v>305</v>
      </c>
      <c r="P330" s="93">
        <v>44483.35585648148</v>
      </c>
      <c r="Q330" s="90" t="s">
        <v>2140</v>
      </c>
      <c r="R330" s="96" t="str">
        <f>HYPERLINK("https://talouskurssi.fi")</f>
        <v>https://talouskurssi.fi</v>
      </c>
      <c r="S330" s="90" t="s">
        <v>334</v>
      </c>
      <c r="T330" s="90"/>
      <c r="U330" s="96" t="str">
        <f>HYPERLINK("https://pbs.twimg.com/media/FBpWom9XIAAjFw3.jpg")</f>
        <v>https://pbs.twimg.com/media/FBpWom9XIAAjFw3.jpg</v>
      </c>
      <c r="V330" s="96" t="str">
        <f>HYPERLINK("https://pbs.twimg.com/media/FBpWom9XIAAjFw3.jpg")</f>
        <v>https://pbs.twimg.com/media/FBpWom9XIAAjFw3.jpg</v>
      </c>
      <c r="W330" s="93">
        <v>44483.35585648148</v>
      </c>
      <c r="X330" s="102">
        <v>44483</v>
      </c>
      <c r="Y330" s="99" t="s">
        <v>2192</v>
      </c>
      <c r="Z330" s="96" t="str">
        <f>HYPERLINK("https://twitter.com/moocfi/status/1448567362073079813")</f>
        <v>https://twitter.com/moocfi/status/1448567362073079813</v>
      </c>
      <c r="AA330" s="90"/>
      <c r="AB330" s="90"/>
      <c r="AC330" s="99" t="s">
        <v>2236</v>
      </c>
      <c r="AD330" s="90"/>
      <c r="AE330" s="90" t="b">
        <v>0</v>
      </c>
      <c r="AF330" s="90">
        <v>0</v>
      </c>
      <c r="AG330" s="99" t="s">
        <v>535</v>
      </c>
      <c r="AH330" s="90" t="b">
        <v>0</v>
      </c>
      <c r="AI330" s="90" t="s">
        <v>537</v>
      </c>
      <c r="AJ330" s="90"/>
      <c r="AK330" s="99" t="s">
        <v>535</v>
      </c>
      <c r="AL330" s="90" t="b">
        <v>0</v>
      </c>
      <c r="AM330" s="90">
        <v>9</v>
      </c>
      <c r="AN330" s="99" t="s">
        <v>538</v>
      </c>
      <c r="AO330" s="99" t="s">
        <v>542</v>
      </c>
      <c r="AP330" s="90" t="b">
        <v>0</v>
      </c>
      <c r="AQ330" s="99" t="s">
        <v>538</v>
      </c>
      <c r="AR330" s="90" t="s">
        <v>187</v>
      </c>
      <c r="AS330" s="90">
        <v>0</v>
      </c>
      <c r="AT330" s="90">
        <v>0</v>
      </c>
      <c r="AU330" s="90"/>
      <c r="AV330" s="90"/>
      <c r="AW330" s="90"/>
      <c r="AX330" s="90"/>
      <c r="AY330" s="90"/>
      <c r="AZ330" s="90"/>
      <c r="BA330" s="90"/>
      <c r="BB330" s="90"/>
      <c r="BC330" s="90">
        <v>1</v>
      </c>
      <c r="BD330" s="89" t="str">
        <f>REPLACE(INDEX(GroupVertices[Group],MATCH(Edges[[#This Row],[Vertex 1]],GroupVertices[Vertex],0)),1,1,"")</f>
        <v>2</v>
      </c>
      <c r="BE330" s="89" t="str">
        <f>REPLACE(INDEX(GroupVertices[Group],MATCH(Edges[[#This Row],[Vertex 2]],GroupVertices[Vertex],0)),1,1,"")</f>
        <v>2</v>
      </c>
      <c r="BF330" s="49">
        <v>0</v>
      </c>
      <c r="BG330" s="50">
        <v>0</v>
      </c>
      <c r="BH330" s="49">
        <v>0</v>
      </c>
      <c r="BI330" s="50">
        <v>0</v>
      </c>
      <c r="BJ330" s="49">
        <v>0</v>
      </c>
      <c r="BK330" s="50">
        <v>0</v>
      </c>
      <c r="BL330" s="49">
        <v>32</v>
      </c>
      <c r="BM330" s="50">
        <v>100</v>
      </c>
      <c r="BN330" s="49">
        <v>32</v>
      </c>
    </row>
    <row r="331" spans="1:66" ht="15">
      <c r="A331" s="66" t="s">
        <v>252</v>
      </c>
      <c r="B331" s="66" t="s">
        <v>299</v>
      </c>
      <c r="C331" s="67" t="s">
        <v>2108</v>
      </c>
      <c r="D331" s="68">
        <v>1</v>
      </c>
      <c r="E331" s="69" t="s">
        <v>132</v>
      </c>
      <c r="F331" s="70">
        <v>32</v>
      </c>
      <c r="G331" s="67" t="s">
        <v>51</v>
      </c>
      <c r="H331" s="71"/>
      <c r="I331" s="72"/>
      <c r="J331" s="72"/>
      <c r="K331" s="35" t="s">
        <v>65</v>
      </c>
      <c r="L331" s="79">
        <v>331</v>
      </c>
      <c r="M331" s="79"/>
      <c r="N331" s="74"/>
      <c r="O331" s="90" t="s">
        <v>306</v>
      </c>
      <c r="P331" s="93">
        <v>44483.36479166667</v>
      </c>
      <c r="Q331" s="90" t="s">
        <v>310</v>
      </c>
      <c r="R331" s="96" t="str">
        <f>HYPERLINK("https://talouskurssi.fi/")</f>
        <v>https://talouskurssi.fi/</v>
      </c>
      <c r="S331" s="90" t="s">
        <v>334</v>
      </c>
      <c r="T331" s="99" t="s">
        <v>338</v>
      </c>
      <c r="U331" s="96" t="str">
        <f>HYPERLINK("https://pbs.twimg.com/ext_tw_video_thumb/1448527896562348036/pu/img/0PqSbNMaXHvzKHCc.jpg")</f>
        <v>https://pbs.twimg.com/ext_tw_video_thumb/1448527896562348036/pu/img/0PqSbNMaXHvzKHCc.jpg</v>
      </c>
      <c r="V331" s="96" t="str">
        <f>HYPERLINK("https://pbs.twimg.com/ext_tw_video_thumb/1448527896562348036/pu/img/0PqSbNMaXHvzKHCc.jpg")</f>
        <v>https://pbs.twimg.com/ext_tw_video_thumb/1448527896562348036/pu/img/0PqSbNMaXHvzKHCc.jpg</v>
      </c>
      <c r="W331" s="93">
        <v>44483.36479166667</v>
      </c>
      <c r="X331" s="102">
        <v>44483</v>
      </c>
      <c r="Y331" s="99" t="s">
        <v>373</v>
      </c>
      <c r="Z331" s="96" t="str">
        <f>HYPERLINK("https://twitter.com/moocfi/status/1448570598217732100")</f>
        <v>https://twitter.com/moocfi/status/1448570598217732100</v>
      </c>
      <c r="AA331" s="90"/>
      <c r="AB331" s="90"/>
      <c r="AC331" s="99" t="s">
        <v>467</v>
      </c>
      <c r="AD331" s="90"/>
      <c r="AE331" s="90" t="b">
        <v>0</v>
      </c>
      <c r="AF331" s="90">
        <v>0</v>
      </c>
      <c r="AG331" s="99" t="s">
        <v>535</v>
      </c>
      <c r="AH331" s="90" t="b">
        <v>0</v>
      </c>
      <c r="AI331" s="90" t="s">
        <v>537</v>
      </c>
      <c r="AJ331" s="90"/>
      <c r="AK331" s="99" t="s">
        <v>535</v>
      </c>
      <c r="AL331" s="90" t="b">
        <v>0</v>
      </c>
      <c r="AM331" s="90">
        <v>52</v>
      </c>
      <c r="AN331" s="99" t="s">
        <v>526</v>
      </c>
      <c r="AO331" s="99" t="s">
        <v>542</v>
      </c>
      <c r="AP331" s="90" t="b">
        <v>0</v>
      </c>
      <c r="AQ331" s="99" t="s">
        <v>526</v>
      </c>
      <c r="AR331" s="90" t="s">
        <v>187</v>
      </c>
      <c r="AS331" s="90">
        <v>0</v>
      </c>
      <c r="AT331" s="90">
        <v>0</v>
      </c>
      <c r="AU331" s="90"/>
      <c r="AV331" s="90"/>
      <c r="AW331" s="90"/>
      <c r="AX331" s="90"/>
      <c r="AY331" s="90"/>
      <c r="AZ331" s="90"/>
      <c r="BA331" s="90"/>
      <c r="BB331" s="90"/>
      <c r="BC331" s="90">
        <v>1</v>
      </c>
      <c r="BD331" s="89" t="str">
        <f>REPLACE(INDEX(GroupVertices[Group],MATCH(Edges[[#This Row],[Vertex 1]],GroupVertices[Vertex],0)),1,1,"")</f>
        <v>2</v>
      </c>
      <c r="BE331" s="89" t="str">
        <f>REPLACE(INDEX(GroupVertices[Group],MATCH(Edges[[#This Row],[Vertex 2]],GroupVertices[Vertex],0)),1,1,"")</f>
        <v>1</v>
      </c>
      <c r="BF331" s="49"/>
      <c r="BG331" s="50"/>
      <c r="BH331" s="49"/>
      <c r="BI331" s="50"/>
      <c r="BJ331" s="49"/>
      <c r="BK331" s="50"/>
      <c r="BL331" s="49"/>
      <c r="BM331" s="50"/>
      <c r="BN331" s="49"/>
    </row>
    <row r="332" spans="1:66" ht="15">
      <c r="A332" s="66" t="s">
        <v>252</v>
      </c>
      <c r="B332" s="66" t="s">
        <v>293</v>
      </c>
      <c r="C332" s="67" t="s">
        <v>2108</v>
      </c>
      <c r="D332" s="68">
        <v>1</v>
      </c>
      <c r="E332" s="69" t="s">
        <v>132</v>
      </c>
      <c r="F332" s="70">
        <v>32</v>
      </c>
      <c r="G332" s="67" t="s">
        <v>51</v>
      </c>
      <c r="H332" s="71"/>
      <c r="I332" s="72"/>
      <c r="J332" s="72"/>
      <c r="K332" s="35" t="s">
        <v>66</v>
      </c>
      <c r="L332" s="79">
        <v>332</v>
      </c>
      <c r="M332" s="79"/>
      <c r="N332" s="74"/>
      <c r="O332" s="90" t="s">
        <v>305</v>
      </c>
      <c r="P332" s="93">
        <v>44483.36479166667</v>
      </c>
      <c r="Q332" s="90" t="s">
        <v>310</v>
      </c>
      <c r="R332" s="96" t="str">
        <f>HYPERLINK("https://talouskurssi.fi/")</f>
        <v>https://talouskurssi.fi/</v>
      </c>
      <c r="S332" s="90" t="s">
        <v>334</v>
      </c>
      <c r="T332" s="99" t="s">
        <v>338</v>
      </c>
      <c r="U332" s="96" t="str">
        <f>HYPERLINK("https://pbs.twimg.com/ext_tw_video_thumb/1448527896562348036/pu/img/0PqSbNMaXHvzKHCc.jpg")</f>
        <v>https://pbs.twimg.com/ext_tw_video_thumb/1448527896562348036/pu/img/0PqSbNMaXHvzKHCc.jpg</v>
      </c>
      <c r="V332" s="96" t="str">
        <f>HYPERLINK("https://pbs.twimg.com/ext_tw_video_thumb/1448527896562348036/pu/img/0PqSbNMaXHvzKHCc.jpg")</f>
        <v>https://pbs.twimg.com/ext_tw_video_thumb/1448527896562348036/pu/img/0PqSbNMaXHvzKHCc.jpg</v>
      </c>
      <c r="W332" s="93">
        <v>44483.36479166667</v>
      </c>
      <c r="X332" s="102">
        <v>44483</v>
      </c>
      <c r="Y332" s="99" t="s">
        <v>373</v>
      </c>
      <c r="Z332" s="96" t="str">
        <f>HYPERLINK("https://twitter.com/moocfi/status/1448570598217732100")</f>
        <v>https://twitter.com/moocfi/status/1448570598217732100</v>
      </c>
      <c r="AA332" s="90"/>
      <c r="AB332" s="90"/>
      <c r="AC332" s="99" t="s">
        <v>467</v>
      </c>
      <c r="AD332" s="90"/>
      <c r="AE332" s="90" t="b">
        <v>0</v>
      </c>
      <c r="AF332" s="90">
        <v>0</v>
      </c>
      <c r="AG332" s="99" t="s">
        <v>535</v>
      </c>
      <c r="AH332" s="90" t="b">
        <v>0</v>
      </c>
      <c r="AI332" s="90" t="s">
        <v>537</v>
      </c>
      <c r="AJ332" s="90"/>
      <c r="AK332" s="99" t="s">
        <v>535</v>
      </c>
      <c r="AL332" s="90" t="b">
        <v>0</v>
      </c>
      <c r="AM332" s="90">
        <v>52</v>
      </c>
      <c r="AN332" s="99" t="s">
        <v>526</v>
      </c>
      <c r="AO332" s="99" t="s">
        <v>542</v>
      </c>
      <c r="AP332" s="90" t="b">
        <v>0</v>
      </c>
      <c r="AQ332" s="99" t="s">
        <v>526</v>
      </c>
      <c r="AR332" s="90" t="s">
        <v>187</v>
      </c>
      <c r="AS332" s="90">
        <v>0</v>
      </c>
      <c r="AT332" s="90">
        <v>0</v>
      </c>
      <c r="AU332" s="90"/>
      <c r="AV332" s="90"/>
      <c r="AW332" s="90"/>
      <c r="AX332" s="90"/>
      <c r="AY332" s="90"/>
      <c r="AZ332" s="90"/>
      <c r="BA332" s="90"/>
      <c r="BB332" s="90"/>
      <c r="BC332" s="90">
        <v>1</v>
      </c>
      <c r="BD332" s="89" t="str">
        <f>REPLACE(INDEX(GroupVertices[Group],MATCH(Edges[[#This Row],[Vertex 1]],GroupVertices[Vertex],0)),1,1,"")</f>
        <v>2</v>
      </c>
      <c r="BE332" s="89" t="str">
        <f>REPLACE(INDEX(GroupVertices[Group],MATCH(Edges[[#This Row],[Vertex 2]],GroupVertices[Vertex],0)),1,1,"")</f>
        <v>3</v>
      </c>
      <c r="BF332" s="49">
        <v>0</v>
      </c>
      <c r="BG332" s="50">
        <v>0</v>
      </c>
      <c r="BH332" s="49">
        <v>0</v>
      </c>
      <c r="BI332" s="50">
        <v>0</v>
      </c>
      <c r="BJ332" s="49">
        <v>0</v>
      </c>
      <c r="BK332" s="50">
        <v>0</v>
      </c>
      <c r="BL332" s="49">
        <v>28</v>
      </c>
      <c r="BM332" s="50">
        <v>100</v>
      </c>
      <c r="BN332" s="49">
        <v>28</v>
      </c>
    </row>
    <row r="333" spans="1:66" ht="15">
      <c r="A333" s="66" t="s">
        <v>293</v>
      </c>
      <c r="B333" s="66" t="s">
        <v>252</v>
      </c>
      <c r="C333" s="67" t="s">
        <v>2108</v>
      </c>
      <c r="D333" s="68">
        <v>1</v>
      </c>
      <c r="E333" s="69" t="s">
        <v>132</v>
      </c>
      <c r="F333" s="70">
        <v>32</v>
      </c>
      <c r="G333" s="67" t="s">
        <v>51</v>
      </c>
      <c r="H333" s="71"/>
      <c r="I333" s="72"/>
      <c r="J333" s="72"/>
      <c r="K333" s="35" t="s">
        <v>66</v>
      </c>
      <c r="L333" s="79">
        <v>333</v>
      </c>
      <c r="M333" s="79"/>
      <c r="N333" s="74"/>
      <c r="O333" s="90" t="s">
        <v>306</v>
      </c>
      <c r="P333" s="93">
        <v>44483.352534722224</v>
      </c>
      <c r="Q333" s="90" t="s">
        <v>2140</v>
      </c>
      <c r="R333" s="96" t="str">
        <f>HYPERLINK("https://talouskurssi.fi")</f>
        <v>https://talouskurssi.fi</v>
      </c>
      <c r="S333" s="90" t="s">
        <v>334</v>
      </c>
      <c r="T333" s="90"/>
      <c r="U333" s="96" t="str">
        <f>HYPERLINK("https://pbs.twimg.com/media/FBpWom9XIAAjFw3.jpg")</f>
        <v>https://pbs.twimg.com/media/FBpWom9XIAAjFw3.jpg</v>
      </c>
      <c r="V333" s="96" t="str">
        <f>HYPERLINK("https://pbs.twimg.com/media/FBpWom9XIAAjFw3.jpg")</f>
        <v>https://pbs.twimg.com/media/FBpWom9XIAAjFw3.jpg</v>
      </c>
      <c r="W333" s="93">
        <v>44483.352534722224</v>
      </c>
      <c r="X333" s="102">
        <v>44483</v>
      </c>
      <c r="Y333" s="99" t="s">
        <v>2193</v>
      </c>
      <c r="Z333" s="96" t="str">
        <f>HYPERLINK("https://twitter.com/helsinkigse/status/1448566154843279362")</f>
        <v>https://twitter.com/helsinkigse/status/1448566154843279362</v>
      </c>
      <c r="AA333" s="90"/>
      <c r="AB333" s="90"/>
      <c r="AC333" s="99" t="s">
        <v>2237</v>
      </c>
      <c r="AD333" s="90"/>
      <c r="AE333" s="90" t="b">
        <v>0</v>
      </c>
      <c r="AF333" s="90">
        <v>0</v>
      </c>
      <c r="AG333" s="99" t="s">
        <v>535</v>
      </c>
      <c r="AH333" s="90" t="b">
        <v>0</v>
      </c>
      <c r="AI333" s="90" t="s">
        <v>537</v>
      </c>
      <c r="AJ333" s="90"/>
      <c r="AK333" s="99" t="s">
        <v>535</v>
      </c>
      <c r="AL333" s="90" t="b">
        <v>0</v>
      </c>
      <c r="AM333" s="90">
        <v>9</v>
      </c>
      <c r="AN333" s="99" t="s">
        <v>538</v>
      </c>
      <c r="AO333" s="99" t="s">
        <v>542</v>
      </c>
      <c r="AP333" s="90" t="b">
        <v>0</v>
      </c>
      <c r="AQ333" s="99" t="s">
        <v>538</v>
      </c>
      <c r="AR333" s="90" t="s">
        <v>187</v>
      </c>
      <c r="AS333" s="90">
        <v>0</v>
      </c>
      <c r="AT333" s="90">
        <v>0</v>
      </c>
      <c r="AU333" s="90"/>
      <c r="AV333" s="90"/>
      <c r="AW333" s="90"/>
      <c r="AX333" s="90"/>
      <c r="AY333" s="90"/>
      <c r="AZ333" s="90"/>
      <c r="BA333" s="90"/>
      <c r="BB333" s="90"/>
      <c r="BC333" s="90">
        <v>1</v>
      </c>
      <c r="BD333" s="89" t="str">
        <f>REPLACE(INDEX(GroupVertices[Group],MATCH(Edges[[#This Row],[Vertex 1]],GroupVertices[Vertex],0)),1,1,"")</f>
        <v>3</v>
      </c>
      <c r="BE333" s="89" t="str">
        <f>REPLACE(INDEX(GroupVertices[Group],MATCH(Edges[[#This Row],[Vertex 2]],GroupVertices[Vertex],0)),1,1,"")</f>
        <v>2</v>
      </c>
      <c r="BF333" s="49"/>
      <c r="BG333" s="50"/>
      <c r="BH333" s="49"/>
      <c r="BI333" s="50"/>
      <c r="BJ333" s="49"/>
      <c r="BK333" s="50"/>
      <c r="BL333" s="49"/>
      <c r="BM333" s="50"/>
      <c r="BN333" s="49"/>
    </row>
    <row r="334" spans="1:66" ht="15">
      <c r="A334" s="66" t="s">
        <v>273</v>
      </c>
      <c r="B334" s="66" t="s">
        <v>252</v>
      </c>
      <c r="C334" s="67" t="s">
        <v>2108</v>
      </c>
      <c r="D334" s="68">
        <v>1</v>
      </c>
      <c r="E334" s="69" t="s">
        <v>132</v>
      </c>
      <c r="F334" s="70">
        <v>32</v>
      </c>
      <c r="G334" s="67" t="s">
        <v>51</v>
      </c>
      <c r="H334" s="71"/>
      <c r="I334" s="72"/>
      <c r="J334" s="72"/>
      <c r="K334" s="35" t="s">
        <v>65</v>
      </c>
      <c r="L334" s="79">
        <v>334</v>
      </c>
      <c r="M334" s="79"/>
      <c r="N334" s="74"/>
      <c r="O334" s="90" t="s">
        <v>306</v>
      </c>
      <c r="P334" s="93">
        <v>44483.727106481485</v>
      </c>
      <c r="Q334" s="90" t="s">
        <v>2140</v>
      </c>
      <c r="R334" s="96" t="str">
        <f>HYPERLINK("https://talouskurssi.fi")</f>
        <v>https://talouskurssi.fi</v>
      </c>
      <c r="S334" s="90" t="s">
        <v>334</v>
      </c>
      <c r="T334" s="90"/>
      <c r="U334" s="96" t="str">
        <f>HYPERLINK("https://pbs.twimg.com/media/FBpWom9XIAAjFw3.jpg")</f>
        <v>https://pbs.twimg.com/media/FBpWom9XIAAjFw3.jpg</v>
      </c>
      <c r="V334" s="96" t="str">
        <f>HYPERLINK("https://pbs.twimg.com/media/FBpWom9XIAAjFw3.jpg")</f>
        <v>https://pbs.twimg.com/media/FBpWom9XIAAjFw3.jpg</v>
      </c>
      <c r="W334" s="93">
        <v>44483.727106481485</v>
      </c>
      <c r="X334" s="102">
        <v>44483</v>
      </c>
      <c r="Y334" s="99" t="s">
        <v>2194</v>
      </c>
      <c r="Z334" s="96" t="str">
        <f>HYPERLINK("https://twitter.com/markkuilmari/status/1448701897062457353")</f>
        <v>https://twitter.com/markkuilmari/status/1448701897062457353</v>
      </c>
      <c r="AA334" s="90"/>
      <c r="AB334" s="90"/>
      <c r="AC334" s="99" t="s">
        <v>2238</v>
      </c>
      <c r="AD334" s="90"/>
      <c r="AE334" s="90" t="b">
        <v>0</v>
      </c>
      <c r="AF334" s="90">
        <v>0</v>
      </c>
      <c r="AG334" s="99" t="s">
        <v>535</v>
      </c>
      <c r="AH334" s="90" t="b">
        <v>0</v>
      </c>
      <c r="AI334" s="90" t="s">
        <v>537</v>
      </c>
      <c r="AJ334" s="90"/>
      <c r="AK334" s="99" t="s">
        <v>535</v>
      </c>
      <c r="AL334" s="90" t="b">
        <v>0</v>
      </c>
      <c r="AM334" s="90">
        <v>9</v>
      </c>
      <c r="AN334" s="99" t="s">
        <v>538</v>
      </c>
      <c r="AO334" s="99" t="s">
        <v>543</v>
      </c>
      <c r="AP334" s="90" t="b">
        <v>0</v>
      </c>
      <c r="AQ334" s="99" t="s">
        <v>538</v>
      </c>
      <c r="AR334" s="90" t="s">
        <v>187</v>
      </c>
      <c r="AS334" s="90">
        <v>0</v>
      </c>
      <c r="AT334" s="90">
        <v>0</v>
      </c>
      <c r="AU334" s="90"/>
      <c r="AV334" s="90"/>
      <c r="AW334" s="90"/>
      <c r="AX334" s="90"/>
      <c r="AY334" s="90"/>
      <c r="AZ334" s="90"/>
      <c r="BA334" s="90"/>
      <c r="BB334" s="90"/>
      <c r="BC334" s="90">
        <v>1</v>
      </c>
      <c r="BD334" s="89" t="str">
        <f>REPLACE(INDEX(GroupVertices[Group],MATCH(Edges[[#This Row],[Vertex 1]],GroupVertices[Vertex],0)),1,1,"")</f>
        <v>2</v>
      </c>
      <c r="BE334" s="89" t="str">
        <f>REPLACE(INDEX(GroupVertices[Group],MATCH(Edges[[#This Row],[Vertex 2]],GroupVertices[Vertex],0)),1,1,"")</f>
        <v>2</v>
      </c>
      <c r="BF334" s="49"/>
      <c r="BG334" s="50"/>
      <c r="BH334" s="49"/>
      <c r="BI334" s="50"/>
      <c r="BJ334" s="49"/>
      <c r="BK334" s="50"/>
      <c r="BL334" s="49"/>
      <c r="BM334" s="50"/>
      <c r="BN334" s="49"/>
    </row>
    <row r="335" spans="1:66" ht="15">
      <c r="A335" s="66" t="s">
        <v>250</v>
      </c>
      <c r="B335" s="66" t="s">
        <v>295</v>
      </c>
      <c r="C335" s="67" t="s">
        <v>2108</v>
      </c>
      <c r="D335" s="68">
        <v>1</v>
      </c>
      <c r="E335" s="69" t="s">
        <v>132</v>
      </c>
      <c r="F335" s="70">
        <v>32</v>
      </c>
      <c r="G335" s="67" t="s">
        <v>51</v>
      </c>
      <c r="H335" s="71"/>
      <c r="I335" s="72"/>
      <c r="J335" s="72"/>
      <c r="K335" s="35" t="s">
        <v>65</v>
      </c>
      <c r="L335" s="79">
        <v>335</v>
      </c>
      <c r="M335" s="79"/>
      <c r="N335" s="74"/>
      <c r="O335" s="90" t="s">
        <v>307</v>
      </c>
      <c r="P335" s="93">
        <v>44483.35225694445</v>
      </c>
      <c r="Q335" s="90" t="s">
        <v>2140</v>
      </c>
      <c r="R335" s="96" t="str">
        <f>HYPERLINK("https://talouskurssi.fi")</f>
        <v>https://talouskurssi.fi</v>
      </c>
      <c r="S335" s="90" t="s">
        <v>334</v>
      </c>
      <c r="T335" s="90"/>
      <c r="U335" s="96" t="str">
        <f>HYPERLINK("https://pbs.twimg.com/media/FBpWom9XIAAjFw3.jpg")</f>
        <v>https://pbs.twimg.com/media/FBpWom9XIAAjFw3.jpg</v>
      </c>
      <c r="V335" s="96" t="str">
        <f>HYPERLINK("https://pbs.twimg.com/media/FBpWom9XIAAjFw3.jpg")</f>
        <v>https://pbs.twimg.com/media/FBpWom9XIAAjFw3.jpg</v>
      </c>
      <c r="W335" s="93">
        <v>44483.35225694445</v>
      </c>
      <c r="X335" s="102">
        <v>44483</v>
      </c>
      <c r="Y335" s="99" t="s">
        <v>2191</v>
      </c>
      <c r="Z335" s="96" t="str">
        <f>HYPERLINK("https://twitter.com/teemu_roos/status/1448566055861948418")</f>
        <v>https://twitter.com/teemu_roos/status/1448566055861948418</v>
      </c>
      <c r="AA335" s="90"/>
      <c r="AB335" s="90"/>
      <c r="AC335" s="99" t="s">
        <v>538</v>
      </c>
      <c r="AD335" s="90"/>
      <c r="AE335" s="90" t="b">
        <v>0</v>
      </c>
      <c r="AF335" s="90">
        <v>32</v>
      </c>
      <c r="AG335" s="99" t="s">
        <v>535</v>
      </c>
      <c r="AH335" s="90" t="b">
        <v>0</v>
      </c>
      <c r="AI335" s="90" t="s">
        <v>537</v>
      </c>
      <c r="AJ335" s="90"/>
      <c r="AK335" s="99" t="s">
        <v>535</v>
      </c>
      <c r="AL335" s="90" t="b">
        <v>0</v>
      </c>
      <c r="AM335" s="90">
        <v>9</v>
      </c>
      <c r="AN335" s="99" t="s">
        <v>535</v>
      </c>
      <c r="AO335" s="99" t="s">
        <v>542</v>
      </c>
      <c r="AP335" s="90" t="b">
        <v>0</v>
      </c>
      <c r="AQ335" s="99" t="s">
        <v>538</v>
      </c>
      <c r="AR335" s="90" t="s">
        <v>187</v>
      </c>
      <c r="AS335" s="90">
        <v>0</v>
      </c>
      <c r="AT335" s="90">
        <v>0</v>
      </c>
      <c r="AU335" s="90"/>
      <c r="AV335" s="90"/>
      <c r="AW335" s="90"/>
      <c r="AX335" s="90"/>
      <c r="AY335" s="90"/>
      <c r="AZ335" s="90"/>
      <c r="BA335" s="90"/>
      <c r="BB335" s="90"/>
      <c r="BC335" s="90">
        <v>1</v>
      </c>
      <c r="BD335" s="89" t="str">
        <f>REPLACE(INDEX(GroupVertices[Group],MATCH(Edges[[#This Row],[Vertex 1]],GroupVertices[Vertex],0)),1,1,"")</f>
        <v>2</v>
      </c>
      <c r="BE335" s="89" t="str">
        <f>REPLACE(INDEX(GroupVertices[Group],MATCH(Edges[[#This Row],[Vertex 2]],GroupVertices[Vertex],0)),1,1,"")</f>
        <v>2</v>
      </c>
      <c r="BF335" s="49"/>
      <c r="BG335" s="50"/>
      <c r="BH335" s="49"/>
      <c r="BI335" s="50"/>
      <c r="BJ335" s="49"/>
      <c r="BK335" s="50"/>
      <c r="BL335" s="49"/>
      <c r="BM335" s="50"/>
      <c r="BN335" s="49"/>
    </row>
    <row r="336" spans="1:66" ht="15">
      <c r="A336" s="66" t="s">
        <v>250</v>
      </c>
      <c r="B336" s="66" t="s">
        <v>260</v>
      </c>
      <c r="C336" s="67" t="s">
        <v>2108</v>
      </c>
      <c r="D336" s="68">
        <v>1</v>
      </c>
      <c r="E336" s="69" t="s">
        <v>132</v>
      </c>
      <c r="F336" s="70">
        <v>32</v>
      </c>
      <c r="G336" s="67" t="s">
        <v>51</v>
      </c>
      <c r="H336" s="71"/>
      <c r="I336" s="72"/>
      <c r="J336" s="72"/>
      <c r="K336" s="35" t="s">
        <v>65</v>
      </c>
      <c r="L336" s="79">
        <v>336</v>
      </c>
      <c r="M336" s="79"/>
      <c r="N336" s="74"/>
      <c r="O336" s="90" t="s">
        <v>307</v>
      </c>
      <c r="P336" s="93">
        <v>44483.35225694445</v>
      </c>
      <c r="Q336" s="90" t="s">
        <v>2140</v>
      </c>
      <c r="R336" s="96" t="str">
        <f>HYPERLINK("https://talouskurssi.fi")</f>
        <v>https://talouskurssi.fi</v>
      </c>
      <c r="S336" s="90" t="s">
        <v>334</v>
      </c>
      <c r="T336" s="90"/>
      <c r="U336" s="96" t="str">
        <f>HYPERLINK("https://pbs.twimg.com/media/FBpWom9XIAAjFw3.jpg")</f>
        <v>https://pbs.twimg.com/media/FBpWom9XIAAjFw3.jpg</v>
      </c>
      <c r="V336" s="96" t="str">
        <f>HYPERLINK("https://pbs.twimg.com/media/FBpWom9XIAAjFw3.jpg")</f>
        <v>https://pbs.twimg.com/media/FBpWom9XIAAjFw3.jpg</v>
      </c>
      <c r="W336" s="93">
        <v>44483.35225694445</v>
      </c>
      <c r="X336" s="102">
        <v>44483</v>
      </c>
      <c r="Y336" s="99" t="s">
        <v>2191</v>
      </c>
      <c r="Z336" s="96" t="str">
        <f>HYPERLINK("https://twitter.com/teemu_roos/status/1448566055861948418")</f>
        <v>https://twitter.com/teemu_roos/status/1448566055861948418</v>
      </c>
      <c r="AA336" s="90"/>
      <c r="AB336" s="90"/>
      <c r="AC336" s="99" t="s">
        <v>538</v>
      </c>
      <c r="AD336" s="90"/>
      <c r="AE336" s="90" t="b">
        <v>0</v>
      </c>
      <c r="AF336" s="90">
        <v>32</v>
      </c>
      <c r="AG336" s="99" t="s">
        <v>535</v>
      </c>
      <c r="AH336" s="90" t="b">
        <v>0</v>
      </c>
      <c r="AI336" s="90" t="s">
        <v>537</v>
      </c>
      <c r="AJ336" s="90"/>
      <c r="AK336" s="99" t="s">
        <v>535</v>
      </c>
      <c r="AL336" s="90" t="b">
        <v>0</v>
      </c>
      <c r="AM336" s="90">
        <v>9</v>
      </c>
      <c r="AN336" s="99" t="s">
        <v>535</v>
      </c>
      <c r="AO336" s="99" t="s">
        <v>542</v>
      </c>
      <c r="AP336" s="90" t="b">
        <v>0</v>
      </c>
      <c r="AQ336" s="99" t="s">
        <v>538</v>
      </c>
      <c r="AR336" s="90" t="s">
        <v>187</v>
      </c>
      <c r="AS336" s="90">
        <v>0</v>
      </c>
      <c r="AT336" s="90">
        <v>0</v>
      </c>
      <c r="AU336" s="90"/>
      <c r="AV336" s="90"/>
      <c r="AW336" s="90"/>
      <c r="AX336" s="90"/>
      <c r="AY336" s="90"/>
      <c r="AZ336" s="90"/>
      <c r="BA336" s="90"/>
      <c r="BB336" s="90"/>
      <c r="BC336" s="90">
        <v>1</v>
      </c>
      <c r="BD336" s="89" t="str">
        <f>REPLACE(INDEX(GroupVertices[Group],MATCH(Edges[[#This Row],[Vertex 1]],GroupVertices[Vertex],0)),1,1,"")</f>
        <v>2</v>
      </c>
      <c r="BE336" s="89" t="str">
        <f>REPLACE(INDEX(GroupVertices[Group],MATCH(Edges[[#This Row],[Vertex 2]],GroupVertices[Vertex],0)),1,1,"")</f>
        <v>2</v>
      </c>
      <c r="BF336" s="49"/>
      <c r="BG336" s="50"/>
      <c r="BH336" s="49"/>
      <c r="BI336" s="50"/>
      <c r="BJ336" s="49"/>
      <c r="BK336" s="50"/>
      <c r="BL336" s="49"/>
      <c r="BM336" s="50"/>
      <c r="BN336" s="49"/>
    </row>
    <row r="337" spans="1:66" ht="15">
      <c r="A337" s="66" t="s">
        <v>250</v>
      </c>
      <c r="B337" s="66" t="s">
        <v>293</v>
      </c>
      <c r="C337" s="67" t="s">
        <v>2108</v>
      </c>
      <c r="D337" s="68">
        <v>1</v>
      </c>
      <c r="E337" s="69" t="s">
        <v>132</v>
      </c>
      <c r="F337" s="70">
        <v>32</v>
      </c>
      <c r="G337" s="67" t="s">
        <v>51</v>
      </c>
      <c r="H337" s="71"/>
      <c r="I337" s="72"/>
      <c r="J337" s="72"/>
      <c r="K337" s="35" t="s">
        <v>66</v>
      </c>
      <c r="L337" s="79">
        <v>337</v>
      </c>
      <c r="M337" s="79"/>
      <c r="N337" s="74"/>
      <c r="O337" s="90" t="s">
        <v>307</v>
      </c>
      <c r="P337" s="93">
        <v>44483.35225694445</v>
      </c>
      <c r="Q337" s="90" t="s">
        <v>2140</v>
      </c>
      <c r="R337" s="96" t="str">
        <f>HYPERLINK("https://talouskurssi.fi")</f>
        <v>https://talouskurssi.fi</v>
      </c>
      <c r="S337" s="90" t="s">
        <v>334</v>
      </c>
      <c r="T337" s="90"/>
      <c r="U337" s="96" t="str">
        <f>HYPERLINK("https://pbs.twimg.com/media/FBpWom9XIAAjFw3.jpg")</f>
        <v>https://pbs.twimg.com/media/FBpWom9XIAAjFw3.jpg</v>
      </c>
      <c r="V337" s="96" t="str">
        <f>HYPERLINK("https://pbs.twimg.com/media/FBpWom9XIAAjFw3.jpg")</f>
        <v>https://pbs.twimg.com/media/FBpWom9XIAAjFw3.jpg</v>
      </c>
      <c r="W337" s="93">
        <v>44483.35225694445</v>
      </c>
      <c r="X337" s="102">
        <v>44483</v>
      </c>
      <c r="Y337" s="99" t="s">
        <v>2191</v>
      </c>
      <c r="Z337" s="96" t="str">
        <f>HYPERLINK("https://twitter.com/teemu_roos/status/1448566055861948418")</f>
        <v>https://twitter.com/teemu_roos/status/1448566055861948418</v>
      </c>
      <c r="AA337" s="90"/>
      <c r="AB337" s="90"/>
      <c r="AC337" s="99" t="s">
        <v>538</v>
      </c>
      <c r="AD337" s="90"/>
      <c r="AE337" s="90" t="b">
        <v>0</v>
      </c>
      <c r="AF337" s="90">
        <v>32</v>
      </c>
      <c r="AG337" s="99" t="s">
        <v>535</v>
      </c>
      <c r="AH337" s="90" t="b">
        <v>0</v>
      </c>
      <c r="AI337" s="90" t="s">
        <v>537</v>
      </c>
      <c r="AJ337" s="90"/>
      <c r="AK337" s="99" t="s">
        <v>535</v>
      </c>
      <c r="AL337" s="90" t="b">
        <v>0</v>
      </c>
      <c r="AM337" s="90">
        <v>9</v>
      </c>
      <c r="AN337" s="99" t="s">
        <v>535</v>
      </c>
      <c r="AO337" s="99" t="s">
        <v>542</v>
      </c>
      <c r="AP337" s="90" t="b">
        <v>0</v>
      </c>
      <c r="AQ337" s="99" t="s">
        <v>538</v>
      </c>
      <c r="AR337" s="90" t="s">
        <v>187</v>
      </c>
      <c r="AS337" s="90">
        <v>0</v>
      </c>
      <c r="AT337" s="90">
        <v>0</v>
      </c>
      <c r="AU337" s="90"/>
      <c r="AV337" s="90"/>
      <c r="AW337" s="90"/>
      <c r="AX337" s="90"/>
      <c r="AY337" s="90"/>
      <c r="AZ337" s="90"/>
      <c r="BA337" s="90"/>
      <c r="BB337" s="90"/>
      <c r="BC337" s="90">
        <v>1</v>
      </c>
      <c r="BD337" s="89" t="str">
        <f>REPLACE(INDEX(GroupVertices[Group],MATCH(Edges[[#This Row],[Vertex 1]],GroupVertices[Vertex],0)),1,1,"")</f>
        <v>2</v>
      </c>
      <c r="BE337" s="89" t="str">
        <f>REPLACE(INDEX(GroupVertices[Group],MATCH(Edges[[#This Row],[Vertex 2]],GroupVertices[Vertex],0)),1,1,"")</f>
        <v>3</v>
      </c>
      <c r="BF337" s="49">
        <v>0</v>
      </c>
      <c r="BG337" s="50">
        <v>0</v>
      </c>
      <c r="BH337" s="49">
        <v>0</v>
      </c>
      <c r="BI337" s="50">
        <v>0</v>
      </c>
      <c r="BJ337" s="49">
        <v>0</v>
      </c>
      <c r="BK337" s="50">
        <v>0</v>
      </c>
      <c r="BL337" s="49">
        <v>32</v>
      </c>
      <c r="BM337" s="50">
        <v>100</v>
      </c>
      <c r="BN337" s="49">
        <v>32</v>
      </c>
    </row>
    <row r="338" spans="1:66" ht="15">
      <c r="A338" s="66" t="s">
        <v>250</v>
      </c>
      <c r="B338" s="66" t="s">
        <v>299</v>
      </c>
      <c r="C338" s="67" t="s">
        <v>2108</v>
      </c>
      <c r="D338" s="68">
        <v>1</v>
      </c>
      <c r="E338" s="69" t="s">
        <v>132</v>
      </c>
      <c r="F338" s="70">
        <v>32</v>
      </c>
      <c r="G338" s="67" t="s">
        <v>51</v>
      </c>
      <c r="H338" s="71"/>
      <c r="I338" s="72"/>
      <c r="J338" s="72"/>
      <c r="K338" s="35" t="s">
        <v>65</v>
      </c>
      <c r="L338" s="79">
        <v>338</v>
      </c>
      <c r="M338" s="79"/>
      <c r="N338" s="74"/>
      <c r="O338" s="90" t="s">
        <v>306</v>
      </c>
      <c r="P338" s="93">
        <v>44483.359618055554</v>
      </c>
      <c r="Q338" s="90" t="s">
        <v>310</v>
      </c>
      <c r="R338" s="96" t="str">
        <f>HYPERLINK("https://talouskurssi.fi/")</f>
        <v>https://talouskurssi.fi/</v>
      </c>
      <c r="S338" s="90" t="s">
        <v>334</v>
      </c>
      <c r="T338" s="99" t="s">
        <v>338</v>
      </c>
      <c r="U338" s="96" t="str">
        <f>HYPERLINK("https://pbs.twimg.com/ext_tw_video_thumb/1448527896562348036/pu/img/0PqSbNMaXHvzKHCc.jpg")</f>
        <v>https://pbs.twimg.com/ext_tw_video_thumb/1448527896562348036/pu/img/0PqSbNMaXHvzKHCc.jpg</v>
      </c>
      <c r="V338" s="96" t="str">
        <f>HYPERLINK("https://pbs.twimg.com/ext_tw_video_thumb/1448527896562348036/pu/img/0PqSbNMaXHvzKHCc.jpg")</f>
        <v>https://pbs.twimg.com/ext_tw_video_thumb/1448527896562348036/pu/img/0PqSbNMaXHvzKHCc.jpg</v>
      </c>
      <c r="W338" s="93">
        <v>44483.359618055554</v>
      </c>
      <c r="X338" s="102">
        <v>44483</v>
      </c>
      <c r="Y338" s="99" t="s">
        <v>371</v>
      </c>
      <c r="Z338" s="96" t="str">
        <f>HYPERLINK("https://twitter.com/teemu_roos/status/1448568723367989254")</f>
        <v>https://twitter.com/teemu_roos/status/1448568723367989254</v>
      </c>
      <c r="AA338" s="90"/>
      <c r="AB338" s="90"/>
      <c r="AC338" s="99" t="s">
        <v>465</v>
      </c>
      <c r="AD338" s="90"/>
      <c r="AE338" s="90" t="b">
        <v>0</v>
      </c>
      <c r="AF338" s="90">
        <v>0</v>
      </c>
      <c r="AG338" s="99" t="s">
        <v>535</v>
      </c>
      <c r="AH338" s="90" t="b">
        <v>0</v>
      </c>
      <c r="AI338" s="90" t="s">
        <v>537</v>
      </c>
      <c r="AJ338" s="90"/>
      <c r="AK338" s="99" t="s">
        <v>535</v>
      </c>
      <c r="AL338" s="90" t="b">
        <v>0</v>
      </c>
      <c r="AM338" s="90">
        <v>52</v>
      </c>
      <c r="AN338" s="99" t="s">
        <v>526</v>
      </c>
      <c r="AO338" s="99" t="s">
        <v>542</v>
      </c>
      <c r="AP338" s="90" t="b">
        <v>0</v>
      </c>
      <c r="AQ338" s="99" t="s">
        <v>526</v>
      </c>
      <c r="AR338" s="90" t="s">
        <v>187</v>
      </c>
      <c r="AS338" s="90">
        <v>0</v>
      </c>
      <c r="AT338" s="90">
        <v>0</v>
      </c>
      <c r="AU338" s="90"/>
      <c r="AV338" s="90"/>
      <c r="AW338" s="90"/>
      <c r="AX338" s="90"/>
      <c r="AY338" s="90"/>
      <c r="AZ338" s="90"/>
      <c r="BA338" s="90"/>
      <c r="BB338" s="90"/>
      <c r="BC338" s="90">
        <v>1</v>
      </c>
      <c r="BD338" s="89" t="str">
        <f>REPLACE(INDEX(GroupVertices[Group],MATCH(Edges[[#This Row],[Vertex 1]],GroupVertices[Vertex],0)),1,1,"")</f>
        <v>2</v>
      </c>
      <c r="BE338" s="89" t="str">
        <f>REPLACE(INDEX(GroupVertices[Group],MATCH(Edges[[#This Row],[Vertex 2]],GroupVertices[Vertex],0)),1,1,"")</f>
        <v>1</v>
      </c>
      <c r="BF338" s="49"/>
      <c r="BG338" s="50"/>
      <c r="BH338" s="49"/>
      <c r="BI338" s="50"/>
      <c r="BJ338" s="49"/>
      <c r="BK338" s="50"/>
      <c r="BL338" s="49"/>
      <c r="BM338" s="50"/>
      <c r="BN338" s="49"/>
    </row>
    <row r="339" spans="1:66" ht="15">
      <c r="A339" s="66" t="s">
        <v>250</v>
      </c>
      <c r="B339" s="66" t="s">
        <v>293</v>
      </c>
      <c r="C339" s="67" t="s">
        <v>2108</v>
      </c>
      <c r="D339" s="68">
        <v>1</v>
      </c>
      <c r="E339" s="69" t="s">
        <v>132</v>
      </c>
      <c r="F339" s="70">
        <v>32</v>
      </c>
      <c r="G339" s="67" t="s">
        <v>51</v>
      </c>
      <c r="H339" s="71"/>
      <c r="I339" s="72"/>
      <c r="J339" s="72"/>
      <c r="K339" s="35" t="s">
        <v>66</v>
      </c>
      <c r="L339" s="79">
        <v>339</v>
      </c>
      <c r="M339" s="79"/>
      <c r="N339" s="74"/>
      <c r="O339" s="90" t="s">
        <v>305</v>
      </c>
      <c r="P339" s="93">
        <v>44483.359618055554</v>
      </c>
      <c r="Q339" s="90" t="s">
        <v>310</v>
      </c>
      <c r="R339" s="96" t="str">
        <f>HYPERLINK("https://talouskurssi.fi/")</f>
        <v>https://talouskurssi.fi/</v>
      </c>
      <c r="S339" s="90" t="s">
        <v>334</v>
      </c>
      <c r="T339" s="99" t="s">
        <v>338</v>
      </c>
      <c r="U339" s="96" t="str">
        <f>HYPERLINK("https://pbs.twimg.com/ext_tw_video_thumb/1448527896562348036/pu/img/0PqSbNMaXHvzKHCc.jpg")</f>
        <v>https://pbs.twimg.com/ext_tw_video_thumb/1448527896562348036/pu/img/0PqSbNMaXHvzKHCc.jpg</v>
      </c>
      <c r="V339" s="96" t="str">
        <f>HYPERLINK("https://pbs.twimg.com/ext_tw_video_thumb/1448527896562348036/pu/img/0PqSbNMaXHvzKHCc.jpg")</f>
        <v>https://pbs.twimg.com/ext_tw_video_thumb/1448527896562348036/pu/img/0PqSbNMaXHvzKHCc.jpg</v>
      </c>
      <c r="W339" s="93">
        <v>44483.359618055554</v>
      </c>
      <c r="X339" s="102">
        <v>44483</v>
      </c>
      <c r="Y339" s="99" t="s">
        <v>371</v>
      </c>
      <c r="Z339" s="96" t="str">
        <f>HYPERLINK("https://twitter.com/teemu_roos/status/1448568723367989254")</f>
        <v>https://twitter.com/teemu_roos/status/1448568723367989254</v>
      </c>
      <c r="AA339" s="90"/>
      <c r="AB339" s="90"/>
      <c r="AC339" s="99" t="s">
        <v>465</v>
      </c>
      <c r="AD339" s="90"/>
      <c r="AE339" s="90" t="b">
        <v>0</v>
      </c>
      <c r="AF339" s="90">
        <v>0</v>
      </c>
      <c r="AG339" s="99" t="s">
        <v>535</v>
      </c>
      <c r="AH339" s="90" t="b">
        <v>0</v>
      </c>
      <c r="AI339" s="90" t="s">
        <v>537</v>
      </c>
      <c r="AJ339" s="90"/>
      <c r="AK339" s="99" t="s">
        <v>535</v>
      </c>
      <c r="AL339" s="90" t="b">
        <v>0</v>
      </c>
      <c r="AM339" s="90">
        <v>52</v>
      </c>
      <c r="AN339" s="99" t="s">
        <v>526</v>
      </c>
      <c r="AO339" s="99" t="s">
        <v>542</v>
      </c>
      <c r="AP339" s="90" t="b">
        <v>0</v>
      </c>
      <c r="AQ339" s="99" t="s">
        <v>526</v>
      </c>
      <c r="AR339" s="90" t="s">
        <v>187</v>
      </c>
      <c r="AS339" s="90">
        <v>0</v>
      </c>
      <c r="AT339" s="90">
        <v>0</v>
      </c>
      <c r="AU339" s="90"/>
      <c r="AV339" s="90"/>
      <c r="AW339" s="90"/>
      <c r="AX339" s="90"/>
      <c r="AY339" s="90"/>
      <c r="AZ339" s="90"/>
      <c r="BA339" s="90"/>
      <c r="BB339" s="90"/>
      <c r="BC339" s="90">
        <v>1</v>
      </c>
      <c r="BD339" s="89" t="str">
        <f>REPLACE(INDEX(GroupVertices[Group],MATCH(Edges[[#This Row],[Vertex 1]],GroupVertices[Vertex],0)),1,1,"")</f>
        <v>2</v>
      </c>
      <c r="BE339" s="89" t="str">
        <f>REPLACE(INDEX(GroupVertices[Group],MATCH(Edges[[#This Row],[Vertex 2]],GroupVertices[Vertex],0)),1,1,"")</f>
        <v>3</v>
      </c>
      <c r="BF339" s="49">
        <v>0</v>
      </c>
      <c r="BG339" s="50">
        <v>0</v>
      </c>
      <c r="BH339" s="49">
        <v>0</v>
      </c>
      <c r="BI339" s="50">
        <v>0</v>
      </c>
      <c r="BJ339" s="49">
        <v>0</v>
      </c>
      <c r="BK339" s="50">
        <v>0</v>
      </c>
      <c r="BL339" s="49">
        <v>28</v>
      </c>
      <c r="BM339" s="50">
        <v>100</v>
      </c>
      <c r="BN339" s="49">
        <v>28</v>
      </c>
    </row>
    <row r="340" spans="1:66" ht="15">
      <c r="A340" s="66" t="s">
        <v>293</v>
      </c>
      <c r="B340" s="66" t="s">
        <v>250</v>
      </c>
      <c r="C340" s="67" t="s">
        <v>2108</v>
      </c>
      <c r="D340" s="68">
        <v>1</v>
      </c>
      <c r="E340" s="69" t="s">
        <v>132</v>
      </c>
      <c r="F340" s="70">
        <v>32</v>
      </c>
      <c r="G340" s="67" t="s">
        <v>51</v>
      </c>
      <c r="H340" s="71"/>
      <c r="I340" s="72"/>
      <c r="J340" s="72"/>
      <c r="K340" s="35" t="s">
        <v>66</v>
      </c>
      <c r="L340" s="79">
        <v>340</v>
      </c>
      <c r="M340" s="79"/>
      <c r="N340" s="74"/>
      <c r="O340" s="90" t="s">
        <v>305</v>
      </c>
      <c r="P340" s="93">
        <v>44483.352534722224</v>
      </c>
      <c r="Q340" s="90" t="s">
        <v>2140</v>
      </c>
      <c r="R340" s="96" t="str">
        <f>HYPERLINK("https://talouskurssi.fi")</f>
        <v>https://talouskurssi.fi</v>
      </c>
      <c r="S340" s="90" t="s">
        <v>334</v>
      </c>
      <c r="T340" s="90"/>
      <c r="U340" s="96" t="str">
        <f>HYPERLINK("https://pbs.twimg.com/media/FBpWom9XIAAjFw3.jpg")</f>
        <v>https://pbs.twimg.com/media/FBpWom9XIAAjFw3.jpg</v>
      </c>
      <c r="V340" s="96" t="str">
        <f>HYPERLINK("https://pbs.twimg.com/media/FBpWom9XIAAjFw3.jpg")</f>
        <v>https://pbs.twimg.com/media/FBpWom9XIAAjFw3.jpg</v>
      </c>
      <c r="W340" s="93">
        <v>44483.352534722224</v>
      </c>
      <c r="X340" s="102">
        <v>44483</v>
      </c>
      <c r="Y340" s="99" t="s">
        <v>2193</v>
      </c>
      <c r="Z340" s="96" t="str">
        <f>HYPERLINK("https://twitter.com/helsinkigse/status/1448566154843279362")</f>
        <v>https://twitter.com/helsinkigse/status/1448566154843279362</v>
      </c>
      <c r="AA340" s="90"/>
      <c r="AB340" s="90"/>
      <c r="AC340" s="99" t="s">
        <v>2237</v>
      </c>
      <c r="AD340" s="90"/>
      <c r="AE340" s="90" t="b">
        <v>0</v>
      </c>
      <c r="AF340" s="90">
        <v>0</v>
      </c>
      <c r="AG340" s="99" t="s">
        <v>535</v>
      </c>
      <c r="AH340" s="90" t="b">
        <v>0</v>
      </c>
      <c r="AI340" s="90" t="s">
        <v>537</v>
      </c>
      <c r="AJ340" s="90"/>
      <c r="AK340" s="99" t="s">
        <v>535</v>
      </c>
      <c r="AL340" s="90" t="b">
        <v>0</v>
      </c>
      <c r="AM340" s="90">
        <v>9</v>
      </c>
      <c r="AN340" s="99" t="s">
        <v>538</v>
      </c>
      <c r="AO340" s="99" t="s">
        <v>542</v>
      </c>
      <c r="AP340" s="90" t="b">
        <v>0</v>
      </c>
      <c r="AQ340" s="99" t="s">
        <v>538</v>
      </c>
      <c r="AR340" s="90" t="s">
        <v>187</v>
      </c>
      <c r="AS340" s="90">
        <v>0</v>
      </c>
      <c r="AT340" s="90">
        <v>0</v>
      </c>
      <c r="AU340" s="90"/>
      <c r="AV340" s="90"/>
      <c r="AW340" s="90"/>
      <c r="AX340" s="90"/>
      <c r="AY340" s="90"/>
      <c r="AZ340" s="90"/>
      <c r="BA340" s="90"/>
      <c r="BB340" s="90"/>
      <c r="BC340" s="90">
        <v>1</v>
      </c>
      <c r="BD340" s="89" t="str">
        <f>REPLACE(INDEX(GroupVertices[Group],MATCH(Edges[[#This Row],[Vertex 1]],GroupVertices[Vertex],0)),1,1,"")</f>
        <v>3</v>
      </c>
      <c r="BE340" s="89" t="str">
        <f>REPLACE(INDEX(GroupVertices[Group],MATCH(Edges[[#This Row],[Vertex 2]],GroupVertices[Vertex],0)),1,1,"")</f>
        <v>2</v>
      </c>
      <c r="BF340" s="49">
        <v>0</v>
      </c>
      <c r="BG340" s="50">
        <v>0</v>
      </c>
      <c r="BH340" s="49">
        <v>0</v>
      </c>
      <c r="BI340" s="50">
        <v>0</v>
      </c>
      <c r="BJ340" s="49">
        <v>0</v>
      </c>
      <c r="BK340" s="50">
        <v>0</v>
      </c>
      <c r="BL340" s="49">
        <v>32</v>
      </c>
      <c r="BM340" s="50">
        <v>100</v>
      </c>
      <c r="BN340" s="49">
        <v>32</v>
      </c>
    </row>
    <row r="341" spans="1:66" ht="15">
      <c r="A341" s="66" t="s">
        <v>273</v>
      </c>
      <c r="B341" s="66" t="s">
        <v>250</v>
      </c>
      <c r="C341" s="67" t="s">
        <v>2108</v>
      </c>
      <c r="D341" s="68">
        <v>1</v>
      </c>
      <c r="E341" s="69" t="s">
        <v>132</v>
      </c>
      <c r="F341" s="70">
        <v>32</v>
      </c>
      <c r="G341" s="67" t="s">
        <v>51</v>
      </c>
      <c r="H341" s="71"/>
      <c r="I341" s="72"/>
      <c r="J341" s="72"/>
      <c r="K341" s="35" t="s">
        <v>65</v>
      </c>
      <c r="L341" s="79">
        <v>341</v>
      </c>
      <c r="M341" s="79"/>
      <c r="N341" s="74"/>
      <c r="O341" s="90" t="s">
        <v>305</v>
      </c>
      <c r="P341" s="93">
        <v>44483.727106481485</v>
      </c>
      <c r="Q341" s="90" t="s">
        <v>2140</v>
      </c>
      <c r="R341" s="96" t="str">
        <f>HYPERLINK("https://talouskurssi.fi")</f>
        <v>https://talouskurssi.fi</v>
      </c>
      <c r="S341" s="90" t="s">
        <v>334</v>
      </c>
      <c r="T341" s="90"/>
      <c r="U341" s="96" t="str">
        <f>HYPERLINK("https://pbs.twimg.com/media/FBpWom9XIAAjFw3.jpg")</f>
        <v>https://pbs.twimg.com/media/FBpWom9XIAAjFw3.jpg</v>
      </c>
      <c r="V341" s="96" t="str">
        <f>HYPERLINK("https://pbs.twimg.com/media/FBpWom9XIAAjFw3.jpg")</f>
        <v>https://pbs.twimg.com/media/FBpWom9XIAAjFw3.jpg</v>
      </c>
      <c r="W341" s="93">
        <v>44483.727106481485</v>
      </c>
      <c r="X341" s="102">
        <v>44483</v>
      </c>
      <c r="Y341" s="99" t="s">
        <v>2194</v>
      </c>
      <c r="Z341" s="96" t="str">
        <f>HYPERLINK("https://twitter.com/markkuilmari/status/1448701897062457353")</f>
        <v>https://twitter.com/markkuilmari/status/1448701897062457353</v>
      </c>
      <c r="AA341" s="90"/>
      <c r="AB341" s="90"/>
      <c r="AC341" s="99" t="s">
        <v>2238</v>
      </c>
      <c r="AD341" s="90"/>
      <c r="AE341" s="90" t="b">
        <v>0</v>
      </c>
      <c r="AF341" s="90">
        <v>0</v>
      </c>
      <c r="AG341" s="99" t="s">
        <v>535</v>
      </c>
      <c r="AH341" s="90" t="b">
        <v>0</v>
      </c>
      <c r="AI341" s="90" t="s">
        <v>537</v>
      </c>
      <c r="AJ341" s="90"/>
      <c r="AK341" s="99" t="s">
        <v>535</v>
      </c>
      <c r="AL341" s="90" t="b">
        <v>0</v>
      </c>
      <c r="AM341" s="90">
        <v>9</v>
      </c>
      <c r="AN341" s="99" t="s">
        <v>538</v>
      </c>
      <c r="AO341" s="99" t="s">
        <v>543</v>
      </c>
      <c r="AP341" s="90" t="b">
        <v>0</v>
      </c>
      <c r="AQ341" s="99" t="s">
        <v>538</v>
      </c>
      <c r="AR341" s="90" t="s">
        <v>187</v>
      </c>
      <c r="AS341" s="90">
        <v>0</v>
      </c>
      <c r="AT341" s="90">
        <v>0</v>
      </c>
      <c r="AU341" s="90"/>
      <c r="AV341" s="90"/>
      <c r="AW341" s="90"/>
      <c r="AX341" s="90"/>
      <c r="AY341" s="90"/>
      <c r="AZ341" s="90"/>
      <c r="BA341" s="90"/>
      <c r="BB341" s="90"/>
      <c r="BC341" s="90">
        <v>1</v>
      </c>
      <c r="BD341" s="89" t="str">
        <f>REPLACE(INDEX(GroupVertices[Group],MATCH(Edges[[#This Row],[Vertex 1]],GroupVertices[Vertex],0)),1,1,"")</f>
        <v>2</v>
      </c>
      <c r="BE341" s="89" t="str">
        <f>REPLACE(INDEX(GroupVertices[Group],MATCH(Edges[[#This Row],[Vertex 2]],GroupVertices[Vertex],0)),1,1,"")</f>
        <v>2</v>
      </c>
      <c r="BF341" s="49"/>
      <c r="BG341" s="50"/>
      <c r="BH341" s="49"/>
      <c r="BI341" s="50"/>
      <c r="BJ341" s="49"/>
      <c r="BK341" s="50"/>
      <c r="BL341" s="49"/>
      <c r="BM341" s="50"/>
      <c r="BN341" s="49"/>
    </row>
    <row r="342" spans="1:66" ht="15">
      <c r="A342" s="66" t="s">
        <v>273</v>
      </c>
      <c r="B342" s="66" t="s">
        <v>299</v>
      </c>
      <c r="C342" s="67" t="s">
        <v>2108</v>
      </c>
      <c r="D342" s="68">
        <v>1</v>
      </c>
      <c r="E342" s="69" t="s">
        <v>132</v>
      </c>
      <c r="F342" s="70">
        <v>32</v>
      </c>
      <c r="G342" s="67" t="s">
        <v>51</v>
      </c>
      <c r="H342" s="71"/>
      <c r="I342" s="72"/>
      <c r="J342" s="72"/>
      <c r="K342" s="35" t="s">
        <v>65</v>
      </c>
      <c r="L342" s="79">
        <v>342</v>
      </c>
      <c r="M342" s="79"/>
      <c r="N342" s="74"/>
      <c r="O342" s="90" t="s">
        <v>306</v>
      </c>
      <c r="P342" s="93">
        <v>44483.363287037035</v>
      </c>
      <c r="Q342" s="90" t="s">
        <v>310</v>
      </c>
      <c r="R342" s="96" t="str">
        <f>HYPERLINK("https://talouskurssi.fi/")</f>
        <v>https://talouskurssi.fi/</v>
      </c>
      <c r="S342" s="90" t="s">
        <v>334</v>
      </c>
      <c r="T342" s="99" t="s">
        <v>338</v>
      </c>
      <c r="U342" s="96" t="str">
        <f>HYPERLINK("https://pbs.twimg.com/ext_tw_video_thumb/1448527896562348036/pu/img/0PqSbNMaXHvzKHCc.jpg")</f>
        <v>https://pbs.twimg.com/ext_tw_video_thumb/1448527896562348036/pu/img/0PqSbNMaXHvzKHCc.jpg</v>
      </c>
      <c r="V342" s="96" t="str">
        <f>HYPERLINK("https://pbs.twimg.com/ext_tw_video_thumb/1448527896562348036/pu/img/0PqSbNMaXHvzKHCc.jpg")</f>
        <v>https://pbs.twimg.com/ext_tw_video_thumb/1448527896562348036/pu/img/0PqSbNMaXHvzKHCc.jpg</v>
      </c>
      <c r="W342" s="93">
        <v>44483.363287037035</v>
      </c>
      <c r="X342" s="102">
        <v>44483</v>
      </c>
      <c r="Y342" s="99" t="s">
        <v>395</v>
      </c>
      <c r="Z342" s="96" t="str">
        <f>HYPERLINK("https://twitter.com/markkuilmari/status/1448570051527860224")</f>
        <v>https://twitter.com/markkuilmari/status/1448570051527860224</v>
      </c>
      <c r="AA342" s="90"/>
      <c r="AB342" s="90"/>
      <c r="AC342" s="99" t="s">
        <v>489</v>
      </c>
      <c r="AD342" s="90"/>
      <c r="AE342" s="90" t="b">
        <v>0</v>
      </c>
      <c r="AF342" s="90">
        <v>0</v>
      </c>
      <c r="AG342" s="99" t="s">
        <v>535</v>
      </c>
      <c r="AH342" s="90" t="b">
        <v>0</v>
      </c>
      <c r="AI342" s="90" t="s">
        <v>537</v>
      </c>
      <c r="AJ342" s="90"/>
      <c r="AK342" s="99" t="s">
        <v>535</v>
      </c>
      <c r="AL342" s="90" t="b">
        <v>0</v>
      </c>
      <c r="AM342" s="90">
        <v>52</v>
      </c>
      <c r="AN342" s="99" t="s">
        <v>526</v>
      </c>
      <c r="AO342" s="99" t="s">
        <v>543</v>
      </c>
      <c r="AP342" s="90" t="b">
        <v>0</v>
      </c>
      <c r="AQ342" s="99" t="s">
        <v>526</v>
      </c>
      <c r="AR342" s="90" t="s">
        <v>187</v>
      </c>
      <c r="AS342" s="90">
        <v>0</v>
      </c>
      <c r="AT342" s="90">
        <v>0</v>
      </c>
      <c r="AU342" s="90"/>
      <c r="AV342" s="90"/>
      <c r="AW342" s="90"/>
      <c r="AX342" s="90"/>
      <c r="AY342" s="90"/>
      <c r="AZ342" s="90"/>
      <c r="BA342" s="90"/>
      <c r="BB342" s="90"/>
      <c r="BC342" s="90">
        <v>1</v>
      </c>
      <c r="BD342" s="89" t="str">
        <f>REPLACE(INDEX(GroupVertices[Group],MATCH(Edges[[#This Row],[Vertex 1]],GroupVertices[Vertex],0)),1,1,"")</f>
        <v>2</v>
      </c>
      <c r="BE342" s="89" t="str">
        <f>REPLACE(INDEX(GroupVertices[Group],MATCH(Edges[[#This Row],[Vertex 2]],GroupVertices[Vertex],0)),1,1,"")</f>
        <v>1</v>
      </c>
      <c r="BF342" s="49"/>
      <c r="BG342" s="50"/>
      <c r="BH342" s="49"/>
      <c r="BI342" s="50"/>
      <c r="BJ342" s="49"/>
      <c r="BK342" s="50"/>
      <c r="BL342" s="49"/>
      <c r="BM342" s="50"/>
      <c r="BN342" s="49"/>
    </row>
    <row r="343" spans="1:66" ht="15">
      <c r="A343" s="66" t="s">
        <v>273</v>
      </c>
      <c r="B343" s="66" t="s">
        <v>293</v>
      </c>
      <c r="C343" s="67" t="s">
        <v>2109</v>
      </c>
      <c r="D343" s="68">
        <v>10</v>
      </c>
      <c r="E343" s="69" t="s">
        <v>132</v>
      </c>
      <c r="F343" s="70">
        <v>10</v>
      </c>
      <c r="G343" s="67" t="s">
        <v>51</v>
      </c>
      <c r="H343" s="71"/>
      <c r="I343" s="72"/>
      <c r="J343" s="72"/>
      <c r="K343" s="35" t="s">
        <v>65</v>
      </c>
      <c r="L343" s="79">
        <v>343</v>
      </c>
      <c r="M343" s="79"/>
      <c r="N343" s="74"/>
      <c r="O343" s="90" t="s">
        <v>305</v>
      </c>
      <c r="P343" s="93">
        <v>44483.363287037035</v>
      </c>
      <c r="Q343" s="90" t="s">
        <v>310</v>
      </c>
      <c r="R343" s="96" t="str">
        <f>HYPERLINK("https://talouskurssi.fi/")</f>
        <v>https://talouskurssi.fi/</v>
      </c>
      <c r="S343" s="90" t="s">
        <v>334</v>
      </c>
      <c r="T343" s="99" t="s">
        <v>338</v>
      </c>
      <c r="U343" s="96" t="str">
        <f>HYPERLINK("https://pbs.twimg.com/ext_tw_video_thumb/1448527896562348036/pu/img/0PqSbNMaXHvzKHCc.jpg")</f>
        <v>https://pbs.twimg.com/ext_tw_video_thumb/1448527896562348036/pu/img/0PqSbNMaXHvzKHCc.jpg</v>
      </c>
      <c r="V343" s="96" t="str">
        <f>HYPERLINK("https://pbs.twimg.com/ext_tw_video_thumb/1448527896562348036/pu/img/0PqSbNMaXHvzKHCc.jpg")</f>
        <v>https://pbs.twimg.com/ext_tw_video_thumb/1448527896562348036/pu/img/0PqSbNMaXHvzKHCc.jpg</v>
      </c>
      <c r="W343" s="93">
        <v>44483.363287037035</v>
      </c>
      <c r="X343" s="102">
        <v>44483</v>
      </c>
      <c r="Y343" s="99" t="s">
        <v>395</v>
      </c>
      <c r="Z343" s="96" t="str">
        <f>HYPERLINK("https://twitter.com/markkuilmari/status/1448570051527860224")</f>
        <v>https://twitter.com/markkuilmari/status/1448570051527860224</v>
      </c>
      <c r="AA343" s="90"/>
      <c r="AB343" s="90"/>
      <c r="AC343" s="99" t="s">
        <v>489</v>
      </c>
      <c r="AD343" s="90"/>
      <c r="AE343" s="90" t="b">
        <v>0</v>
      </c>
      <c r="AF343" s="90">
        <v>0</v>
      </c>
      <c r="AG343" s="99" t="s">
        <v>535</v>
      </c>
      <c r="AH343" s="90" t="b">
        <v>0</v>
      </c>
      <c r="AI343" s="90" t="s">
        <v>537</v>
      </c>
      <c r="AJ343" s="90"/>
      <c r="AK343" s="99" t="s">
        <v>535</v>
      </c>
      <c r="AL343" s="90" t="b">
        <v>0</v>
      </c>
      <c r="AM343" s="90">
        <v>52</v>
      </c>
      <c r="AN343" s="99" t="s">
        <v>526</v>
      </c>
      <c r="AO343" s="99" t="s">
        <v>543</v>
      </c>
      <c r="AP343" s="90" t="b">
        <v>0</v>
      </c>
      <c r="AQ343" s="99" t="s">
        <v>526</v>
      </c>
      <c r="AR343" s="90" t="s">
        <v>187</v>
      </c>
      <c r="AS343" s="90">
        <v>0</v>
      </c>
      <c r="AT343" s="90">
        <v>0</v>
      </c>
      <c r="AU343" s="90"/>
      <c r="AV343" s="90"/>
      <c r="AW343" s="90"/>
      <c r="AX343" s="90"/>
      <c r="AY343" s="90"/>
      <c r="AZ343" s="90"/>
      <c r="BA343" s="90"/>
      <c r="BB343" s="90"/>
      <c r="BC343" s="90">
        <v>2</v>
      </c>
      <c r="BD343" s="89" t="str">
        <f>REPLACE(INDEX(GroupVertices[Group],MATCH(Edges[[#This Row],[Vertex 1]],GroupVertices[Vertex],0)),1,1,"")</f>
        <v>2</v>
      </c>
      <c r="BE343" s="89" t="str">
        <f>REPLACE(INDEX(GroupVertices[Group],MATCH(Edges[[#This Row],[Vertex 2]],GroupVertices[Vertex],0)),1,1,"")</f>
        <v>3</v>
      </c>
      <c r="BF343" s="49">
        <v>0</v>
      </c>
      <c r="BG343" s="50">
        <v>0</v>
      </c>
      <c r="BH343" s="49">
        <v>0</v>
      </c>
      <c r="BI343" s="50">
        <v>0</v>
      </c>
      <c r="BJ343" s="49">
        <v>0</v>
      </c>
      <c r="BK343" s="50">
        <v>0</v>
      </c>
      <c r="BL343" s="49">
        <v>28</v>
      </c>
      <c r="BM343" s="50">
        <v>100</v>
      </c>
      <c r="BN343" s="49">
        <v>28</v>
      </c>
    </row>
    <row r="344" spans="1:66" ht="15">
      <c r="A344" s="66" t="s">
        <v>273</v>
      </c>
      <c r="B344" s="66" t="s">
        <v>293</v>
      </c>
      <c r="C344" s="67" t="s">
        <v>2109</v>
      </c>
      <c r="D344" s="68">
        <v>10</v>
      </c>
      <c r="E344" s="69" t="s">
        <v>132</v>
      </c>
      <c r="F344" s="70">
        <v>10</v>
      </c>
      <c r="G344" s="67" t="s">
        <v>51</v>
      </c>
      <c r="H344" s="71"/>
      <c r="I344" s="72"/>
      <c r="J344" s="72"/>
      <c r="K344" s="35" t="s">
        <v>65</v>
      </c>
      <c r="L344" s="79">
        <v>344</v>
      </c>
      <c r="M344" s="79"/>
      <c r="N344" s="74"/>
      <c r="O344" s="90" t="s">
        <v>305</v>
      </c>
      <c r="P344" s="93">
        <v>44483.48403935185</v>
      </c>
      <c r="Q344" s="90" t="s">
        <v>314</v>
      </c>
      <c r="R344" s="90"/>
      <c r="S344" s="90"/>
      <c r="T344" s="99" t="s">
        <v>338</v>
      </c>
      <c r="U344" s="96" t="str">
        <f>HYPERLINK("https://pbs.twimg.com/media/FBpVUeuWUAAiBrw.jpg")</f>
        <v>https://pbs.twimg.com/media/FBpVUeuWUAAiBrw.jpg</v>
      </c>
      <c r="V344" s="96" t="str">
        <f>HYPERLINK("https://pbs.twimg.com/media/FBpVUeuWUAAiBrw.jpg")</f>
        <v>https://pbs.twimg.com/media/FBpVUeuWUAAiBrw.jpg</v>
      </c>
      <c r="W344" s="93">
        <v>44483.48403935185</v>
      </c>
      <c r="X344" s="102">
        <v>44483</v>
      </c>
      <c r="Y344" s="99" t="s">
        <v>396</v>
      </c>
      <c r="Z344" s="96" t="str">
        <f>HYPERLINK("https://twitter.com/markkuilmari/status/1448613812261826561")</f>
        <v>https://twitter.com/markkuilmari/status/1448613812261826561</v>
      </c>
      <c r="AA344" s="90"/>
      <c r="AB344" s="90"/>
      <c r="AC344" s="99" t="s">
        <v>490</v>
      </c>
      <c r="AD344" s="90"/>
      <c r="AE344" s="90" t="b">
        <v>0</v>
      </c>
      <c r="AF344" s="90">
        <v>0</v>
      </c>
      <c r="AG344" s="99" t="s">
        <v>535</v>
      </c>
      <c r="AH344" s="90" t="b">
        <v>0</v>
      </c>
      <c r="AI344" s="90" t="s">
        <v>537</v>
      </c>
      <c r="AJ344" s="90"/>
      <c r="AK344" s="99" t="s">
        <v>535</v>
      </c>
      <c r="AL344" s="90" t="b">
        <v>0</v>
      </c>
      <c r="AM344" s="90">
        <v>5</v>
      </c>
      <c r="AN344" s="99" t="s">
        <v>517</v>
      </c>
      <c r="AO344" s="99" t="s">
        <v>543</v>
      </c>
      <c r="AP344" s="90" t="b">
        <v>0</v>
      </c>
      <c r="AQ344" s="99" t="s">
        <v>517</v>
      </c>
      <c r="AR344" s="90" t="s">
        <v>187</v>
      </c>
      <c r="AS344" s="90">
        <v>0</v>
      </c>
      <c r="AT344" s="90">
        <v>0</v>
      </c>
      <c r="AU344" s="90"/>
      <c r="AV344" s="90"/>
      <c r="AW344" s="90"/>
      <c r="AX344" s="90"/>
      <c r="AY344" s="90"/>
      <c r="AZ344" s="90"/>
      <c r="BA344" s="90"/>
      <c r="BB344" s="90"/>
      <c r="BC344" s="90">
        <v>2</v>
      </c>
      <c r="BD344" s="89" t="str">
        <f>REPLACE(INDEX(GroupVertices[Group],MATCH(Edges[[#This Row],[Vertex 1]],GroupVertices[Vertex],0)),1,1,"")</f>
        <v>2</v>
      </c>
      <c r="BE344" s="89" t="str">
        <f>REPLACE(INDEX(GroupVertices[Group],MATCH(Edges[[#This Row],[Vertex 2]],GroupVertices[Vertex],0)),1,1,"")</f>
        <v>3</v>
      </c>
      <c r="BF344" s="49">
        <v>0</v>
      </c>
      <c r="BG344" s="50">
        <v>0</v>
      </c>
      <c r="BH344" s="49">
        <v>0</v>
      </c>
      <c r="BI344" s="50">
        <v>0</v>
      </c>
      <c r="BJ344" s="49">
        <v>0</v>
      </c>
      <c r="BK344" s="50">
        <v>0</v>
      </c>
      <c r="BL344" s="49">
        <v>17</v>
      </c>
      <c r="BM344" s="50">
        <v>100</v>
      </c>
      <c r="BN344" s="49">
        <v>17</v>
      </c>
    </row>
    <row r="345" spans="1:66" ht="15">
      <c r="A345" s="66" t="s">
        <v>273</v>
      </c>
      <c r="B345" s="66" t="s">
        <v>295</v>
      </c>
      <c r="C345" s="67" t="s">
        <v>2108</v>
      </c>
      <c r="D345" s="68">
        <v>1</v>
      </c>
      <c r="E345" s="69" t="s">
        <v>132</v>
      </c>
      <c r="F345" s="70">
        <v>32</v>
      </c>
      <c r="G345" s="67" t="s">
        <v>51</v>
      </c>
      <c r="H345" s="71"/>
      <c r="I345" s="72"/>
      <c r="J345" s="72"/>
      <c r="K345" s="35" t="s">
        <v>65</v>
      </c>
      <c r="L345" s="79">
        <v>345</v>
      </c>
      <c r="M345" s="79"/>
      <c r="N345" s="74"/>
      <c r="O345" s="90" t="s">
        <v>306</v>
      </c>
      <c r="P345" s="93">
        <v>44483.727106481485</v>
      </c>
      <c r="Q345" s="90" t="s">
        <v>2140</v>
      </c>
      <c r="R345" s="96" t="str">
        <f>HYPERLINK("https://talouskurssi.fi")</f>
        <v>https://talouskurssi.fi</v>
      </c>
      <c r="S345" s="90" t="s">
        <v>334</v>
      </c>
      <c r="T345" s="90"/>
      <c r="U345" s="96" t="str">
        <f>HYPERLINK("https://pbs.twimg.com/media/FBpWom9XIAAjFw3.jpg")</f>
        <v>https://pbs.twimg.com/media/FBpWom9XIAAjFw3.jpg</v>
      </c>
      <c r="V345" s="96" t="str">
        <f>HYPERLINK("https://pbs.twimg.com/media/FBpWom9XIAAjFw3.jpg")</f>
        <v>https://pbs.twimg.com/media/FBpWom9XIAAjFw3.jpg</v>
      </c>
      <c r="W345" s="93">
        <v>44483.727106481485</v>
      </c>
      <c r="X345" s="102">
        <v>44483</v>
      </c>
      <c r="Y345" s="99" t="s">
        <v>2194</v>
      </c>
      <c r="Z345" s="96" t="str">
        <f>HYPERLINK("https://twitter.com/markkuilmari/status/1448701897062457353")</f>
        <v>https://twitter.com/markkuilmari/status/1448701897062457353</v>
      </c>
      <c r="AA345" s="90"/>
      <c r="AB345" s="90"/>
      <c r="AC345" s="99" t="s">
        <v>2238</v>
      </c>
      <c r="AD345" s="90"/>
      <c r="AE345" s="90" t="b">
        <v>0</v>
      </c>
      <c r="AF345" s="90">
        <v>0</v>
      </c>
      <c r="AG345" s="99" t="s">
        <v>535</v>
      </c>
      <c r="AH345" s="90" t="b">
        <v>0</v>
      </c>
      <c r="AI345" s="90" t="s">
        <v>537</v>
      </c>
      <c r="AJ345" s="90"/>
      <c r="AK345" s="99" t="s">
        <v>535</v>
      </c>
      <c r="AL345" s="90" t="b">
        <v>0</v>
      </c>
      <c r="AM345" s="90">
        <v>9</v>
      </c>
      <c r="AN345" s="99" t="s">
        <v>538</v>
      </c>
      <c r="AO345" s="99" t="s">
        <v>543</v>
      </c>
      <c r="AP345" s="90" t="b">
        <v>0</v>
      </c>
      <c r="AQ345" s="99" t="s">
        <v>538</v>
      </c>
      <c r="AR345" s="90" t="s">
        <v>187</v>
      </c>
      <c r="AS345" s="90">
        <v>0</v>
      </c>
      <c r="AT345" s="90">
        <v>0</v>
      </c>
      <c r="AU345" s="90"/>
      <c r="AV345" s="90"/>
      <c r="AW345" s="90"/>
      <c r="AX345" s="90"/>
      <c r="AY345" s="90"/>
      <c r="AZ345" s="90"/>
      <c r="BA345" s="90"/>
      <c r="BB345" s="90"/>
      <c r="BC345" s="90">
        <v>1</v>
      </c>
      <c r="BD345" s="89" t="str">
        <f>REPLACE(INDEX(GroupVertices[Group],MATCH(Edges[[#This Row],[Vertex 1]],GroupVertices[Vertex],0)),1,1,"")</f>
        <v>2</v>
      </c>
      <c r="BE345" s="89" t="str">
        <f>REPLACE(INDEX(GroupVertices[Group],MATCH(Edges[[#This Row],[Vertex 2]],GroupVertices[Vertex],0)),1,1,"")</f>
        <v>2</v>
      </c>
      <c r="BF345" s="49"/>
      <c r="BG345" s="50"/>
      <c r="BH345" s="49"/>
      <c r="BI345" s="50"/>
      <c r="BJ345" s="49"/>
      <c r="BK345" s="50"/>
      <c r="BL345" s="49"/>
      <c r="BM345" s="50"/>
      <c r="BN345" s="49"/>
    </row>
    <row r="346" spans="1:66" ht="15">
      <c r="A346" s="66" t="s">
        <v>273</v>
      </c>
      <c r="B346" s="66" t="s">
        <v>260</v>
      </c>
      <c r="C346" s="67" t="s">
        <v>2108</v>
      </c>
      <c r="D346" s="68">
        <v>1</v>
      </c>
      <c r="E346" s="69" t="s">
        <v>132</v>
      </c>
      <c r="F346" s="70">
        <v>32</v>
      </c>
      <c r="G346" s="67" t="s">
        <v>51</v>
      </c>
      <c r="H346" s="71"/>
      <c r="I346" s="72"/>
      <c r="J346" s="72"/>
      <c r="K346" s="35" t="s">
        <v>65</v>
      </c>
      <c r="L346" s="79">
        <v>346</v>
      </c>
      <c r="M346" s="79"/>
      <c r="N346" s="74"/>
      <c r="O346" s="90" t="s">
        <v>306</v>
      </c>
      <c r="P346" s="93">
        <v>44483.727106481485</v>
      </c>
      <c r="Q346" s="90" t="s">
        <v>2140</v>
      </c>
      <c r="R346" s="96" t="str">
        <f>HYPERLINK("https://talouskurssi.fi")</f>
        <v>https://talouskurssi.fi</v>
      </c>
      <c r="S346" s="90" t="s">
        <v>334</v>
      </c>
      <c r="T346" s="90"/>
      <c r="U346" s="96" t="str">
        <f>HYPERLINK("https://pbs.twimg.com/media/FBpWom9XIAAjFw3.jpg")</f>
        <v>https://pbs.twimg.com/media/FBpWom9XIAAjFw3.jpg</v>
      </c>
      <c r="V346" s="96" t="str">
        <f>HYPERLINK("https://pbs.twimg.com/media/FBpWom9XIAAjFw3.jpg")</f>
        <v>https://pbs.twimg.com/media/FBpWom9XIAAjFw3.jpg</v>
      </c>
      <c r="W346" s="93">
        <v>44483.727106481485</v>
      </c>
      <c r="X346" s="102">
        <v>44483</v>
      </c>
      <c r="Y346" s="99" t="s">
        <v>2194</v>
      </c>
      <c r="Z346" s="96" t="str">
        <f>HYPERLINK("https://twitter.com/markkuilmari/status/1448701897062457353")</f>
        <v>https://twitter.com/markkuilmari/status/1448701897062457353</v>
      </c>
      <c r="AA346" s="90"/>
      <c r="AB346" s="90"/>
      <c r="AC346" s="99" t="s">
        <v>2238</v>
      </c>
      <c r="AD346" s="90"/>
      <c r="AE346" s="90" t="b">
        <v>0</v>
      </c>
      <c r="AF346" s="90">
        <v>0</v>
      </c>
      <c r="AG346" s="99" t="s">
        <v>535</v>
      </c>
      <c r="AH346" s="90" t="b">
        <v>0</v>
      </c>
      <c r="AI346" s="90" t="s">
        <v>537</v>
      </c>
      <c r="AJ346" s="90"/>
      <c r="AK346" s="99" t="s">
        <v>535</v>
      </c>
      <c r="AL346" s="90" t="b">
        <v>0</v>
      </c>
      <c r="AM346" s="90">
        <v>9</v>
      </c>
      <c r="AN346" s="99" t="s">
        <v>538</v>
      </c>
      <c r="AO346" s="99" t="s">
        <v>543</v>
      </c>
      <c r="AP346" s="90" t="b">
        <v>0</v>
      </c>
      <c r="AQ346" s="99" t="s">
        <v>538</v>
      </c>
      <c r="AR346" s="90" t="s">
        <v>187</v>
      </c>
      <c r="AS346" s="90">
        <v>0</v>
      </c>
      <c r="AT346" s="90">
        <v>0</v>
      </c>
      <c r="AU346" s="90"/>
      <c r="AV346" s="90"/>
      <c r="AW346" s="90"/>
      <c r="AX346" s="90"/>
      <c r="AY346" s="90"/>
      <c r="AZ346" s="90"/>
      <c r="BA346" s="90"/>
      <c r="BB346" s="90"/>
      <c r="BC346" s="90">
        <v>1</v>
      </c>
      <c r="BD346" s="89" t="str">
        <f>REPLACE(INDEX(GroupVertices[Group],MATCH(Edges[[#This Row],[Vertex 1]],GroupVertices[Vertex],0)),1,1,"")</f>
        <v>2</v>
      </c>
      <c r="BE346" s="89" t="str">
        <f>REPLACE(INDEX(GroupVertices[Group],MATCH(Edges[[#This Row],[Vertex 2]],GroupVertices[Vertex],0)),1,1,"")</f>
        <v>2</v>
      </c>
      <c r="BF346" s="49"/>
      <c r="BG346" s="50"/>
      <c r="BH346" s="49"/>
      <c r="BI346" s="50"/>
      <c r="BJ346" s="49"/>
      <c r="BK346" s="50"/>
      <c r="BL346" s="49"/>
      <c r="BM346" s="50"/>
      <c r="BN346" s="49"/>
    </row>
    <row r="347" spans="1:66" ht="15">
      <c r="A347" s="66" t="s">
        <v>273</v>
      </c>
      <c r="B347" s="66" t="s">
        <v>293</v>
      </c>
      <c r="C347" s="67" t="s">
        <v>2108</v>
      </c>
      <c r="D347" s="68">
        <v>1</v>
      </c>
      <c r="E347" s="69" t="s">
        <v>132</v>
      </c>
      <c r="F347" s="70">
        <v>32</v>
      </c>
      <c r="G347" s="67" t="s">
        <v>51</v>
      </c>
      <c r="H347" s="71"/>
      <c r="I347" s="72"/>
      <c r="J347" s="72"/>
      <c r="K347" s="35" t="s">
        <v>65</v>
      </c>
      <c r="L347" s="79">
        <v>347</v>
      </c>
      <c r="M347" s="79"/>
      <c r="N347" s="74"/>
      <c r="O347" s="90" t="s">
        <v>306</v>
      </c>
      <c r="P347" s="93">
        <v>44483.727106481485</v>
      </c>
      <c r="Q347" s="90" t="s">
        <v>2140</v>
      </c>
      <c r="R347" s="96" t="str">
        <f>HYPERLINK("https://talouskurssi.fi")</f>
        <v>https://talouskurssi.fi</v>
      </c>
      <c r="S347" s="90" t="s">
        <v>334</v>
      </c>
      <c r="T347" s="90"/>
      <c r="U347" s="96" t="str">
        <f>HYPERLINK("https://pbs.twimg.com/media/FBpWom9XIAAjFw3.jpg")</f>
        <v>https://pbs.twimg.com/media/FBpWom9XIAAjFw3.jpg</v>
      </c>
      <c r="V347" s="96" t="str">
        <f>HYPERLINK("https://pbs.twimg.com/media/FBpWom9XIAAjFw3.jpg")</f>
        <v>https://pbs.twimg.com/media/FBpWom9XIAAjFw3.jpg</v>
      </c>
      <c r="W347" s="93">
        <v>44483.727106481485</v>
      </c>
      <c r="X347" s="102">
        <v>44483</v>
      </c>
      <c r="Y347" s="99" t="s">
        <v>2194</v>
      </c>
      <c r="Z347" s="96" t="str">
        <f>HYPERLINK("https://twitter.com/markkuilmari/status/1448701897062457353")</f>
        <v>https://twitter.com/markkuilmari/status/1448701897062457353</v>
      </c>
      <c r="AA347" s="90"/>
      <c r="AB347" s="90"/>
      <c r="AC347" s="99" t="s">
        <v>2238</v>
      </c>
      <c r="AD347" s="90"/>
      <c r="AE347" s="90" t="b">
        <v>0</v>
      </c>
      <c r="AF347" s="90">
        <v>0</v>
      </c>
      <c r="AG347" s="99" t="s">
        <v>535</v>
      </c>
      <c r="AH347" s="90" t="b">
        <v>0</v>
      </c>
      <c r="AI347" s="90" t="s">
        <v>537</v>
      </c>
      <c r="AJ347" s="90"/>
      <c r="AK347" s="99" t="s">
        <v>535</v>
      </c>
      <c r="AL347" s="90" t="b">
        <v>0</v>
      </c>
      <c r="AM347" s="90">
        <v>9</v>
      </c>
      <c r="AN347" s="99" t="s">
        <v>538</v>
      </c>
      <c r="AO347" s="99" t="s">
        <v>543</v>
      </c>
      <c r="AP347" s="90" t="b">
        <v>0</v>
      </c>
      <c r="AQ347" s="99" t="s">
        <v>538</v>
      </c>
      <c r="AR347" s="90" t="s">
        <v>187</v>
      </c>
      <c r="AS347" s="90">
        <v>0</v>
      </c>
      <c r="AT347" s="90">
        <v>0</v>
      </c>
      <c r="AU347" s="90"/>
      <c r="AV347" s="90"/>
      <c r="AW347" s="90"/>
      <c r="AX347" s="90"/>
      <c r="AY347" s="90"/>
      <c r="AZ347" s="90"/>
      <c r="BA347" s="90"/>
      <c r="BB347" s="90"/>
      <c r="BC347" s="90">
        <v>1</v>
      </c>
      <c r="BD347" s="89" t="str">
        <f>REPLACE(INDEX(GroupVertices[Group],MATCH(Edges[[#This Row],[Vertex 1]],GroupVertices[Vertex],0)),1,1,"")</f>
        <v>2</v>
      </c>
      <c r="BE347" s="89" t="str">
        <f>REPLACE(INDEX(GroupVertices[Group],MATCH(Edges[[#This Row],[Vertex 2]],GroupVertices[Vertex],0)),1,1,"")</f>
        <v>3</v>
      </c>
      <c r="BF347" s="49">
        <v>0</v>
      </c>
      <c r="BG347" s="50">
        <v>0</v>
      </c>
      <c r="BH347" s="49">
        <v>0</v>
      </c>
      <c r="BI347" s="50">
        <v>0</v>
      </c>
      <c r="BJ347" s="49">
        <v>0</v>
      </c>
      <c r="BK347" s="50">
        <v>0</v>
      </c>
      <c r="BL347" s="49">
        <v>32</v>
      </c>
      <c r="BM347" s="50">
        <v>100</v>
      </c>
      <c r="BN347" s="49">
        <v>32</v>
      </c>
    </row>
    <row r="348" spans="1:66" ht="15">
      <c r="A348" s="66" t="s">
        <v>2135</v>
      </c>
      <c r="B348" s="66" t="s">
        <v>295</v>
      </c>
      <c r="C348" s="67" t="s">
        <v>2108</v>
      </c>
      <c r="D348" s="68">
        <v>1</v>
      </c>
      <c r="E348" s="69" t="s">
        <v>132</v>
      </c>
      <c r="F348" s="70">
        <v>32</v>
      </c>
      <c r="G348" s="67" t="s">
        <v>51</v>
      </c>
      <c r="H348" s="71"/>
      <c r="I348" s="72"/>
      <c r="J348" s="72"/>
      <c r="K348" s="35" t="s">
        <v>65</v>
      </c>
      <c r="L348" s="79">
        <v>348</v>
      </c>
      <c r="M348" s="79"/>
      <c r="N348" s="74"/>
      <c r="O348" s="90" t="s">
        <v>307</v>
      </c>
      <c r="P348" s="93">
        <v>44483.28821759259</v>
      </c>
      <c r="Q348" s="90" t="s">
        <v>2139</v>
      </c>
      <c r="R348" s="96" t="str">
        <f>HYPERLINK("https://talouskurssi.fi/?fbclid=IwAR3lQxACK6cI50BBFObd0zCsOMC4Cq1tFNNNCY5sktWLRNSCs13ALYuQ2cg")</f>
        <v>https://talouskurssi.fi/?fbclid=IwAR3lQxACK6cI50BBFObd0zCsOMC4Cq1tFNNNCY5sktWLRNSCs13ALYuQ2cg</v>
      </c>
      <c r="S348" s="90" t="s">
        <v>334</v>
      </c>
      <c r="T348" s="90"/>
      <c r="U348" s="90"/>
      <c r="V348" s="96" t="str">
        <f>HYPERLINK("https://pbs.twimg.com/profile_images/1331523991580839936/4h0n8YKe_normal.jpg")</f>
        <v>https://pbs.twimg.com/profile_images/1331523991580839936/4h0n8YKe_normal.jpg</v>
      </c>
      <c r="W348" s="93">
        <v>44483.28821759259</v>
      </c>
      <c r="X348" s="102">
        <v>44483</v>
      </c>
      <c r="Y348" s="99" t="s">
        <v>2195</v>
      </c>
      <c r="Z348" s="96" t="str">
        <f>HYPERLINK("https://twitter.com/villekopra/status/1448542848974983171")</f>
        <v>https://twitter.com/villekopra/status/1448542848974983171</v>
      </c>
      <c r="AA348" s="90"/>
      <c r="AB348" s="90"/>
      <c r="AC348" s="99" t="s">
        <v>2239</v>
      </c>
      <c r="AD348" s="90"/>
      <c r="AE348" s="90" t="b">
        <v>0</v>
      </c>
      <c r="AF348" s="90">
        <v>33</v>
      </c>
      <c r="AG348" s="99" t="s">
        <v>535</v>
      </c>
      <c r="AH348" s="90" t="b">
        <v>0</v>
      </c>
      <c r="AI348" s="90" t="s">
        <v>537</v>
      </c>
      <c r="AJ348" s="90"/>
      <c r="AK348" s="99" t="s">
        <v>535</v>
      </c>
      <c r="AL348" s="90" t="b">
        <v>0</v>
      </c>
      <c r="AM348" s="90">
        <v>7</v>
      </c>
      <c r="AN348" s="99" t="s">
        <v>535</v>
      </c>
      <c r="AO348" s="99" t="s">
        <v>542</v>
      </c>
      <c r="AP348" s="90" t="b">
        <v>0</v>
      </c>
      <c r="AQ348" s="99" t="s">
        <v>2239</v>
      </c>
      <c r="AR348" s="90" t="s">
        <v>187</v>
      </c>
      <c r="AS348" s="90">
        <v>0</v>
      </c>
      <c r="AT348" s="90">
        <v>0</v>
      </c>
      <c r="AU348" s="90"/>
      <c r="AV348" s="90"/>
      <c r="AW348" s="90"/>
      <c r="AX348" s="90"/>
      <c r="AY348" s="90"/>
      <c r="AZ348" s="90"/>
      <c r="BA348" s="90"/>
      <c r="BB348" s="90"/>
      <c r="BC348" s="90">
        <v>1</v>
      </c>
      <c r="BD348" s="89" t="str">
        <f>REPLACE(INDEX(GroupVertices[Group],MATCH(Edges[[#This Row],[Vertex 1]],GroupVertices[Vertex],0)),1,1,"")</f>
        <v>2</v>
      </c>
      <c r="BE348" s="89" t="str">
        <f>REPLACE(INDEX(GroupVertices[Group],MATCH(Edges[[#This Row],[Vertex 2]],GroupVertices[Vertex],0)),1,1,"")</f>
        <v>2</v>
      </c>
      <c r="BF348" s="49"/>
      <c r="BG348" s="50"/>
      <c r="BH348" s="49"/>
      <c r="BI348" s="50"/>
      <c r="BJ348" s="49"/>
      <c r="BK348" s="50"/>
      <c r="BL348" s="49"/>
      <c r="BM348" s="50"/>
      <c r="BN348" s="49"/>
    </row>
    <row r="349" spans="1:66" ht="15">
      <c r="A349" s="66" t="s">
        <v>293</v>
      </c>
      <c r="B349" s="66" t="s">
        <v>295</v>
      </c>
      <c r="C349" s="67" t="s">
        <v>2109</v>
      </c>
      <c r="D349" s="68">
        <v>10</v>
      </c>
      <c r="E349" s="69" t="s">
        <v>132</v>
      </c>
      <c r="F349" s="70">
        <v>10</v>
      </c>
      <c r="G349" s="67" t="s">
        <v>51</v>
      </c>
      <c r="H349" s="71"/>
      <c r="I349" s="72"/>
      <c r="J349" s="72"/>
      <c r="K349" s="35" t="s">
        <v>65</v>
      </c>
      <c r="L349" s="79">
        <v>349</v>
      </c>
      <c r="M349" s="79"/>
      <c r="N349" s="74"/>
      <c r="O349" s="90" t="s">
        <v>306</v>
      </c>
      <c r="P349" s="93">
        <v>44483.29032407407</v>
      </c>
      <c r="Q349" s="90" t="s">
        <v>2139</v>
      </c>
      <c r="R349" s="96" t="str">
        <f>HYPERLINK("https://talouskurssi.fi/?fbclid=IwAR3lQxACK6cI50BBFObd0zCsOMC4Cq1tFNNNCY5sktWLRNSCs13ALYuQ2cg")</f>
        <v>https://talouskurssi.fi/?fbclid=IwAR3lQxACK6cI50BBFObd0zCsOMC4Cq1tFNNNCY5sktWLRNSCs13ALYuQ2cg</v>
      </c>
      <c r="S349" s="90" t="s">
        <v>334</v>
      </c>
      <c r="T349" s="90"/>
      <c r="U349" s="90"/>
      <c r="V349" s="96" t="str">
        <f>HYPERLINK("https://pbs.twimg.com/profile_images/1448535539880243200/KmRATUa5_normal.jpg")</f>
        <v>https://pbs.twimg.com/profile_images/1448535539880243200/KmRATUa5_normal.jpg</v>
      </c>
      <c r="W349" s="93">
        <v>44483.29032407407</v>
      </c>
      <c r="X349" s="102">
        <v>44483</v>
      </c>
      <c r="Y349" s="99" t="s">
        <v>2196</v>
      </c>
      <c r="Z349" s="96" t="str">
        <f>HYPERLINK("https://twitter.com/helsinkigse/status/1448543613814812672")</f>
        <v>https://twitter.com/helsinkigse/status/1448543613814812672</v>
      </c>
      <c r="AA349" s="90"/>
      <c r="AB349" s="90"/>
      <c r="AC349" s="99" t="s">
        <v>2240</v>
      </c>
      <c r="AD349" s="90"/>
      <c r="AE349" s="90" t="b">
        <v>0</v>
      </c>
      <c r="AF349" s="90">
        <v>0</v>
      </c>
      <c r="AG349" s="99" t="s">
        <v>535</v>
      </c>
      <c r="AH349" s="90" t="b">
        <v>0</v>
      </c>
      <c r="AI349" s="90" t="s">
        <v>537</v>
      </c>
      <c r="AJ349" s="90"/>
      <c r="AK349" s="99" t="s">
        <v>535</v>
      </c>
      <c r="AL349" s="90" t="b">
        <v>0</v>
      </c>
      <c r="AM349" s="90">
        <v>7</v>
      </c>
      <c r="AN349" s="99" t="s">
        <v>2239</v>
      </c>
      <c r="AO349" s="99" t="s">
        <v>542</v>
      </c>
      <c r="AP349" s="90" t="b">
        <v>0</v>
      </c>
      <c r="AQ349" s="99" t="s">
        <v>2239</v>
      </c>
      <c r="AR349" s="90" t="s">
        <v>187</v>
      </c>
      <c r="AS349" s="90">
        <v>0</v>
      </c>
      <c r="AT349" s="90">
        <v>0</v>
      </c>
      <c r="AU349" s="90"/>
      <c r="AV349" s="90"/>
      <c r="AW349" s="90"/>
      <c r="AX349" s="90"/>
      <c r="AY349" s="90"/>
      <c r="AZ349" s="90"/>
      <c r="BA349" s="90"/>
      <c r="BB349" s="90"/>
      <c r="BC349" s="90">
        <v>2</v>
      </c>
      <c r="BD349" s="89" t="str">
        <f>REPLACE(INDEX(GroupVertices[Group],MATCH(Edges[[#This Row],[Vertex 1]],GroupVertices[Vertex],0)),1,1,"")</f>
        <v>3</v>
      </c>
      <c r="BE349" s="89" t="str">
        <f>REPLACE(INDEX(GroupVertices[Group],MATCH(Edges[[#This Row],[Vertex 2]],GroupVertices[Vertex],0)),1,1,"")</f>
        <v>2</v>
      </c>
      <c r="BF349" s="49"/>
      <c r="BG349" s="50"/>
      <c r="BH349" s="49"/>
      <c r="BI349" s="50"/>
      <c r="BJ349" s="49"/>
      <c r="BK349" s="50"/>
      <c r="BL349" s="49"/>
      <c r="BM349" s="50"/>
      <c r="BN349" s="49"/>
    </row>
    <row r="350" spans="1:66" ht="15">
      <c r="A350" s="66" t="s">
        <v>293</v>
      </c>
      <c r="B350" s="66" t="s">
        <v>295</v>
      </c>
      <c r="C350" s="67" t="s">
        <v>2109</v>
      </c>
      <c r="D350" s="68">
        <v>10</v>
      </c>
      <c r="E350" s="69" t="s">
        <v>132</v>
      </c>
      <c r="F350" s="70">
        <v>10</v>
      </c>
      <c r="G350" s="67" t="s">
        <v>51</v>
      </c>
      <c r="H350" s="71"/>
      <c r="I350" s="72"/>
      <c r="J350" s="72"/>
      <c r="K350" s="35" t="s">
        <v>65</v>
      </c>
      <c r="L350" s="79">
        <v>350</v>
      </c>
      <c r="M350" s="79"/>
      <c r="N350" s="74"/>
      <c r="O350" s="90" t="s">
        <v>306</v>
      </c>
      <c r="P350" s="93">
        <v>44483.352534722224</v>
      </c>
      <c r="Q350" s="90" t="s">
        <v>2140</v>
      </c>
      <c r="R350" s="96" t="str">
        <f>HYPERLINK("https://talouskurssi.fi")</f>
        <v>https://talouskurssi.fi</v>
      </c>
      <c r="S350" s="90" t="s">
        <v>334</v>
      </c>
      <c r="T350" s="90"/>
      <c r="U350" s="96" t="str">
        <f>HYPERLINK("https://pbs.twimg.com/media/FBpWom9XIAAjFw3.jpg")</f>
        <v>https://pbs.twimg.com/media/FBpWom9XIAAjFw3.jpg</v>
      </c>
      <c r="V350" s="96" t="str">
        <f>HYPERLINK("https://pbs.twimg.com/media/FBpWom9XIAAjFw3.jpg")</f>
        <v>https://pbs.twimg.com/media/FBpWom9XIAAjFw3.jpg</v>
      </c>
      <c r="W350" s="93">
        <v>44483.352534722224</v>
      </c>
      <c r="X350" s="102">
        <v>44483</v>
      </c>
      <c r="Y350" s="99" t="s">
        <v>2193</v>
      </c>
      <c r="Z350" s="96" t="str">
        <f>HYPERLINK("https://twitter.com/helsinkigse/status/1448566154843279362")</f>
        <v>https://twitter.com/helsinkigse/status/1448566154843279362</v>
      </c>
      <c r="AA350" s="90"/>
      <c r="AB350" s="90"/>
      <c r="AC350" s="99" t="s">
        <v>2237</v>
      </c>
      <c r="AD350" s="90"/>
      <c r="AE350" s="90" t="b">
        <v>0</v>
      </c>
      <c r="AF350" s="90">
        <v>0</v>
      </c>
      <c r="AG350" s="99" t="s">
        <v>535</v>
      </c>
      <c r="AH350" s="90" t="b">
        <v>0</v>
      </c>
      <c r="AI350" s="90" t="s">
        <v>537</v>
      </c>
      <c r="AJ350" s="90"/>
      <c r="AK350" s="99" t="s">
        <v>535</v>
      </c>
      <c r="AL350" s="90" t="b">
        <v>0</v>
      </c>
      <c r="AM350" s="90">
        <v>9</v>
      </c>
      <c r="AN350" s="99" t="s">
        <v>538</v>
      </c>
      <c r="AO350" s="99" t="s">
        <v>542</v>
      </c>
      <c r="AP350" s="90" t="b">
        <v>0</v>
      </c>
      <c r="AQ350" s="99" t="s">
        <v>538</v>
      </c>
      <c r="AR350" s="90" t="s">
        <v>187</v>
      </c>
      <c r="AS350" s="90">
        <v>0</v>
      </c>
      <c r="AT350" s="90">
        <v>0</v>
      </c>
      <c r="AU350" s="90"/>
      <c r="AV350" s="90"/>
      <c r="AW350" s="90"/>
      <c r="AX350" s="90"/>
      <c r="AY350" s="90"/>
      <c r="AZ350" s="90"/>
      <c r="BA350" s="90"/>
      <c r="BB350" s="90"/>
      <c r="BC350" s="90">
        <v>2</v>
      </c>
      <c r="BD350" s="89" t="str">
        <f>REPLACE(INDEX(GroupVertices[Group],MATCH(Edges[[#This Row],[Vertex 1]],GroupVertices[Vertex],0)),1,1,"")</f>
        <v>3</v>
      </c>
      <c r="BE350" s="89" t="str">
        <f>REPLACE(INDEX(GroupVertices[Group],MATCH(Edges[[#This Row],[Vertex 2]],GroupVertices[Vertex],0)),1,1,"")</f>
        <v>2</v>
      </c>
      <c r="BF350" s="49"/>
      <c r="BG350" s="50"/>
      <c r="BH350" s="49"/>
      <c r="BI350" s="50"/>
      <c r="BJ350" s="49"/>
      <c r="BK350" s="50"/>
      <c r="BL350" s="49"/>
      <c r="BM350" s="50"/>
      <c r="BN350" s="49"/>
    </row>
    <row r="351" spans="1:66" ht="15">
      <c r="A351" s="66" t="s">
        <v>2136</v>
      </c>
      <c r="B351" s="66" t="s">
        <v>295</v>
      </c>
      <c r="C351" s="67" t="s">
        <v>2108</v>
      </c>
      <c r="D351" s="68">
        <v>1</v>
      </c>
      <c r="E351" s="69" t="s">
        <v>132</v>
      </c>
      <c r="F351" s="70">
        <v>32</v>
      </c>
      <c r="G351" s="67" t="s">
        <v>51</v>
      </c>
      <c r="H351" s="71"/>
      <c r="I351" s="72"/>
      <c r="J351" s="72"/>
      <c r="K351" s="35" t="s">
        <v>65</v>
      </c>
      <c r="L351" s="79">
        <v>351</v>
      </c>
      <c r="M351" s="79"/>
      <c r="N351" s="74"/>
      <c r="O351" s="90" t="s">
        <v>306</v>
      </c>
      <c r="P351" s="93">
        <v>44483.732303240744</v>
      </c>
      <c r="Q351" s="90" t="s">
        <v>2139</v>
      </c>
      <c r="R351" s="96" t="str">
        <f>HYPERLINK("https://talouskurssi.fi/?fbclid=IwAR3lQxACK6cI50BBFObd0zCsOMC4Cq1tFNNNCY5sktWLRNSCs13ALYuQ2cg")</f>
        <v>https://talouskurssi.fi/?fbclid=IwAR3lQxACK6cI50BBFObd0zCsOMC4Cq1tFNNNCY5sktWLRNSCs13ALYuQ2cg</v>
      </c>
      <c r="S351" s="90" t="s">
        <v>334</v>
      </c>
      <c r="T351" s="90"/>
      <c r="U351" s="90"/>
      <c r="V351" s="96" t="str">
        <f>HYPERLINK("https://pbs.twimg.com/profile_images/1173585256689147912/iH8ef8Bl_normal.jpg")</f>
        <v>https://pbs.twimg.com/profile_images/1173585256689147912/iH8ef8Bl_normal.jpg</v>
      </c>
      <c r="W351" s="93">
        <v>44483.732303240744</v>
      </c>
      <c r="X351" s="102">
        <v>44483</v>
      </c>
      <c r="Y351" s="99" t="s">
        <v>2197</v>
      </c>
      <c r="Z351" s="96" t="str">
        <f>HYPERLINK("https://twitter.com/msaariaho/status/1448703782175580163")</f>
        <v>https://twitter.com/msaariaho/status/1448703782175580163</v>
      </c>
      <c r="AA351" s="90"/>
      <c r="AB351" s="90"/>
      <c r="AC351" s="99" t="s">
        <v>2241</v>
      </c>
      <c r="AD351" s="90"/>
      <c r="AE351" s="90" t="b">
        <v>0</v>
      </c>
      <c r="AF351" s="90">
        <v>0</v>
      </c>
      <c r="AG351" s="99" t="s">
        <v>535</v>
      </c>
      <c r="AH351" s="90" t="b">
        <v>0</v>
      </c>
      <c r="AI351" s="90" t="s">
        <v>537</v>
      </c>
      <c r="AJ351" s="90"/>
      <c r="AK351" s="99" t="s">
        <v>535</v>
      </c>
      <c r="AL351" s="90" t="b">
        <v>0</v>
      </c>
      <c r="AM351" s="90">
        <v>7</v>
      </c>
      <c r="AN351" s="99" t="s">
        <v>2239</v>
      </c>
      <c r="AO351" s="99" t="s">
        <v>543</v>
      </c>
      <c r="AP351" s="90" t="b">
        <v>0</v>
      </c>
      <c r="AQ351" s="99" t="s">
        <v>2239</v>
      </c>
      <c r="AR351" s="90" t="s">
        <v>187</v>
      </c>
      <c r="AS351" s="90">
        <v>0</v>
      </c>
      <c r="AT351" s="90">
        <v>0</v>
      </c>
      <c r="AU351" s="90"/>
      <c r="AV351" s="90"/>
      <c r="AW351" s="90"/>
      <c r="AX351" s="90"/>
      <c r="AY351" s="90"/>
      <c r="AZ351" s="90"/>
      <c r="BA351" s="90"/>
      <c r="BB351" s="90"/>
      <c r="BC351" s="90">
        <v>1</v>
      </c>
      <c r="BD351" s="89" t="str">
        <f>REPLACE(INDEX(GroupVertices[Group],MATCH(Edges[[#This Row],[Vertex 1]],GroupVertices[Vertex],0)),1,1,"")</f>
        <v>2</v>
      </c>
      <c r="BE351" s="89" t="str">
        <f>REPLACE(INDEX(GroupVertices[Group],MATCH(Edges[[#This Row],[Vertex 2]],GroupVertices[Vertex],0)),1,1,"")</f>
        <v>2</v>
      </c>
      <c r="BF351" s="49"/>
      <c r="BG351" s="50"/>
      <c r="BH351" s="49"/>
      <c r="BI351" s="50"/>
      <c r="BJ351" s="49"/>
      <c r="BK351" s="50"/>
      <c r="BL351" s="49"/>
      <c r="BM351" s="50"/>
      <c r="BN351" s="49"/>
    </row>
    <row r="352" spans="1:66" ht="15">
      <c r="A352" s="66" t="s">
        <v>2135</v>
      </c>
      <c r="B352" s="66" t="s">
        <v>260</v>
      </c>
      <c r="C352" s="67" t="s">
        <v>2108</v>
      </c>
      <c r="D352" s="68">
        <v>1</v>
      </c>
      <c r="E352" s="69" t="s">
        <v>132</v>
      </c>
      <c r="F352" s="70">
        <v>32</v>
      </c>
      <c r="G352" s="67" t="s">
        <v>51</v>
      </c>
      <c r="H352" s="71"/>
      <c r="I352" s="72"/>
      <c r="J352" s="72"/>
      <c r="K352" s="35" t="s">
        <v>65</v>
      </c>
      <c r="L352" s="79">
        <v>352</v>
      </c>
      <c r="M352" s="79"/>
      <c r="N352" s="74"/>
      <c r="O352" s="90" t="s">
        <v>307</v>
      </c>
      <c r="P352" s="93">
        <v>44483.28821759259</v>
      </c>
      <c r="Q352" s="90" t="s">
        <v>2139</v>
      </c>
      <c r="R352" s="96" t="str">
        <f>HYPERLINK("https://talouskurssi.fi/?fbclid=IwAR3lQxACK6cI50BBFObd0zCsOMC4Cq1tFNNNCY5sktWLRNSCs13ALYuQ2cg")</f>
        <v>https://talouskurssi.fi/?fbclid=IwAR3lQxACK6cI50BBFObd0zCsOMC4Cq1tFNNNCY5sktWLRNSCs13ALYuQ2cg</v>
      </c>
      <c r="S352" s="90" t="s">
        <v>334</v>
      </c>
      <c r="T352" s="90"/>
      <c r="U352" s="90"/>
      <c r="V352" s="96" t="str">
        <f>HYPERLINK("https://pbs.twimg.com/profile_images/1331523991580839936/4h0n8YKe_normal.jpg")</f>
        <v>https://pbs.twimg.com/profile_images/1331523991580839936/4h0n8YKe_normal.jpg</v>
      </c>
      <c r="W352" s="93">
        <v>44483.28821759259</v>
      </c>
      <c r="X352" s="102">
        <v>44483</v>
      </c>
      <c r="Y352" s="99" t="s">
        <v>2195</v>
      </c>
      <c r="Z352" s="96" t="str">
        <f>HYPERLINK("https://twitter.com/villekopra/status/1448542848974983171")</f>
        <v>https://twitter.com/villekopra/status/1448542848974983171</v>
      </c>
      <c r="AA352" s="90"/>
      <c r="AB352" s="90"/>
      <c r="AC352" s="99" t="s">
        <v>2239</v>
      </c>
      <c r="AD352" s="90"/>
      <c r="AE352" s="90" t="b">
        <v>0</v>
      </c>
      <c r="AF352" s="90">
        <v>33</v>
      </c>
      <c r="AG352" s="99" t="s">
        <v>535</v>
      </c>
      <c r="AH352" s="90" t="b">
        <v>0</v>
      </c>
      <c r="AI352" s="90" t="s">
        <v>537</v>
      </c>
      <c r="AJ352" s="90"/>
      <c r="AK352" s="99" t="s">
        <v>535</v>
      </c>
      <c r="AL352" s="90" t="b">
        <v>0</v>
      </c>
      <c r="AM352" s="90">
        <v>7</v>
      </c>
      <c r="AN352" s="99" t="s">
        <v>535</v>
      </c>
      <c r="AO352" s="99" t="s">
        <v>542</v>
      </c>
      <c r="AP352" s="90" t="b">
        <v>0</v>
      </c>
      <c r="AQ352" s="99" t="s">
        <v>2239</v>
      </c>
      <c r="AR352" s="90" t="s">
        <v>187</v>
      </c>
      <c r="AS352" s="90">
        <v>0</v>
      </c>
      <c r="AT352" s="90">
        <v>0</v>
      </c>
      <c r="AU352" s="90"/>
      <c r="AV352" s="90"/>
      <c r="AW352" s="90"/>
      <c r="AX352" s="90"/>
      <c r="AY352" s="90"/>
      <c r="AZ352" s="90"/>
      <c r="BA352" s="90"/>
      <c r="BB352" s="90"/>
      <c r="BC352" s="90">
        <v>1</v>
      </c>
      <c r="BD352" s="89" t="str">
        <f>REPLACE(INDEX(GroupVertices[Group],MATCH(Edges[[#This Row],[Vertex 1]],GroupVertices[Vertex],0)),1,1,"")</f>
        <v>2</v>
      </c>
      <c r="BE352" s="89" t="str">
        <f>REPLACE(INDEX(GroupVertices[Group],MATCH(Edges[[#This Row],[Vertex 2]],GroupVertices[Vertex],0)),1,1,"")</f>
        <v>2</v>
      </c>
      <c r="BF352" s="49"/>
      <c r="BG352" s="50"/>
      <c r="BH352" s="49"/>
      <c r="BI352" s="50"/>
      <c r="BJ352" s="49"/>
      <c r="BK352" s="50"/>
      <c r="BL352" s="49"/>
      <c r="BM352" s="50"/>
      <c r="BN352" s="49"/>
    </row>
    <row r="353" spans="1:66" ht="15">
      <c r="A353" s="66" t="s">
        <v>260</v>
      </c>
      <c r="B353" s="66" t="s">
        <v>293</v>
      </c>
      <c r="C353" s="67" t="s">
        <v>2108</v>
      </c>
      <c r="D353" s="68">
        <v>1</v>
      </c>
      <c r="E353" s="69" t="s">
        <v>132</v>
      </c>
      <c r="F353" s="70">
        <v>32</v>
      </c>
      <c r="G353" s="67" t="s">
        <v>51</v>
      </c>
      <c r="H353" s="71"/>
      <c r="I353" s="72"/>
      <c r="J353" s="72"/>
      <c r="K353" s="35" t="s">
        <v>66</v>
      </c>
      <c r="L353" s="79">
        <v>353</v>
      </c>
      <c r="M353" s="79"/>
      <c r="N353" s="74"/>
      <c r="O353" s="90" t="s">
        <v>307</v>
      </c>
      <c r="P353" s="93">
        <v>44483.356469907405</v>
      </c>
      <c r="Q353" s="90" t="s">
        <v>317</v>
      </c>
      <c r="R353" s="90" t="s">
        <v>330</v>
      </c>
      <c r="S353" s="90" t="s">
        <v>335</v>
      </c>
      <c r="T353" s="99" t="s">
        <v>338</v>
      </c>
      <c r="U353" s="90"/>
      <c r="V353" s="96" t="str">
        <f>HYPERLINK("https://pbs.twimg.com/profile_images/798450581367037952/8qvnkfl4_normal.jpg")</f>
        <v>https://pbs.twimg.com/profile_images/798450581367037952/8qvnkfl4_normal.jpg</v>
      </c>
      <c r="W353" s="93">
        <v>44483.356469907405</v>
      </c>
      <c r="X353" s="102">
        <v>44483</v>
      </c>
      <c r="Y353" s="99" t="s">
        <v>382</v>
      </c>
      <c r="Z353" s="96" t="str">
        <f>HYPERLINK("https://twitter.com/suomenpankki/status/1448567582785740800")</f>
        <v>https://twitter.com/suomenpankki/status/1448567582785740800</v>
      </c>
      <c r="AA353" s="90"/>
      <c r="AB353" s="90"/>
      <c r="AC353" s="99" t="s">
        <v>476</v>
      </c>
      <c r="AD353" s="90"/>
      <c r="AE353" s="90" t="b">
        <v>0</v>
      </c>
      <c r="AF353" s="90">
        <v>11</v>
      </c>
      <c r="AG353" s="99" t="s">
        <v>535</v>
      </c>
      <c r="AH353" s="90" t="b">
        <v>1</v>
      </c>
      <c r="AI353" s="90" t="s">
        <v>537</v>
      </c>
      <c r="AJ353" s="90"/>
      <c r="AK353" s="99" t="s">
        <v>526</v>
      </c>
      <c r="AL353" s="90" t="b">
        <v>0</v>
      </c>
      <c r="AM353" s="90">
        <v>1</v>
      </c>
      <c r="AN353" s="99" t="s">
        <v>535</v>
      </c>
      <c r="AO353" s="99" t="s">
        <v>543</v>
      </c>
      <c r="AP353" s="90" t="b">
        <v>0</v>
      </c>
      <c r="AQ353" s="99" t="s">
        <v>476</v>
      </c>
      <c r="AR353" s="90" t="s">
        <v>187</v>
      </c>
      <c r="AS353" s="90">
        <v>0</v>
      </c>
      <c r="AT353" s="90">
        <v>0</v>
      </c>
      <c r="AU353" s="90"/>
      <c r="AV353" s="90"/>
      <c r="AW353" s="90"/>
      <c r="AX353" s="90"/>
      <c r="AY353" s="90"/>
      <c r="AZ353" s="90"/>
      <c r="BA353" s="90"/>
      <c r="BB353" s="90"/>
      <c r="BC353" s="90">
        <v>1</v>
      </c>
      <c r="BD353" s="89" t="str">
        <f>REPLACE(INDEX(GroupVertices[Group],MATCH(Edges[[#This Row],[Vertex 1]],GroupVertices[Vertex],0)),1,1,"")</f>
        <v>2</v>
      </c>
      <c r="BE353" s="89" t="str">
        <f>REPLACE(INDEX(GroupVertices[Group],MATCH(Edges[[#This Row],[Vertex 2]],GroupVertices[Vertex],0)),1,1,"")</f>
        <v>3</v>
      </c>
      <c r="BF353" s="49">
        <v>0</v>
      </c>
      <c r="BG353" s="50">
        <v>0</v>
      </c>
      <c r="BH353" s="49">
        <v>0</v>
      </c>
      <c r="BI353" s="50">
        <v>0</v>
      </c>
      <c r="BJ353" s="49">
        <v>0</v>
      </c>
      <c r="BK353" s="50">
        <v>0</v>
      </c>
      <c r="BL353" s="49">
        <v>28</v>
      </c>
      <c r="BM353" s="50">
        <v>100</v>
      </c>
      <c r="BN353" s="49">
        <v>28</v>
      </c>
    </row>
    <row r="354" spans="1:66" ht="15">
      <c r="A354" s="66" t="s">
        <v>293</v>
      </c>
      <c r="B354" s="66" t="s">
        <v>260</v>
      </c>
      <c r="C354" s="67" t="s">
        <v>2109</v>
      </c>
      <c r="D354" s="68">
        <v>10</v>
      </c>
      <c r="E354" s="69" t="s">
        <v>132</v>
      </c>
      <c r="F354" s="70">
        <v>10</v>
      </c>
      <c r="G354" s="67" t="s">
        <v>51</v>
      </c>
      <c r="H354" s="71"/>
      <c r="I354" s="72"/>
      <c r="J354" s="72"/>
      <c r="K354" s="35" t="s">
        <v>66</v>
      </c>
      <c r="L354" s="79">
        <v>354</v>
      </c>
      <c r="M354" s="79"/>
      <c r="N354" s="74"/>
      <c r="O354" s="90" t="s">
        <v>306</v>
      </c>
      <c r="P354" s="93">
        <v>44483.29032407407</v>
      </c>
      <c r="Q354" s="90" t="s">
        <v>2139</v>
      </c>
      <c r="R354" s="96" t="str">
        <f>HYPERLINK("https://talouskurssi.fi/?fbclid=IwAR3lQxACK6cI50BBFObd0zCsOMC4Cq1tFNNNCY5sktWLRNSCs13ALYuQ2cg")</f>
        <v>https://talouskurssi.fi/?fbclid=IwAR3lQxACK6cI50BBFObd0zCsOMC4Cq1tFNNNCY5sktWLRNSCs13ALYuQ2cg</v>
      </c>
      <c r="S354" s="90" t="s">
        <v>334</v>
      </c>
      <c r="T354" s="90"/>
      <c r="U354" s="90"/>
      <c r="V354" s="96" t="str">
        <f>HYPERLINK("https://pbs.twimg.com/profile_images/1448535539880243200/KmRATUa5_normal.jpg")</f>
        <v>https://pbs.twimg.com/profile_images/1448535539880243200/KmRATUa5_normal.jpg</v>
      </c>
      <c r="W354" s="93">
        <v>44483.29032407407</v>
      </c>
      <c r="X354" s="102">
        <v>44483</v>
      </c>
      <c r="Y354" s="99" t="s">
        <v>2196</v>
      </c>
      <c r="Z354" s="96" t="str">
        <f>HYPERLINK("https://twitter.com/helsinkigse/status/1448543613814812672")</f>
        <v>https://twitter.com/helsinkigse/status/1448543613814812672</v>
      </c>
      <c r="AA354" s="90"/>
      <c r="AB354" s="90"/>
      <c r="AC354" s="99" t="s">
        <v>2240</v>
      </c>
      <c r="AD354" s="90"/>
      <c r="AE354" s="90" t="b">
        <v>0</v>
      </c>
      <c r="AF354" s="90">
        <v>0</v>
      </c>
      <c r="AG354" s="99" t="s">
        <v>535</v>
      </c>
      <c r="AH354" s="90" t="b">
        <v>0</v>
      </c>
      <c r="AI354" s="90" t="s">
        <v>537</v>
      </c>
      <c r="AJ354" s="90"/>
      <c r="AK354" s="99" t="s">
        <v>535</v>
      </c>
      <c r="AL354" s="90" t="b">
        <v>0</v>
      </c>
      <c r="AM354" s="90">
        <v>7</v>
      </c>
      <c r="AN354" s="99" t="s">
        <v>2239</v>
      </c>
      <c r="AO354" s="99" t="s">
        <v>542</v>
      </c>
      <c r="AP354" s="90" t="b">
        <v>0</v>
      </c>
      <c r="AQ354" s="99" t="s">
        <v>2239</v>
      </c>
      <c r="AR354" s="90" t="s">
        <v>187</v>
      </c>
      <c r="AS354" s="90">
        <v>0</v>
      </c>
      <c r="AT354" s="90">
        <v>0</v>
      </c>
      <c r="AU354" s="90"/>
      <c r="AV354" s="90"/>
      <c r="AW354" s="90"/>
      <c r="AX354" s="90"/>
      <c r="AY354" s="90"/>
      <c r="AZ354" s="90"/>
      <c r="BA354" s="90"/>
      <c r="BB354" s="90"/>
      <c r="BC354" s="90">
        <v>2</v>
      </c>
      <c r="BD354" s="89" t="str">
        <f>REPLACE(INDEX(GroupVertices[Group],MATCH(Edges[[#This Row],[Vertex 1]],GroupVertices[Vertex],0)),1,1,"")</f>
        <v>3</v>
      </c>
      <c r="BE354" s="89" t="str">
        <f>REPLACE(INDEX(GroupVertices[Group],MATCH(Edges[[#This Row],[Vertex 2]],GroupVertices[Vertex],0)),1,1,"")</f>
        <v>2</v>
      </c>
      <c r="BF354" s="49"/>
      <c r="BG354" s="50"/>
      <c r="BH354" s="49"/>
      <c r="BI354" s="50"/>
      <c r="BJ354" s="49"/>
      <c r="BK354" s="50"/>
      <c r="BL354" s="49"/>
      <c r="BM354" s="50"/>
      <c r="BN354" s="49"/>
    </row>
    <row r="355" spans="1:66" ht="15">
      <c r="A355" s="66" t="s">
        <v>293</v>
      </c>
      <c r="B355" s="66" t="s">
        <v>260</v>
      </c>
      <c r="C355" s="67" t="s">
        <v>2109</v>
      </c>
      <c r="D355" s="68">
        <v>10</v>
      </c>
      <c r="E355" s="69" t="s">
        <v>132</v>
      </c>
      <c r="F355" s="70">
        <v>10</v>
      </c>
      <c r="G355" s="67" t="s">
        <v>51</v>
      </c>
      <c r="H355" s="71"/>
      <c r="I355" s="72"/>
      <c r="J355" s="72"/>
      <c r="K355" s="35" t="s">
        <v>66</v>
      </c>
      <c r="L355" s="79">
        <v>355</v>
      </c>
      <c r="M355" s="79"/>
      <c r="N355" s="74"/>
      <c r="O355" s="90" t="s">
        <v>306</v>
      </c>
      <c r="P355" s="93">
        <v>44483.352534722224</v>
      </c>
      <c r="Q355" s="90" t="s">
        <v>2140</v>
      </c>
      <c r="R355" s="96" t="str">
        <f>HYPERLINK("https://talouskurssi.fi")</f>
        <v>https://talouskurssi.fi</v>
      </c>
      <c r="S355" s="90" t="s">
        <v>334</v>
      </c>
      <c r="T355" s="90"/>
      <c r="U355" s="96" t="str">
        <f>HYPERLINK("https://pbs.twimg.com/media/FBpWom9XIAAjFw3.jpg")</f>
        <v>https://pbs.twimg.com/media/FBpWom9XIAAjFw3.jpg</v>
      </c>
      <c r="V355" s="96" t="str">
        <f>HYPERLINK("https://pbs.twimg.com/media/FBpWom9XIAAjFw3.jpg")</f>
        <v>https://pbs.twimg.com/media/FBpWom9XIAAjFw3.jpg</v>
      </c>
      <c r="W355" s="93">
        <v>44483.352534722224</v>
      </c>
      <c r="X355" s="102">
        <v>44483</v>
      </c>
      <c r="Y355" s="99" t="s">
        <v>2193</v>
      </c>
      <c r="Z355" s="96" t="str">
        <f>HYPERLINK("https://twitter.com/helsinkigse/status/1448566154843279362")</f>
        <v>https://twitter.com/helsinkigse/status/1448566154843279362</v>
      </c>
      <c r="AA355" s="90"/>
      <c r="AB355" s="90"/>
      <c r="AC355" s="99" t="s">
        <v>2237</v>
      </c>
      <c r="AD355" s="90"/>
      <c r="AE355" s="90" t="b">
        <v>0</v>
      </c>
      <c r="AF355" s="90">
        <v>0</v>
      </c>
      <c r="AG355" s="99" t="s">
        <v>535</v>
      </c>
      <c r="AH355" s="90" t="b">
        <v>0</v>
      </c>
      <c r="AI355" s="90" t="s">
        <v>537</v>
      </c>
      <c r="AJ355" s="90"/>
      <c r="AK355" s="99" t="s">
        <v>535</v>
      </c>
      <c r="AL355" s="90" t="b">
        <v>0</v>
      </c>
      <c r="AM355" s="90">
        <v>9</v>
      </c>
      <c r="AN355" s="99" t="s">
        <v>538</v>
      </c>
      <c r="AO355" s="99" t="s">
        <v>542</v>
      </c>
      <c r="AP355" s="90" t="b">
        <v>0</v>
      </c>
      <c r="AQ355" s="99" t="s">
        <v>538</v>
      </c>
      <c r="AR355" s="90" t="s">
        <v>187</v>
      </c>
      <c r="AS355" s="90">
        <v>0</v>
      </c>
      <c r="AT355" s="90">
        <v>0</v>
      </c>
      <c r="AU355" s="90"/>
      <c r="AV355" s="90"/>
      <c r="AW355" s="90"/>
      <c r="AX355" s="90"/>
      <c r="AY355" s="90"/>
      <c r="AZ355" s="90"/>
      <c r="BA355" s="90"/>
      <c r="BB355" s="90"/>
      <c r="BC355" s="90">
        <v>2</v>
      </c>
      <c r="BD355" s="89" t="str">
        <f>REPLACE(INDEX(GroupVertices[Group],MATCH(Edges[[#This Row],[Vertex 1]],GroupVertices[Vertex],0)),1,1,"")</f>
        <v>3</v>
      </c>
      <c r="BE355" s="89" t="str">
        <f>REPLACE(INDEX(GroupVertices[Group],MATCH(Edges[[#This Row],[Vertex 2]],GroupVertices[Vertex],0)),1,1,"")</f>
        <v>2</v>
      </c>
      <c r="BF355" s="49"/>
      <c r="BG355" s="50"/>
      <c r="BH355" s="49"/>
      <c r="BI355" s="50"/>
      <c r="BJ355" s="49"/>
      <c r="BK355" s="50"/>
      <c r="BL355" s="49"/>
      <c r="BM355" s="50"/>
      <c r="BN355" s="49"/>
    </row>
    <row r="356" spans="1:66" ht="15">
      <c r="A356" s="66" t="s">
        <v>2136</v>
      </c>
      <c r="B356" s="66" t="s">
        <v>260</v>
      </c>
      <c r="C356" s="67" t="s">
        <v>2108</v>
      </c>
      <c r="D356" s="68">
        <v>1</v>
      </c>
      <c r="E356" s="69" t="s">
        <v>132</v>
      </c>
      <c r="F356" s="70">
        <v>32</v>
      </c>
      <c r="G356" s="67" t="s">
        <v>51</v>
      </c>
      <c r="H356" s="71"/>
      <c r="I356" s="72"/>
      <c r="J356" s="72"/>
      <c r="K356" s="35" t="s">
        <v>65</v>
      </c>
      <c r="L356" s="79">
        <v>356</v>
      </c>
      <c r="M356" s="79"/>
      <c r="N356" s="74"/>
      <c r="O356" s="90" t="s">
        <v>306</v>
      </c>
      <c r="P356" s="93">
        <v>44483.732303240744</v>
      </c>
      <c r="Q356" s="90" t="s">
        <v>2139</v>
      </c>
      <c r="R356" s="96" t="str">
        <f>HYPERLINK("https://talouskurssi.fi/?fbclid=IwAR3lQxACK6cI50BBFObd0zCsOMC4Cq1tFNNNCY5sktWLRNSCs13ALYuQ2cg")</f>
        <v>https://talouskurssi.fi/?fbclid=IwAR3lQxACK6cI50BBFObd0zCsOMC4Cq1tFNNNCY5sktWLRNSCs13ALYuQ2cg</v>
      </c>
      <c r="S356" s="90" t="s">
        <v>334</v>
      </c>
      <c r="T356" s="90"/>
      <c r="U356" s="90"/>
      <c r="V356" s="96" t="str">
        <f>HYPERLINK("https://pbs.twimg.com/profile_images/1173585256689147912/iH8ef8Bl_normal.jpg")</f>
        <v>https://pbs.twimg.com/profile_images/1173585256689147912/iH8ef8Bl_normal.jpg</v>
      </c>
      <c r="W356" s="93">
        <v>44483.732303240744</v>
      </c>
      <c r="X356" s="102">
        <v>44483</v>
      </c>
      <c r="Y356" s="99" t="s">
        <v>2197</v>
      </c>
      <c r="Z356" s="96" t="str">
        <f>HYPERLINK("https://twitter.com/msaariaho/status/1448703782175580163")</f>
        <v>https://twitter.com/msaariaho/status/1448703782175580163</v>
      </c>
      <c r="AA356" s="90"/>
      <c r="AB356" s="90"/>
      <c r="AC356" s="99" t="s">
        <v>2241</v>
      </c>
      <c r="AD356" s="90"/>
      <c r="AE356" s="90" t="b">
        <v>0</v>
      </c>
      <c r="AF356" s="90">
        <v>0</v>
      </c>
      <c r="AG356" s="99" t="s">
        <v>535</v>
      </c>
      <c r="AH356" s="90" t="b">
        <v>0</v>
      </c>
      <c r="AI356" s="90" t="s">
        <v>537</v>
      </c>
      <c r="AJ356" s="90"/>
      <c r="AK356" s="99" t="s">
        <v>535</v>
      </c>
      <c r="AL356" s="90" t="b">
        <v>0</v>
      </c>
      <c r="AM356" s="90">
        <v>7</v>
      </c>
      <c r="AN356" s="99" t="s">
        <v>2239</v>
      </c>
      <c r="AO356" s="99" t="s">
        <v>543</v>
      </c>
      <c r="AP356" s="90" t="b">
        <v>0</v>
      </c>
      <c r="AQ356" s="99" t="s">
        <v>2239</v>
      </c>
      <c r="AR356" s="90" t="s">
        <v>187</v>
      </c>
      <c r="AS356" s="90">
        <v>0</v>
      </c>
      <c r="AT356" s="90">
        <v>0</v>
      </c>
      <c r="AU356" s="90"/>
      <c r="AV356" s="90"/>
      <c r="AW356" s="90"/>
      <c r="AX356" s="90"/>
      <c r="AY356" s="90"/>
      <c r="AZ356" s="90"/>
      <c r="BA356" s="90"/>
      <c r="BB356" s="90"/>
      <c r="BC356" s="90">
        <v>1</v>
      </c>
      <c r="BD356" s="89" t="str">
        <f>REPLACE(INDEX(GroupVertices[Group],MATCH(Edges[[#This Row],[Vertex 1]],GroupVertices[Vertex],0)),1,1,"")</f>
        <v>2</v>
      </c>
      <c r="BE356" s="89" t="str">
        <f>REPLACE(INDEX(GroupVertices[Group],MATCH(Edges[[#This Row],[Vertex 2]],GroupVertices[Vertex],0)),1,1,"")</f>
        <v>2</v>
      </c>
      <c r="BF356" s="49"/>
      <c r="BG356" s="50"/>
      <c r="BH356" s="49"/>
      <c r="BI356" s="50"/>
      <c r="BJ356" s="49"/>
      <c r="BK356" s="50"/>
      <c r="BL356" s="49"/>
      <c r="BM356" s="50"/>
      <c r="BN356" s="49"/>
    </row>
    <row r="357" spans="1:66" ht="15">
      <c r="A357" s="66" t="s">
        <v>2135</v>
      </c>
      <c r="B357" s="66" t="s">
        <v>299</v>
      </c>
      <c r="C357" s="67" t="s">
        <v>2108</v>
      </c>
      <c r="D357" s="68">
        <v>1</v>
      </c>
      <c r="E357" s="69" t="s">
        <v>132</v>
      </c>
      <c r="F357" s="70">
        <v>32</v>
      </c>
      <c r="G357" s="67" t="s">
        <v>51</v>
      </c>
      <c r="H357" s="71"/>
      <c r="I357" s="72"/>
      <c r="J357" s="72"/>
      <c r="K357" s="35" t="s">
        <v>65</v>
      </c>
      <c r="L357" s="79">
        <v>357</v>
      </c>
      <c r="M357" s="79"/>
      <c r="N357" s="74"/>
      <c r="O357" s="90" t="s">
        <v>307</v>
      </c>
      <c r="P357" s="93">
        <v>44483.28821759259</v>
      </c>
      <c r="Q357" s="90" t="s">
        <v>2139</v>
      </c>
      <c r="R357" s="96" t="str">
        <f>HYPERLINK("https://talouskurssi.fi/?fbclid=IwAR3lQxACK6cI50BBFObd0zCsOMC4Cq1tFNNNCY5sktWLRNSCs13ALYuQ2cg")</f>
        <v>https://talouskurssi.fi/?fbclid=IwAR3lQxACK6cI50BBFObd0zCsOMC4Cq1tFNNNCY5sktWLRNSCs13ALYuQ2cg</v>
      </c>
      <c r="S357" s="90" t="s">
        <v>334</v>
      </c>
      <c r="T357" s="90"/>
      <c r="U357" s="90"/>
      <c r="V357" s="96" t="str">
        <f>HYPERLINK("https://pbs.twimg.com/profile_images/1331523991580839936/4h0n8YKe_normal.jpg")</f>
        <v>https://pbs.twimg.com/profile_images/1331523991580839936/4h0n8YKe_normal.jpg</v>
      </c>
      <c r="W357" s="93">
        <v>44483.28821759259</v>
      </c>
      <c r="X357" s="102">
        <v>44483</v>
      </c>
      <c r="Y357" s="99" t="s">
        <v>2195</v>
      </c>
      <c r="Z357" s="96" t="str">
        <f>HYPERLINK("https://twitter.com/villekopra/status/1448542848974983171")</f>
        <v>https://twitter.com/villekopra/status/1448542848974983171</v>
      </c>
      <c r="AA357" s="90"/>
      <c r="AB357" s="90"/>
      <c r="AC357" s="99" t="s">
        <v>2239</v>
      </c>
      <c r="AD357" s="90"/>
      <c r="AE357" s="90" t="b">
        <v>0</v>
      </c>
      <c r="AF357" s="90">
        <v>33</v>
      </c>
      <c r="AG357" s="99" t="s">
        <v>535</v>
      </c>
      <c r="AH357" s="90" t="b">
        <v>0</v>
      </c>
      <c r="AI357" s="90" t="s">
        <v>537</v>
      </c>
      <c r="AJ357" s="90"/>
      <c r="AK357" s="99" t="s">
        <v>535</v>
      </c>
      <c r="AL357" s="90" t="b">
        <v>0</v>
      </c>
      <c r="AM357" s="90">
        <v>7</v>
      </c>
      <c r="AN357" s="99" t="s">
        <v>535</v>
      </c>
      <c r="AO357" s="99" t="s">
        <v>542</v>
      </c>
      <c r="AP357" s="90" t="b">
        <v>0</v>
      </c>
      <c r="AQ357" s="99" t="s">
        <v>2239</v>
      </c>
      <c r="AR357" s="90" t="s">
        <v>187</v>
      </c>
      <c r="AS357" s="90">
        <v>0</v>
      </c>
      <c r="AT357" s="90">
        <v>0</v>
      </c>
      <c r="AU357" s="90"/>
      <c r="AV357" s="90"/>
      <c r="AW357" s="90"/>
      <c r="AX357" s="90"/>
      <c r="AY357" s="90"/>
      <c r="AZ357" s="90"/>
      <c r="BA357" s="90"/>
      <c r="BB357" s="90"/>
      <c r="BC357" s="90">
        <v>1</v>
      </c>
      <c r="BD357" s="89" t="str">
        <f>REPLACE(INDEX(GroupVertices[Group],MATCH(Edges[[#This Row],[Vertex 1]],GroupVertices[Vertex],0)),1,1,"")</f>
        <v>2</v>
      </c>
      <c r="BE357" s="89" t="str">
        <f>REPLACE(INDEX(GroupVertices[Group],MATCH(Edges[[#This Row],[Vertex 2]],GroupVertices[Vertex],0)),1,1,"")</f>
        <v>1</v>
      </c>
      <c r="BF357" s="49"/>
      <c r="BG357" s="50"/>
      <c r="BH357" s="49"/>
      <c r="BI357" s="50"/>
      <c r="BJ357" s="49"/>
      <c r="BK357" s="50"/>
      <c r="BL357" s="49"/>
      <c r="BM357" s="50"/>
      <c r="BN357" s="49"/>
    </row>
    <row r="358" spans="1:66" ht="15">
      <c r="A358" s="66" t="s">
        <v>299</v>
      </c>
      <c r="B358" s="66" t="s">
        <v>293</v>
      </c>
      <c r="C358" s="67" t="s">
        <v>2108</v>
      </c>
      <c r="D358" s="68">
        <v>1</v>
      </c>
      <c r="E358" s="69" t="s">
        <v>132</v>
      </c>
      <c r="F358" s="70">
        <v>32</v>
      </c>
      <c r="G358" s="67" t="s">
        <v>51</v>
      </c>
      <c r="H358" s="71"/>
      <c r="I358" s="72"/>
      <c r="J358" s="72"/>
      <c r="K358" s="35" t="s">
        <v>66</v>
      </c>
      <c r="L358" s="79">
        <v>358</v>
      </c>
      <c r="M358" s="79"/>
      <c r="N358" s="74"/>
      <c r="O358" s="90" t="s">
        <v>305</v>
      </c>
      <c r="P358" s="93">
        <v>44483.506215277775</v>
      </c>
      <c r="Q358" s="90" t="s">
        <v>310</v>
      </c>
      <c r="R358" s="96" t="str">
        <f>HYPERLINK("https://talouskurssi.fi/")</f>
        <v>https://talouskurssi.fi/</v>
      </c>
      <c r="S358" s="90" t="s">
        <v>334</v>
      </c>
      <c r="T358" s="99" t="s">
        <v>338</v>
      </c>
      <c r="U358" s="96" t="str">
        <f>HYPERLINK("https://pbs.twimg.com/ext_tw_video_thumb/1448527896562348036/pu/img/0PqSbNMaXHvzKHCc.jpg")</f>
        <v>https://pbs.twimg.com/ext_tw_video_thumb/1448527896562348036/pu/img/0PqSbNMaXHvzKHCc.jpg</v>
      </c>
      <c r="V358" s="96" t="str">
        <f>HYPERLINK("https://pbs.twimg.com/ext_tw_video_thumb/1448527896562348036/pu/img/0PqSbNMaXHvzKHCc.jpg")</f>
        <v>https://pbs.twimg.com/ext_tw_video_thumb/1448527896562348036/pu/img/0PqSbNMaXHvzKHCc.jpg</v>
      </c>
      <c r="W358" s="93">
        <v>44483.506215277775</v>
      </c>
      <c r="X358" s="102">
        <v>44483</v>
      </c>
      <c r="Y358" s="99" t="s">
        <v>431</v>
      </c>
      <c r="Z358" s="96" t="str">
        <f>HYPERLINK("https://twitter.com/helsinkiuni/status/1448621847738732547")</f>
        <v>https://twitter.com/helsinkiuni/status/1448621847738732547</v>
      </c>
      <c r="AA358" s="90"/>
      <c r="AB358" s="90"/>
      <c r="AC358" s="99" t="s">
        <v>525</v>
      </c>
      <c r="AD358" s="90"/>
      <c r="AE358" s="90" t="b">
        <v>0</v>
      </c>
      <c r="AF358" s="90">
        <v>0</v>
      </c>
      <c r="AG358" s="99" t="s">
        <v>535</v>
      </c>
      <c r="AH358" s="90" t="b">
        <v>0</v>
      </c>
      <c r="AI358" s="90" t="s">
        <v>537</v>
      </c>
      <c r="AJ358" s="90"/>
      <c r="AK358" s="99" t="s">
        <v>535</v>
      </c>
      <c r="AL358" s="90" t="b">
        <v>0</v>
      </c>
      <c r="AM358" s="90">
        <v>52</v>
      </c>
      <c r="AN358" s="99" t="s">
        <v>526</v>
      </c>
      <c r="AO358" s="99" t="s">
        <v>547</v>
      </c>
      <c r="AP358" s="90" t="b">
        <v>0</v>
      </c>
      <c r="AQ358" s="99" t="s">
        <v>526</v>
      </c>
      <c r="AR358" s="90" t="s">
        <v>187</v>
      </c>
      <c r="AS358" s="90">
        <v>0</v>
      </c>
      <c r="AT358" s="90">
        <v>0</v>
      </c>
      <c r="AU358" s="90"/>
      <c r="AV358" s="90"/>
      <c r="AW358" s="90"/>
      <c r="AX358" s="90"/>
      <c r="AY358" s="90"/>
      <c r="AZ358" s="90"/>
      <c r="BA358" s="90"/>
      <c r="BB358" s="90"/>
      <c r="BC358" s="90">
        <v>1</v>
      </c>
      <c r="BD358" s="89" t="str">
        <f>REPLACE(INDEX(GroupVertices[Group],MATCH(Edges[[#This Row],[Vertex 1]],GroupVertices[Vertex],0)),1,1,"")</f>
        <v>1</v>
      </c>
      <c r="BE358" s="89" t="str">
        <f>REPLACE(INDEX(GroupVertices[Group],MATCH(Edges[[#This Row],[Vertex 2]],GroupVertices[Vertex],0)),1,1,"")</f>
        <v>3</v>
      </c>
      <c r="BF358" s="49"/>
      <c r="BG358" s="50"/>
      <c r="BH358" s="49"/>
      <c r="BI358" s="50"/>
      <c r="BJ358" s="49"/>
      <c r="BK358" s="50"/>
      <c r="BL358" s="49"/>
      <c r="BM358" s="50"/>
      <c r="BN358" s="49"/>
    </row>
    <row r="359" spans="1:66" ht="15">
      <c r="A359" s="66" t="s">
        <v>293</v>
      </c>
      <c r="B359" s="66" t="s">
        <v>299</v>
      </c>
      <c r="C359" s="67" t="s">
        <v>2108</v>
      </c>
      <c r="D359" s="68">
        <v>1</v>
      </c>
      <c r="E359" s="69" t="s">
        <v>132</v>
      </c>
      <c r="F359" s="70">
        <v>32</v>
      </c>
      <c r="G359" s="67" t="s">
        <v>51</v>
      </c>
      <c r="H359" s="71"/>
      <c r="I359" s="72"/>
      <c r="J359" s="72"/>
      <c r="K359" s="35" t="s">
        <v>66</v>
      </c>
      <c r="L359" s="79">
        <v>359</v>
      </c>
      <c r="M359" s="79"/>
      <c r="N359" s="74"/>
      <c r="O359" s="90" t="s">
        <v>307</v>
      </c>
      <c r="P359" s="93">
        <v>44483.25304398148</v>
      </c>
      <c r="Q359" s="90" t="s">
        <v>310</v>
      </c>
      <c r="R359" s="96" t="str">
        <f>HYPERLINK("https://talouskurssi.fi/")</f>
        <v>https://talouskurssi.fi/</v>
      </c>
      <c r="S359" s="90" t="s">
        <v>334</v>
      </c>
      <c r="T359" s="99" t="s">
        <v>338</v>
      </c>
      <c r="U359" s="96" t="str">
        <f>HYPERLINK("https://pbs.twimg.com/ext_tw_video_thumb/1448527896562348036/pu/img/0PqSbNMaXHvzKHCc.jpg")</f>
        <v>https://pbs.twimg.com/ext_tw_video_thumb/1448527896562348036/pu/img/0PqSbNMaXHvzKHCc.jpg</v>
      </c>
      <c r="V359" s="96" t="str">
        <f>HYPERLINK("https://pbs.twimg.com/ext_tw_video_thumb/1448527896562348036/pu/img/0PqSbNMaXHvzKHCc.jpg")</f>
        <v>https://pbs.twimg.com/ext_tw_video_thumb/1448527896562348036/pu/img/0PqSbNMaXHvzKHCc.jpg</v>
      </c>
      <c r="W359" s="93">
        <v>44483.25304398148</v>
      </c>
      <c r="X359" s="102">
        <v>44483</v>
      </c>
      <c r="Y359" s="99" t="s">
        <v>432</v>
      </c>
      <c r="Z359" s="96" t="str">
        <f>HYPERLINK("https://twitter.com/helsinkigse/status/1448530102837514240")</f>
        <v>https://twitter.com/helsinkigse/status/1448530102837514240</v>
      </c>
      <c r="AA359" s="90"/>
      <c r="AB359" s="90"/>
      <c r="AC359" s="99" t="s">
        <v>526</v>
      </c>
      <c r="AD359" s="90"/>
      <c r="AE359" s="90" t="b">
        <v>0</v>
      </c>
      <c r="AF359" s="90">
        <v>154</v>
      </c>
      <c r="AG359" s="99" t="s">
        <v>535</v>
      </c>
      <c r="AH359" s="90" t="b">
        <v>0</v>
      </c>
      <c r="AI359" s="90" t="s">
        <v>537</v>
      </c>
      <c r="AJ359" s="90"/>
      <c r="AK359" s="99" t="s">
        <v>535</v>
      </c>
      <c r="AL359" s="90" t="b">
        <v>0</v>
      </c>
      <c r="AM359" s="90">
        <v>52</v>
      </c>
      <c r="AN359" s="99" t="s">
        <v>535</v>
      </c>
      <c r="AO359" s="99" t="s">
        <v>542</v>
      </c>
      <c r="AP359" s="90" t="b">
        <v>0</v>
      </c>
      <c r="AQ359" s="99" t="s">
        <v>526</v>
      </c>
      <c r="AR359" s="90" t="s">
        <v>187</v>
      </c>
      <c r="AS359" s="90">
        <v>0</v>
      </c>
      <c r="AT359" s="90">
        <v>0</v>
      </c>
      <c r="AU359" s="90"/>
      <c r="AV359" s="90"/>
      <c r="AW359" s="90"/>
      <c r="AX359" s="90"/>
      <c r="AY359" s="90"/>
      <c r="AZ359" s="90"/>
      <c r="BA359" s="90"/>
      <c r="BB359" s="90"/>
      <c r="BC359" s="90">
        <v>1</v>
      </c>
      <c r="BD359" s="89" t="str">
        <f>REPLACE(INDEX(GroupVertices[Group],MATCH(Edges[[#This Row],[Vertex 1]],GroupVertices[Vertex],0)),1,1,"")</f>
        <v>3</v>
      </c>
      <c r="BE359" s="89" t="str">
        <f>REPLACE(INDEX(GroupVertices[Group],MATCH(Edges[[#This Row],[Vertex 2]],GroupVertices[Vertex],0)),1,1,"")</f>
        <v>1</v>
      </c>
      <c r="BF359" s="49"/>
      <c r="BG359" s="50"/>
      <c r="BH359" s="49"/>
      <c r="BI359" s="50"/>
      <c r="BJ359" s="49"/>
      <c r="BK359" s="50"/>
      <c r="BL359" s="49"/>
      <c r="BM359" s="50"/>
      <c r="BN359" s="49"/>
    </row>
    <row r="360" spans="1:66" ht="15">
      <c r="A360" s="66" t="s">
        <v>293</v>
      </c>
      <c r="B360" s="66" t="s">
        <v>299</v>
      </c>
      <c r="C360" s="67" t="s">
        <v>2109</v>
      </c>
      <c r="D360" s="68">
        <v>10</v>
      </c>
      <c r="E360" s="69" t="s">
        <v>132</v>
      </c>
      <c r="F360" s="70">
        <v>10</v>
      </c>
      <c r="G360" s="67" t="s">
        <v>51</v>
      </c>
      <c r="H360" s="71"/>
      <c r="I360" s="72"/>
      <c r="J360" s="72"/>
      <c r="K360" s="35" t="s">
        <v>66</v>
      </c>
      <c r="L360" s="79">
        <v>360</v>
      </c>
      <c r="M360" s="79"/>
      <c r="N360" s="74"/>
      <c r="O360" s="90" t="s">
        <v>306</v>
      </c>
      <c r="P360" s="93">
        <v>44483.29032407407</v>
      </c>
      <c r="Q360" s="90" t="s">
        <v>2139</v>
      </c>
      <c r="R360" s="96" t="str">
        <f>HYPERLINK("https://talouskurssi.fi/?fbclid=IwAR3lQxACK6cI50BBFObd0zCsOMC4Cq1tFNNNCY5sktWLRNSCs13ALYuQ2cg")</f>
        <v>https://talouskurssi.fi/?fbclid=IwAR3lQxACK6cI50BBFObd0zCsOMC4Cq1tFNNNCY5sktWLRNSCs13ALYuQ2cg</v>
      </c>
      <c r="S360" s="90" t="s">
        <v>334</v>
      </c>
      <c r="T360" s="90"/>
      <c r="U360" s="90"/>
      <c r="V360" s="96" t="str">
        <f>HYPERLINK("https://pbs.twimg.com/profile_images/1448535539880243200/KmRATUa5_normal.jpg")</f>
        <v>https://pbs.twimg.com/profile_images/1448535539880243200/KmRATUa5_normal.jpg</v>
      </c>
      <c r="W360" s="93">
        <v>44483.29032407407</v>
      </c>
      <c r="X360" s="102">
        <v>44483</v>
      </c>
      <c r="Y360" s="99" t="s">
        <v>2196</v>
      </c>
      <c r="Z360" s="96" t="str">
        <f>HYPERLINK("https://twitter.com/helsinkigse/status/1448543613814812672")</f>
        <v>https://twitter.com/helsinkigse/status/1448543613814812672</v>
      </c>
      <c r="AA360" s="90"/>
      <c r="AB360" s="90"/>
      <c r="AC360" s="99" t="s">
        <v>2240</v>
      </c>
      <c r="AD360" s="90"/>
      <c r="AE360" s="90" t="b">
        <v>0</v>
      </c>
      <c r="AF360" s="90">
        <v>0</v>
      </c>
      <c r="AG360" s="99" t="s">
        <v>535</v>
      </c>
      <c r="AH360" s="90" t="b">
        <v>0</v>
      </c>
      <c r="AI360" s="90" t="s">
        <v>537</v>
      </c>
      <c r="AJ360" s="90"/>
      <c r="AK360" s="99" t="s">
        <v>535</v>
      </c>
      <c r="AL360" s="90" t="b">
        <v>0</v>
      </c>
      <c r="AM360" s="90">
        <v>7</v>
      </c>
      <c r="AN360" s="99" t="s">
        <v>2239</v>
      </c>
      <c r="AO360" s="99" t="s">
        <v>542</v>
      </c>
      <c r="AP360" s="90" t="b">
        <v>0</v>
      </c>
      <c r="AQ360" s="99" t="s">
        <v>2239</v>
      </c>
      <c r="AR360" s="90" t="s">
        <v>187</v>
      </c>
      <c r="AS360" s="90">
        <v>0</v>
      </c>
      <c r="AT360" s="90">
        <v>0</v>
      </c>
      <c r="AU360" s="90"/>
      <c r="AV360" s="90"/>
      <c r="AW360" s="90"/>
      <c r="AX360" s="90"/>
      <c r="AY360" s="90"/>
      <c r="AZ360" s="90"/>
      <c r="BA360" s="90"/>
      <c r="BB360" s="90"/>
      <c r="BC360" s="90">
        <v>3</v>
      </c>
      <c r="BD360" s="89" t="str">
        <f>REPLACE(INDEX(GroupVertices[Group],MATCH(Edges[[#This Row],[Vertex 1]],GroupVertices[Vertex],0)),1,1,"")</f>
        <v>3</v>
      </c>
      <c r="BE360" s="89" t="str">
        <f>REPLACE(INDEX(GroupVertices[Group],MATCH(Edges[[#This Row],[Vertex 2]],GroupVertices[Vertex],0)),1,1,"")</f>
        <v>1</v>
      </c>
      <c r="BF360" s="49"/>
      <c r="BG360" s="50"/>
      <c r="BH360" s="49"/>
      <c r="BI360" s="50"/>
      <c r="BJ360" s="49"/>
      <c r="BK360" s="50"/>
      <c r="BL360" s="49"/>
      <c r="BM360" s="50"/>
      <c r="BN360" s="49"/>
    </row>
    <row r="361" spans="1:66" ht="15">
      <c r="A361" s="66" t="s">
        <v>293</v>
      </c>
      <c r="B361" s="66" t="s">
        <v>299</v>
      </c>
      <c r="C361" s="67" t="s">
        <v>2109</v>
      </c>
      <c r="D361" s="68">
        <v>10</v>
      </c>
      <c r="E361" s="69" t="s">
        <v>132</v>
      </c>
      <c r="F361" s="70">
        <v>10</v>
      </c>
      <c r="G361" s="67" t="s">
        <v>51</v>
      </c>
      <c r="H361" s="71"/>
      <c r="I361" s="72"/>
      <c r="J361" s="72"/>
      <c r="K361" s="35" t="s">
        <v>66</v>
      </c>
      <c r="L361" s="79">
        <v>361</v>
      </c>
      <c r="M361" s="79"/>
      <c r="N361" s="74"/>
      <c r="O361" s="90" t="s">
        <v>306</v>
      </c>
      <c r="P361" s="93">
        <v>44483.50150462963</v>
      </c>
      <c r="Q361" s="90" t="s">
        <v>319</v>
      </c>
      <c r="R361" s="90" t="s">
        <v>331</v>
      </c>
      <c r="S361" s="90" t="s">
        <v>335</v>
      </c>
      <c r="T361" s="99" t="s">
        <v>342</v>
      </c>
      <c r="U361" s="96" t="str">
        <f>HYPERLINK("https://pbs.twimg.com/media/FBqDIVrXsAA8FP7.jpg")</f>
        <v>https://pbs.twimg.com/media/FBqDIVrXsAA8FP7.jpg</v>
      </c>
      <c r="V361" s="96" t="str">
        <f>HYPERLINK("https://pbs.twimg.com/media/FBqDIVrXsAA8FP7.jpg")</f>
        <v>https://pbs.twimg.com/media/FBqDIVrXsAA8FP7.jpg</v>
      </c>
      <c r="W361" s="93">
        <v>44483.50150462963</v>
      </c>
      <c r="X361" s="102">
        <v>44483</v>
      </c>
      <c r="Y361" s="99" t="s">
        <v>425</v>
      </c>
      <c r="Z361" s="96" t="str">
        <f>HYPERLINK("https://twitter.com/helsinkigse/status/1448620143584612365")</f>
        <v>https://twitter.com/helsinkigse/status/1448620143584612365</v>
      </c>
      <c r="AA361" s="90"/>
      <c r="AB361" s="90"/>
      <c r="AC361" s="99" t="s">
        <v>519</v>
      </c>
      <c r="AD361" s="90"/>
      <c r="AE361" s="90" t="b">
        <v>0</v>
      </c>
      <c r="AF361" s="90">
        <v>0</v>
      </c>
      <c r="AG361" s="99" t="s">
        <v>535</v>
      </c>
      <c r="AH361" s="90" t="b">
        <v>1</v>
      </c>
      <c r="AI361" s="90" t="s">
        <v>537</v>
      </c>
      <c r="AJ361" s="90"/>
      <c r="AK361" s="99" t="s">
        <v>526</v>
      </c>
      <c r="AL361" s="90" t="b">
        <v>0</v>
      </c>
      <c r="AM361" s="90">
        <v>3</v>
      </c>
      <c r="AN361" s="99" t="s">
        <v>518</v>
      </c>
      <c r="AO361" s="99" t="s">
        <v>542</v>
      </c>
      <c r="AP361" s="90" t="b">
        <v>0</v>
      </c>
      <c r="AQ361" s="99" t="s">
        <v>518</v>
      </c>
      <c r="AR361" s="90" t="s">
        <v>187</v>
      </c>
      <c r="AS361" s="90">
        <v>0</v>
      </c>
      <c r="AT361" s="90">
        <v>0</v>
      </c>
      <c r="AU361" s="90"/>
      <c r="AV361" s="90"/>
      <c r="AW361" s="90"/>
      <c r="AX361" s="90"/>
      <c r="AY361" s="90"/>
      <c r="AZ361" s="90"/>
      <c r="BA361" s="90"/>
      <c r="BB361" s="90"/>
      <c r="BC361" s="90">
        <v>3</v>
      </c>
      <c r="BD361" s="89" t="str">
        <f>REPLACE(INDEX(GroupVertices[Group],MATCH(Edges[[#This Row],[Vertex 1]],GroupVertices[Vertex],0)),1,1,"")</f>
        <v>3</v>
      </c>
      <c r="BE361" s="89" t="str">
        <f>REPLACE(INDEX(GroupVertices[Group],MATCH(Edges[[#This Row],[Vertex 2]],GroupVertices[Vertex],0)),1,1,"")</f>
        <v>1</v>
      </c>
      <c r="BF361" s="49"/>
      <c r="BG361" s="50"/>
      <c r="BH361" s="49"/>
      <c r="BI361" s="50"/>
      <c r="BJ361" s="49"/>
      <c r="BK361" s="50"/>
      <c r="BL361" s="49"/>
      <c r="BM361" s="50"/>
      <c r="BN361" s="49"/>
    </row>
    <row r="362" spans="1:66" ht="15">
      <c r="A362" s="66" t="s">
        <v>293</v>
      </c>
      <c r="B362" s="66" t="s">
        <v>299</v>
      </c>
      <c r="C362" s="67" t="s">
        <v>2109</v>
      </c>
      <c r="D362" s="68">
        <v>10</v>
      </c>
      <c r="E362" s="69" t="s">
        <v>132</v>
      </c>
      <c r="F362" s="70">
        <v>10</v>
      </c>
      <c r="G362" s="67" t="s">
        <v>51</v>
      </c>
      <c r="H362" s="71"/>
      <c r="I362" s="72"/>
      <c r="J362" s="72"/>
      <c r="K362" s="35" t="s">
        <v>66</v>
      </c>
      <c r="L362" s="79">
        <v>362</v>
      </c>
      <c r="M362" s="79"/>
      <c r="N362" s="74"/>
      <c r="O362" s="90" t="s">
        <v>306</v>
      </c>
      <c r="P362" s="93">
        <v>44483.71402777778</v>
      </c>
      <c r="Q362" s="90" t="s">
        <v>2142</v>
      </c>
      <c r="R362" s="96" t="str">
        <f>HYPERLINK("https://twitter.com/HelsinkiGSE/status/1448530102837514240")</f>
        <v>https://twitter.com/HelsinkiGSE/status/1448530102837514240</v>
      </c>
      <c r="S362" s="90" t="s">
        <v>333</v>
      </c>
      <c r="T362" s="90"/>
      <c r="U362" s="90"/>
      <c r="V362" s="96" t="str">
        <f>HYPERLINK("https://pbs.twimg.com/profile_images/1448535539880243200/KmRATUa5_normal.jpg")</f>
        <v>https://pbs.twimg.com/profile_images/1448535539880243200/KmRATUa5_normal.jpg</v>
      </c>
      <c r="W362" s="93">
        <v>44483.71402777778</v>
      </c>
      <c r="X362" s="102">
        <v>44483</v>
      </c>
      <c r="Y362" s="99" t="s">
        <v>2189</v>
      </c>
      <c r="Z362" s="96" t="str">
        <f>HYPERLINK("https://twitter.com/helsinkigse/status/1448697156949454857")</f>
        <v>https://twitter.com/helsinkigse/status/1448697156949454857</v>
      </c>
      <c r="AA362" s="90"/>
      <c r="AB362" s="90"/>
      <c r="AC362" s="99" t="s">
        <v>2234</v>
      </c>
      <c r="AD362" s="90"/>
      <c r="AE362" s="90" t="b">
        <v>0</v>
      </c>
      <c r="AF362" s="90">
        <v>0</v>
      </c>
      <c r="AG362" s="99" t="s">
        <v>535</v>
      </c>
      <c r="AH362" s="90" t="b">
        <v>1</v>
      </c>
      <c r="AI362" s="90" t="s">
        <v>537</v>
      </c>
      <c r="AJ362" s="90"/>
      <c r="AK362" s="99" t="s">
        <v>526</v>
      </c>
      <c r="AL362" s="90" t="b">
        <v>0</v>
      </c>
      <c r="AM362" s="90">
        <v>6</v>
      </c>
      <c r="AN362" s="99" t="s">
        <v>2233</v>
      </c>
      <c r="AO362" s="99" t="s">
        <v>542</v>
      </c>
      <c r="AP362" s="90" t="b">
        <v>0</v>
      </c>
      <c r="AQ362" s="99" t="s">
        <v>2233</v>
      </c>
      <c r="AR362" s="90" t="s">
        <v>187</v>
      </c>
      <c r="AS362" s="90">
        <v>0</v>
      </c>
      <c r="AT362" s="90">
        <v>0</v>
      </c>
      <c r="AU362" s="90"/>
      <c r="AV362" s="90"/>
      <c r="AW362" s="90"/>
      <c r="AX362" s="90"/>
      <c r="AY362" s="90"/>
      <c r="AZ362" s="90"/>
      <c r="BA362" s="90"/>
      <c r="BB362" s="90"/>
      <c r="BC362" s="90">
        <v>3</v>
      </c>
      <c r="BD362" s="89" t="str">
        <f>REPLACE(INDEX(GroupVertices[Group],MATCH(Edges[[#This Row],[Vertex 1]],GroupVertices[Vertex],0)),1,1,"")</f>
        <v>3</v>
      </c>
      <c r="BE362" s="89" t="str">
        <f>REPLACE(INDEX(GroupVertices[Group],MATCH(Edges[[#This Row],[Vertex 2]],GroupVertices[Vertex],0)),1,1,"")</f>
        <v>1</v>
      </c>
      <c r="BF362" s="49"/>
      <c r="BG362" s="50"/>
      <c r="BH362" s="49"/>
      <c r="BI362" s="50"/>
      <c r="BJ362" s="49"/>
      <c r="BK362" s="50"/>
      <c r="BL362" s="49"/>
      <c r="BM362" s="50"/>
      <c r="BN362" s="49"/>
    </row>
    <row r="363" spans="1:66" ht="15">
      <c r="A363" s="66" t="s">
        <v>2136</v>
      </c>
      <c r="B363" s="66" t="s">
        <v>299</v>
      </c>
      <c r="C363" s="67" t="s">
        <v>2108</v>
      </c>
      <c r="D363" s="68">
        <v>1</v>
      </c>
      <c r="E363" s="69" t="s">
        <v>132</v>
      </c>
      <c r="F363" s="70">
        <v>32</v>
      </c>
      <c r="G363" s="67" t="s">
        <v>51</v>
      </c>
      <c r="H363" s="71"/>
      <c r="I363" s="72"/>
      <c r="J363" s="72"/>
      <c r="K363" s="35" t="s">
        <v>65</v>
      </c>
      <c r="L363" s="79">
        <v>363</v>
      </c>
      <c r="M363" s="79"/>
      <c r="N363" s="74"/>
      <c r="O363" s="90" t="s">
        <v>306</v>
      </c>
      <c r="P363" s="93">
        <v>44483.732303240744</v>
      </c>
      <c r="Q363" s="90" t="s">
        <v>2139</v>
      </c>
      <c r="R363" s="96" t="str">
        <f>HYPERLINK("https://talouskurssi.fi/?fbclid=IwAR3lQxACK6cI50BBFObd0zCsOMC4Cq1tFNNNCY5sktWLRNSCs13ALYuQ2cg")</f>
        <v>https://talouskurssi.fi/?fbclid=IwAR3lQxACK6cI50BBFObd0zCsOMC4Cq1tFNNNCY5sktWLRNSCs13ALYuQ2cg</v>
      </c>
      <c r="S363" s="90" t="s">
        <v>334</v>
      </c>
      <c r="T363" s="90"/>
      <c r="U363" s="90"/>
      <c r="V363" s="96" t="str">
        <f>HYPERLINK("https://pbs.twimg.com/profile_images/1173585256689147912/iH8ef8Bl_normal.jpg")</f>
        <v>https://pbs.twimg.com/profile_images/1173585256689147912/iH8ef8Bl_normal.jpg</v>
      </c>
      <c r="W363" s="93">
        <v>44483.732303240744</v>
      </c>
      <c r="X363" s="102">
        <v>44483</v>
      </c>
      <c r="Y363" s="99" t="s">
        <v>2197</v>
      </c>
      <c r="Z363" s="96" t="str">
        <f>HYPERLINK("https://twitter.com/msaariaho/status/1448703782175580163")</f>
        <v>https://twitter.com/msaariaho/status/1448703782175580163</v>
      </c>
      <c r="AA363" s="90"/>
      <c r="AB363" s="90"/>
      <c r="AC363" s="99" t="s">
        <v>2241</v>
      </c>
      <c r="AD363" s="90"/>
      <c r="AE363" s="90" t="b">
        <v>0</v>
      </c>
      <c r="AF363" s="90">
        <v>0</v>
      </c>
      <c r="AG363" s="99" t="s">
        <v>535</v>
      </c>
      <c r="AH363" s="90" t="b">
        <v>0</v>
      </c>
      <c r="AI363" s="90" t="s">
        <v>537</v>
      </c>
      <c r="AJ363" s="90"/>
      <c r="AK363" s="99" t="s">
        <v>535</v>
      </c>
      <c r="AL363" s="90" t="b">
        <v>0</v>
      </c>
      <c r="AM363" s="90">
        <v>7</v>
      </c>
      <c r="AN363" s="99" t="s">
        <v>2239</v>
      </c>
      <c r="AO363" s="99" t="s">
        <v>543</v>
      </c>
      <c r="AP363" s="90" t="b">
        <v>0</v>
      </c>
      <c r="AQ363" s="99" t="s">
        <v>2239</v>
      </c>
      <c r="AR363" s="90" t="s">
        <v>187</v>
      </c>
      <c r="AS363" s="90">
        <v>0</v>
      </c>
      <c r="AT363" s="90">
        <v>0</v>
      </c>
      <c r="AU363" s="90"/>
      <c r="AV363" s="90"/>
      <c r="AW363" s="90"/>
      <c r="AX363" s="90"/>
      <c r="AY363" s="90"/>
      <c r="AZ363" s="90"/>
      <c r="BA363" s="90"/>
      <c r="BB363" s="90"/>
      <c r="BC363" s="90">
        <v>1</v>
      </c>
      <c r="BD363" s="89" t="str">
        <f>REPLACE(INDEX(GroupVertices[Group],MATCH(Edges[[#This Row],[Vertex 1]],GroupVertices[Vertex],0)),1,1,"")</f>
        <v>2</v>
      </c>
      <c r="BE363" s="89" t="str">
        <f>REPLACE(INDEX(GroupVertices[Group],MATCH(Edges[[#This Row],[Vertex 2]],GroupVertices[Vertex],0)),1,1,"")</f>
        <v>1</v>
      </c>
      <c r="BF363" s="49"/>
      <c r="BG363" s="50"/>
      <c r="BH363" s="49"/>
      <c r="BI363" s="50"/>
      <c r="BJ363" s="49"/>
      <c r="BK363" s="50"/>
      <c r="BL363" s="49"/>
      <c r="BM363" s="50"/>
      <c r="BN363" s="49"/>
    </row>
    <row r="364" spans="1:66" ht="15">
      <c r="A364" s="66" t="s">
        <v>2135</v>
      </c>
      <c r="B364" s="66" t="s">
        <v>293</v>
      </c>
      <c r="C364" s="67" t="s">
        <v>2108</v>
      </c>
      <c r="D364" s="68">
        <v>1</v>
      </c>
      <c r="E364" s="69" t="s">
        <v>132</v>
      </c>
      <c r="F364" s="70">
        <v>32</v>
      </c>
      <c r="G364" s="67" t="s">
        <v>51</v>
      </c>
      <c r="H364" s="71"/>
      <c r="I364" s="72"/>
      <c r="J364" s="72"/>
      <c r="K364" s="35" t="s">
        <v>66</v>
      </c>
      <c r="L364" s="79">
        <v>364</v>
      </c>
      <c r="M364" s="79"/>
      <c r="N364" s="74"/>
      <c r="O364" s="90" t="s">
        <v>307</v>
      </c>
      <c r="P364" s="93">
        <v>44483.28821759259</v>
      </c>
      <c r="Q364" s="90" t="s">
        <v>2139</v>
      </c>
      <c r="R364" s="96" t="str">
        <f>HYPERLINK("https://talouskurssi.fi/?fbclid=IwAR3lQxACK6cI50BBFObd0zCsOMC4Cq1tFNNNCY5sktWLRNSCs13ALYuQ2cg")</f>
        <v>https://talouskurssi.fi/?fbclid=IwAR3lQxACK6cI50BBFObd0zCsOMC4Cq1tFNNNCY5sktWLRNSCs13ALYuQ2cg</v>
      </c>
      <c r="S364" s="90" t="s">
        <v>334</v>
      </c>
      <c r="T364" s="90"/>
      <c r="U364" s="90"/>
      <c r="V364" s="96" t="str">
        <f>HYPERLINK("https://pbs.twimg.com/profile_images/1331523991580839936/4h0n8YKe_normal.jpg")</f>
        <v>https://pbs.twimg.com/profile_images/1331523991580839936/4h0n8YKe_normal.jpg</v>
      </c>
      <c r="W364" s="93">
        <v>44483.28821759259</v>
      </c>
      <c r="X364" s="102">
        <v>44483</v>
      </c>
      <c r="Y364" s="99" t="s">
        <v>2195</v>
      </c>
      <c r="Z364" s="96" t="str">
        <f>HYPERLINK("https://twitter.com/villekopra/status/1448542848974983171")</f>
        <v>https://twitter.com/villekopra/status/1448542848974983171</v>
      </c>
      <c r="AA364" s="90"/>
      <c r="AB364" s="90"/>
      <c r="AC364" s="99" t="s">
        <v>2239</v>
      </c>
      <c r="AD364" s="90"/>
      <c r="AE364" s="90" t="b">
        <v>0</v>
      </c>
      <c r="AF364" s="90">
        <v>33</v>
      </c>
      <c r="AG364" s="99" t="s">
        <v>535</v>
      </c>
      <c r="AH364" s="90" t="b">
        <v>0</v>
      </c>
      <c r="AI364" s="90" t="s">
        <v>537</v>
      </c>
      <c r="AJ364" s="90"/>
      <c r="AK364" s="99" t="s">
        <v>535</v>
      </c>
      <c r="AL364" s="90" t="b">
        <v>0</v>
      </c>
      <c r="AM364" s="90">
        <v>7</v>
      </c>
      <c r="AN364" s="99" t="s">
        <v>535</v>
      </c>
      <c r="AO364" s="99" t="s">
        <v>542</v>
      </c>
      <c r="AP364" s="90" t="b">
        <v>0</v>
      </c>
      <c r="AQ364" s="99" t="s">
        <v>2239</v>
      </c>
      <c r="AR364" s="90" t="s">
        <v>187</v>
      </c>
      <c r="AS364" s="90">
        <v>0</v>
      </c>
      <c r="AT364" s="90">
        <v>0</v>
      </c>
      <c r="AU364" s="90"/>
      <c r="AV364" s="90"/>
      <c r="AW364" s="90"/>
      <c r="AX364" s="90"/>
      <c r="AY364" s="90"/>
      <c r="AZ364" s="90"/>
      <c r="BA364" s="90"/>
      <c r="BB364" s="90"/>
      <c r="BC364" s="90">
        <v>1</v>
      </c>
      <c r="BD364" s="89" t="str">
        <f>REPLACE(INDEX(GroupVertices[Group],MATCH(Edges[[#This Row],[Vertex 1]],GroupVertices[Vertex],0)),1,1,"")</f>
        <v>2</v>
      </c>
      <c r="BE364" s="89" t="str">
        <f>REPLACE(INDEX(GroupVertices[Group],MATCH(Edges[[#This Row],[Vertex 2]],GroupVertices[Vertex],0)),1,1,"")</f>
        <v>3</v>
      </c>
      <c r="BF364" s="49">
        <v>0</v>
      </c>
      <c r="BG364" s="50">
        <v>0</v>
      </c>
      <c r="BH364" s="49">
        <v>0</v>
      </c>
      <c r="BI364" s="50">
        <v>0</v>
      </c>
      <c r="BJ364" s="49">
        <v>0</v>
      </c>
      <c r="BK364" s="50">
        <v>0</v>
      </c>
      <c r="BL364" s="49">
        <v>22</v>
      </c>
      <c r="BM364" s="50">
        <v>100</v>
      </c>
      <c r="BN364" s="49">
        <v>22</v>
      </c>
    </row>
    <row r="365" spans="1:66" ht="15">
      <c r="A365" s="66" t="s">
        <v>293</v>
      </c>
      <c r="B365" s="66" t="s">
        <v>2135</v>
      </c>
      <c r="C365" s="67" t="s">
        <v>2108</v>
      </c>
      <c r="D365" s="68">
        <v>1</v>
      </c>
      <c r="E365" s="69" t="s">
        <v>132</v>
      </c>
      <c r="F365" s="70">
        <v>32</v>
      </c>
      <c r="G365" s="67" t="s">
        <v>51</v>
      </c>
      <c r="H365" s="71"/>
      <c r="I365" s="72"/>
      <c r="J365" s="72"/>
      <c r="K365" s="35" t="s">
        <v>66</v>
      </c>
      <c r="L365" s="79">
        <v>365</v>
      </c>
      <c r="M365" s="79"/>
      <c r="N365" s="74"/>
      <c r="O365" s="90" t="s">
        <v>305</v>
      </c>
      <c r="P365" s="93">
        <v>44483.29032407407</v>
      </c>
      <c r="Q365" s="90" t="s">
        <v>2139</v>
      </c>
      <c r="R365" s="96" t="str">
        <f>HYPERLINK("https://talouskurssi.fi/?fbclid=IwAR3lQxACK6cI50BBFObd0zCsOMC4Cq1tFNNNCY5sktWLRNSCs13ALYuQ2cg")</f>
        <v>https://talouskurssi.fi/?fbclid=IwAR3lQxACK6cI50BBFObd0zCsOMC4Cq1tFNNNCY5sktWLRNSCs13ALYuQ2cg</v>
      </c>
      <c r="S365" s="90" t="s">
        <v>334</v>
      </c>
      <c r="T365" s="90"/>
      <c r="U365" s="90"/>
      <c r="V365" s="96" t="str">
        <f>HYPERLINK("https://pbs.twimg.com/profile_images/1448535539880243200/KmRATUa5_normal.jpg")</f>
        <v>https://pbs.twimg.com/profile_images/1448535539880243200/KmRATUa5_normal.jpg</v>
      </c>
      <c r="W365" s="93">
        <v>44483.29032407407</v>
      </c>
      <c r="X365" s="102">
        <v>44483</v>
      </c>
      <c r="Y365" s="99" t="s">
        <v>2196</v>
      </c>
      <c r="Z365" s="96" t="str">
        <f>HYPERLINK("https://twitter.com/helsinkigse/status/1448543613814812672")</f>
        <v>https://twitter.com/helsinkigse/status/1448543613814812672</v>
      </c>
      <c r="AA365" s="90"/>
      <c r="AB365" s="90"/>
      <c r="AC365" s="99" t="s">
        <v>2240</v>
      </c>
      <c r="AD365" s="90"/>
      <c r="AE365" s="90" t="b">
        <v>0</v>
      </c>
      <c r="AF365" s="90">
        <v>0</v>
      </c>
      <c r="AG365" s="99" t="s">
        <v>535</v>
      </c>
      <c r="AH365" s="90" t="b">
        <v>0</v>
      </c>
      <c r="AI365" s="90" t="s">
        <v>537</v>
      </c>
      <c r="AJ365" s="90"/>
      <c r="AK365" s="99" t="s">
        <v>535</v>
      </c>
      <c r="AL365" s="90" t="b">
        <v>0</v>
      </c>
      <c r="AM365" s="90">
        <v>7</v>
      </c>
      <c r="AN365" s="99" t="s">
        <v>2239</v>
      </c>
      <c r="AO365" s="99" t="s">
        <v>542</v>
      </c>
      <c r="AP365" s="90" t="b">
        <v>0</v>
      </c>
      <c r="AQ365" s="99" t="s">
        <v>2239</v>
      </c>
      <c r="AR365" s="90" t="s">
        <v>187</v>
      </c>
      <c r="AS365" s="90">
        <v>0</v>
      </c>
      <c r="AT365" s="90">
        <v>0</v>
      </c>
      <c r="AU365" s="90"/>
      <c r="AV365" s="90"/>
      <c r="AW365" s="90"/>
      <c r="AX365" s="90"/>
      <c r="AY365" s="90"/>
      <c r="AZ365" s="90"/>
      <c r="BA365" s="90"/>
      <c r="BB365" s="90"/>
      <c r="BC365" s="90">
        <v>1</v>
      </c>
      <c r="BD365" s="89" t="str">
        <f>REPLACE(INDEX(GroupVertices[Group],MATCH(Edges[[#This Row],[Vertex 1]],GroupVertices[Vertex],0)),1,1,"")</f>
        <v>3</v>
      </c>
      <c r="BE365" s="89" t="str">
        <f>REPLACE(INDEX(GroupVertices[Group],MATCH(Edges[[#This Row],[Vertex 2]],GroupVertices[Vertex],0)),1,1,"")</f>
        <v>2</v>
      </c>
      <c r="BF365" s="49">
        <v>0</v>
      </c>
      <c r="BG365" s="50">
        <v>0</v>
      </c>
      <c r="BH365" s="49">
        <v>0</v>
      </c>
      <c r="BI365" s="50">
        <v>0</v>
      </c>
      <c r="BJ365" s="49">
        <v>0</v>
      </c>
      <c r="BK365" s="50">
        <v>0</v>
      </c>
      <c r="BL365" s="49">
        <v>22</v>
      </c>
      <c r="BM365" s="50">
        <v>100</v>
      </c>
      <c r="BN365" s="49">
        <v>22</v>
      </c>
    </row>
    <row r="366" spans="1:66" ht="15">
      <c r="A366" s="66" t="s">
        <v>293</v>
      </c>
      <c r="B366" s="66" t="s">
        <v>293</v>
      </c>
      <c r="C366" s="67" t="s">
        <v>2109</v>
      </c>
      <c r="D366" s="68">
        <v>10</v>
      </c>
      <c r="E366" s="69" t="s">
        <v>136</v>
      </c>
      <c r="F366" s="70">
        <v>10</v>
      </c>
      <c r="G366" s="67" t="s">
        <v>51</v>
      </c>
      <c r="H366" s="71"/>
      <c r="I366" s="72"/>
      <c r="J366" s="72"/>
      <c r="K366" s="35" t="s">
        <v>65</v>
      </c>
      <c r="L366" s="79">
        <v>366</v>
      </c>
      <c r="M366" s="79"/>
      <c r="N366" s="74"/>
      <c r="O366" s="90" t="s">
        <v>187</v>
      </c>
      <c r="P366" s="93">
        <v>44483.51246527778</v>
      </c>
      <c r="Q366" s="90" t="s">
        <v>321</v>
      </c>
      <c r="R366" s="96" t="str">
        <f>HYPERLINK("https://talouskurssi.fi/")</f>
        <v>https://talouskurssi.fi/</v>
      </c>
      <c r="S366" s="90" t="s">
        <v>334</v>
      </c>
      <c r="T366" s="99" t="s">
        <v>338</v>
      </c>
      <c r="U366" s="96" t="str">
        <f>HYPERLINK("https://pbs.twimg.com/media/FBqLWBNXoAEkKJ2.jpg")</f>
        <v>https://pbs.twimg.com/media/FBqLWBNXoAEkKJ2.jpg</v>
      </c>
      <c r="V366" s="96" t="str">
        <f>HYPERLINK("https://pbs.twimg.com/media/FBqLWBNXoAEkKJ2.jpg")</f>
        <v>https://pbs.twimg.com/media/FBqLWBNXoAEkKJ2.jpg</v>
      </c>
      <c r="W366" s="93">
        <v>44483.51246527778</v>
      </c>
      <c r="X366" s="102">
        <v>44483</v>
      </c>
      <c r="Y366" s="99" t="s">
        <v>434</v>
      </c>
      <c r="Z366" s="96" t="str">
        <f>HYPERLINK("https://twitter.com/helsinkigse/status/1448624113568858114")</f>
        <v>https://twitter.com/helsinkigse/status/1448624113568858114</v>
      </c>
      <c r="AA366" s="90"/>
      <c r="AB366" s="90"/>
      <c r="AC366" s="99" t="s">
        <v>528</v>
      </c>
      <c r="AD366" s="90"/>
      <c r="AE366" s="90" t="b">
        <v>0</v>
      </c>
      <c r="AF366" s="90">
        <v>22</v>
      </c>
      <c r="AG366" s="99" t="s">
        <v>535</v>
      </c>
      <c r="AH366" s="90" t="b">
        <v>0</v>
      </c>
      <c r="AI366" s="90" t="s">
        <v>537</v>
      </c>
      <c r="AJ366" s="90"/>
      <c r="AK366" s="99" t="s">
        <v>535</v>
      </c>
      <c r="AL366" s="90" t="b">
        <v>0</v>
      </c>
      <c r="AM366" s="90">
        <v>2</v>
      </c>
      <c r="AN366" s="99" t="s">
        <v>535</v>
      </c>
      <c r="AO366" s="99" t="s">
        <v>542</v>
      </c>
      <c r="AP366" s="90" t="b">
        <v>0</v>
      </c>
      <c r="AQ366" s="99" t="s">
        <v>528</v>
      </c>
      <c r="AR366" s="90" t="s">
        <v>187</v>
      </c>
      <c r="AS366" s="90">
        <v>0</v>
      </c>
      <c r="AT366" s="90">
        <v>0</v>
      </c>
      <c r="AU366" s="90"/>
      <c r="AV366" s="90"/>
      <c r="AW366" s="90"/>
      <c r="AX366" s="90"/>
      <c r="AY366" s="90"/>
      <c r="AZ366" s="90"/>
      <c r="BA366" s="90"/>
      <c r="BB366" s="90"/>
      <c r="BC366" s="90">
        <v>5</v>
      </c>
      <c r="BD366" s="89" t="str">
        <f>REPLACE(INDEX(GroupVertices[Group],MATCH(Edges[[#This Row],[Vertex 1]],GroupVertices[Vertex],0)),1,1,"")</f>
        <v>3</v>
      </c>
      <c r="BE366" s="89" t="str">
        <f>REPLACE(INDEX(GroupVertices[Group],MATCH(Edges[[#This Row],[Vertex 2]],GroupVertices[Vertex],0)),1,1,"")</f>
        <v>3</v>
      </c>
      <c r="BF366" s="49">
        <v>0</v>
      </c>
      <c r="BG366" s="50">
        <v>0</v>
      </c>
      <c r="BH366" s="49">
        <v>0</v>
      </c>
      <c r="BI366" s="50">
        <v>0</v>
      </c>
      <c r="BJ366" s="49">
        <v>0</v>
      </c>
      <c r="BK366" s="50">
        <v>0</v>
      </c>
      <c r="BL366" s="49">
        <v>22</v>
      </c>
      <c r="BM366" s="50">
        <v>100</v>
      </c>
      <c r="BN366" s="49">
        <v>22</v>
      </c>
    </row>
    <row r="367" spans="1:66" ht="15">
      <c r="A367" s="66" t="s">
        <v>293</v>
      </c>
      <c r="B367" s="66" t="s">
        <v>293</v>
      </c>
      <c r="C367" s="67" t="s">
        <v>2109</v>
      </c>
      <c r="D367" s="68">
        <v>10</v>
      </c>
      <c r="E367" s="69" t="s">
        <v>136</v>
      </c>
      <c r="F367" s="70">
        <v>10</v>
      </c>
      <c r="G367" s="67" t="s">
        <v>51</v>
      </c>
      <c r="H367" s="71"/>
      <c r="I367" s="72"/>
      <c r="J367" s="72"/>
      <c r="K367" s="35" t="s">
        <v>65</v>
      </c>
      <c r="L367" s="79">
        <v>367</v>
      </c>
      <c r="M367" s="79"/>
      <c r="N367" s="74"/>
      <c r="O367" s="90" t="s">
        <v>187</v>
      </c>
      <c r="P367" s="93">
        <v>44483.5134837963</v>
      </c>
      <c r="Q367" s="90" t="s">
        <v>327</v>
      </c>
      <c r="R367" s="96" t="str">
        <f>HYPERLINK("https://twitter.com/AtteHarjanne/status/1448617819982241796")</f>
        <v>https://twitter.com/AtteHarjanne/status/1448617819982241796</v>
      </c>
      <c r="S367" s="90" t="s">
        <v>333</v>
      </c>
      <c r="T367" s="99" t="s">
        <v>338</v>
      </c>
      <c r="U367" s="90"/>
      <c r="V367" s="96" t="str">
        <f>HYPERLINK("https://pbs.twimg.com/profile_images/1448535539880243200/KmRATUa5_normal.jpg")</f>
        <v>https://pbs.twimg.com/profile_images/1448535539880243200/KmRATUa5_normal.jpg</v>
      </c>
      <c r="W367" s="93">
        <v>44483.5134837963</v>
      </c>
      <c r="X367" s="102">
        <v>44483</v>
      </c>
      <c r="Y367" s="99" t="s">
        <v>435</v>
      </c>
      <c r="Z367" s="96" t="str">
        <f>HYPERLINK("https://twitter.com/helsinkigse/status/1448624481002573824")</f>
        <v>https://twitter.com/helsinkigse/status/1448624481002573824</v>
      </c>
      <c r="AA367" s="90"/>
      <c r="AB367" s="90"/>
      <c r="AC367" s="99" t="s">
        <v>529</v>
      </c>
      <c r="AD367" s="90"/>
      <c r="AE367" s="90" t="b">
        <v>0</v>
      </c>
      <c r="AF367" s="90">
        <v>3</v>
      </c>
      <c r="AG367" s="99" t="s">
        <v>535</v>
      </c>
      <c r="AH367" s="90" t="b">
        <v>1</v>
      </c>
      <c r="AI367" s="90" t="s">
        <v>537</v>
      </c>
      <c r="AJ367" s="90"/>
      <c r="AK367" s="99" t="s">
        <v>539</v>
      </c>
      <c r="AL367" s="90" t="b">
        <v>0</v>
      </c>
      <c r="AM367" s="90">
        <v>0</v>
      </c>
      <c r="AN367" s="99" t="s">
        <v>535</v>
      </c>
      <c r="AO367" s="99" t="s">
        <v>542</v>
      </c>
      <c r="AP367" s="90" t="b">
        <v>0</v>
      </c>
      <c r="AQ367" s="99" t="s">
        <v>529</v>
      </c>
      <c r="AR367" s="90" t="s">
        <v>187</v>
      </c>
      <c r="AS367" s="90">
        <v>0</v>
      </c>
      <c r="AT367" s="90">
        <v>0</v>
      </c>
      <c r="AU367" s="90"/>
      <c r="AV367" s="90"/>
      <c r="AW367" s="90"/>
      <c r="AX367" s="90"/>
      <c r="AY367" s="90"/>
      <c r="AZ367" s="90"/>
      <c r="BA367" s="90"/>
      <c r="BB367" s="90"/>
      <c r="BC367" s="90">
        <v>5</v>
      </c>
      <c r="BD367" s="89" t="str">
        <f>REPLACE(INDEX(GroupVertices[Group],MATCH(Edges[[#This Row],[Vertex 1]],GroupVertices[Vertex],0)),1,1,"")</f>
        <v>3</v>
      </c>
      <c r="BE367" s="89" t="str">
        <f>REPLACE(INDEX(GroupVertices[Group],MATCH(Edges[[#This Row],[Vertex 2]],GroupVertices[Vertex],0)),1,1,"")</f>
        <v>3</v>
      </c>
      <c r="BF367" s="49">
        <v>0</v>
      </c>
      <c r="BG367" s="50">
        <v>0</v>
      </c>
      <c r="BH367" s="49">
        <v>0</v>
      </c>
      <c r="BI367" s="50">
        <v>0</v>
      </c>
      <c r="BJ367" s="49">
        <v>0</v>
      </c>
      <c r="BK367" s="50">
        <v>0</v>
      </c>
      <c r="BL367" s="49">
        <v>9</v>
      </c>
      <c r="BM367" s="50">
        <v>100</v>
      </c>
      <c r="BN367" s="49">
        <v>9</v>
      </c>
    </row>
    <row r="368" spans="1:66" ht="15">
      <c r="A368" s="66" t="s">
        <v>293</v>
      </c>
      <c r="B368" s="66" t="s">
        <v>293</v>
      </c>
      <c r="C368" s="67" t="s">
        <v>2109</v>
      </c>
      <c r="D368" s="68">
        <v>10</v>
      </c>
      <c r="E368" s="69" t="s">
        <v>136</v>
      </c>
      <c r="F368" s="70">
        <v>10</v>
      </c>
      <c r="G368" s="67" t="s">
        <v>51</v>
      </c>
      <c r="H368" s="71"/>
      <c r="I368" s="72"/>
      <c r="J368" s="72"/>
      <c r="K368" s="35" t="s">
        <v>65</v>
      </c>
      <c r="L368" s="79">
        <v>368</v>
      </c>
      <c r="M368" s="79"/>
      <c r="N368" s="74"/>
      <c r="O368" s="90" t="s">
        <v>187</v>
      </c>
      <c r="P368" s="93">
        <v>44483.52474537037</v>
      </c>
      <c r="Q368" s="90" t="s">
        <v>325</v>
      </c>
      <c r="R368" s="96" t="str">
        <f>HYPERLINK("https://areena.yle.fi/audio/1-50940059?utm_source=twitter-share")</f>
        <v>https://areena.yle.fi/audio/1-50940059?utm_source=twitter-share</v>
      </c>
      <c r="S368" s="90" t="s">
        <v>337</v>
      </c>
      <c r="T368" s="99" t="s">
        <v>338</v>
      </c>
      <c r="U368" s="90"/>
      <c r="V368" s="96" t="str">
        <f>HYPERLINK("https://pbs.twimg.com/profile_images/1448535539880243200/KmRATUa5_normal.jpg")</f>
        <v>https://pbs.twimg.com/profile_images/1448535539880243200/KmRATUa5_normal.jpg</v>
      </c>
      <c r="W368" s="93">
        <v>44483.52474537037</v>
      </c>
      <c r="X368" s="102">
        <v>44483</v>
      </c>
      <c r="Y368" s="99" t="s">
        <v>436</v>
      </c>
      <c r="Z368" s="96" t="str">
        <f>HYPERLINK("https://twitter.com/helsinkigse/status/1448628564241403907")</f>
        <v>https://twitter.com/helsinkigse/status/1448628564241403907</v>
      </c>
      <c r="AA368" s="90"/>
      <c r="AB368" s="90"/>
      <c r="AC368" s="99" t="s">
        <v>530</v>
      </c>
      <c r="AD368" s="90"/>
      <c r="AE368" s="90" t="b">
        <v>0</v>
      </c>
      <c r="AF368" s="90">
        <v>4</v>
      </c>
      <c r="AG368" s="99" t="s">
        <v>535</v>
      </c>
      <c r="AH368" s="90" t="b">
        <v>0</v>
      </c>
      <c r="AI368" s="90" t="s">
        <v>537</v>
      </c>
      <c r="AJ368" s="90"/>
      <c r="AK368" s="99" t="s">
        <v>535</v>
      </c>
      <c r="AL368" s="90" t="b">
        <v>0</v>
      </c>
      <c r="AM368" s="90">
        <v>1</v>
      </c>
      <c r="AN368" s="99" t="s">
        <v>535</v>
      </c>
      <c r="AO368" s="99" t="s">
        <v>542</v>
      </c>
      <c r="AP368" s="90" t="b">
        <v>0</v>
      </c>
      <c r="AQ368" s="99" t="s">
        <v>530</v>
      </c>
      <c r="AR368" s="90" t="s">
        <v>187</v>
      </c>
      <c r="AS368" s="90">
        <v>0</v>
      </c>
      <c r="AT368" s="90">
        <v>0</v>
      </c>
      <c r="AU368" s="90"/>
      <c r="AV368" s="90"/>
      <c r="AW368" s="90"/>
      <c r="AX368" s="90"/>
      <c r="AY368" s="90"/>
      <c r="AZ368" s="90"/>
      <c r="BA368" s="90"/>
      <c r="BB368" s="90"/>
      <c r="BC368" s="90">
        <v>5</v>
      </c>
      <c r="BD368" s="89" t="str">
        <f>REPLACE(INDEX(GroupVertices[Group],MATCH(Edges[[#This Row],[Vertex 1]],GroupVertices[Vertex],0)),1,1,"")</f>
        <v>3</v>
      </c>
      <c r="BE368" s="89" t="str">
        <f>REPLACE(INDEX(GroupVertices[Group],MATCH(Edges[[#This Row],[Vertex 2]],GroupVertices[Vertex],0)),1,1,"")</f>
        <v>3</v>
      </c>
      <c r="BF368" s="49">
        <v>0</v>
      </c>
      <c r="BG368" s="50">
        <v>0</v>
      </c>
      <c r="BH368" s="49">
        <v>0</v>
      </c>
      <c r="BI368" s="50">
        <v>0</v>
      </c>
      <c r="BJ368" s="49">
        <v>0</v>
      </c>
      <c r="BK368" s="50">
        <v>0</v>
      </c>
      <c r="BL368" s="49">
        <v>8</v>
      </c>
      <c r="BM368" s="50">
        <v>100</v>
      </c>
      <c r="BN368" s="49">
        <v>8</v>
      </c>
    </row>
    <row r="369" spans="1:66" ht="15">
      <c r="A369" s="66" t="s">
        <v>293</v>
      </c>
      <c r="B369" s="66" t="s">
        <v>293</v>
      </c>
      <c r="C369" s="67" t="s">
        <v>2109</v>
      </c>
      <c r="D369" s="68">
        <v>10</v>
      </c>
      <c r="E369" s="69" t="s">
        <v>136</v>
      </c>
      <c r="F369" s="70">
        <v>10</v>
      </c>
      <c r="G369" s="67" t="s">
        <v>51</v>
      </c>
      <c r="H369" s="71"/>
      <c r="I369" s="72"/>
      <c r="J369" s="72"/>
      <c r="K369" s="35" t="s">
        <v>65</v>
      </c>
      <c r="L369" s="79">
        <v>369</v>
      </c>
      <c r="M369" s="79"/>
      <c r="N369" s="74"/>
      <c r="O369" s="90" t="s">
        <v>187</v>
      </c>
      <c r="P369" s="93">
        <v>44483.56686342593</v>
      </c>
      <c r="Q369" s="90" t="s">
        <v>328</v>
      </c>
      <c r="R369" s="96" t="str">
        <f>HYPERLINK("https://twitter.com/matiasmakynen/status/1448626251804053506")</f>
        <v>https://twitter.com/matiasmakynen/status/1448626251804053506</v>
      </c>
      <c r="S369" s="90" t="s">
        <v>333</v>
      </c>
      <c r="T369" s="99" t="s">
        <v>338</v>
      </c>
      <c r="U369" s="90"/>
      <c r="V369" s="96" t="str">
        <f>HYPERLINK("https://pbs.twimg.com/profile_images/1448535539880243200/KmRATUa5_normal.jpg")</f>
        <v>https://pbs.twimg.com/profile_images/1448535539880243200/KmRATUa5_normal.jpg</v>
      </c>
      <c r="W369" s="93">
        <v>44483.56686342593</v>
      </c>
      <c r="X369" s="102">
        <v>44483</v>
      </c>
      <c r="Y369" s="99" t="s">
        <v>437</v>
      </c>
      <c r="Z369" s="96" t="str">
        <f>HYPERLINK("https://twitter.com/helsinkigse/status/1448643825103114251")</f>
        <v>https://twitter.com/helsinkigse/status/1448643825103114251</v>
      </c>
      <c r="AA369" s="90"/>
      <c r="AB369" s="90"/>
      <c r="AC369" s="99" t="s">
        <v>531</v>
      </c>
      <c r="AD369" s="90"/>
      <c r="AE369" s="90" t="b">
        <v>0</v>
      </c>
      <c r="AF369" s="90">
        <v>2</v>
      </c>
      <c r="AG369" s="99" t="s">
        <v>535</v>
      </c>
      <c r="AH369" s="90" t="b">
        <v>1</v>
      </c>
      <c r="AI369" s="90" t="s">
        <v>537</v>
      </c>
      <c r="AJ369" s="90"/>
      <c r="AK369" s="99" t="s">
        <v>540</v>
      </c>
      <c r="AL369" s="90" t="b">
        <v>0</v>
      </c>
      <c r="AM369" s="90">
        <v>0</v>
      </c>
      <c r="AN369" s="99" t="s">
        <v>535</v>
      </c>
      <c r="AO369" s="99" t="s">
        <v>542</v>
      </c>
      <c r="AP369" s="90" t="b">
        <v>0</v>
      </c>
      <c r="AQ369" s="99" t="s">
        <v>531</v>
      </c>
      <c r="AR369" s="90" t="s">
        <v>187</v>
      </c>
      <c r="AS369" s="90">
        <v>0</v>
      </c>
      <c r="AT369" s="90">
        <v>0</v>
      </c>
      <c r="AU369" s="90"/>
      <c r="AV369" s="90"/>
      <c r="AW369" s="90"/>
      <c r="AX369" s="90"/>
      <c r="AY369" s="90"/>
      <c r="AZ369" s="90"/>
      <c r="BA369" s="90"/>
      <c r="BB369" s="90"/>
      <c r="BC369" s="90">
        <v>5</v>
      </c>
      <c r="BD369" s="89" t="str">
        <f>REPLACE(INDEX(GroupVertices[Group],MATCH(Edges[[#This Row],[Vertex 1]],GroupVertices[Vertex],0)),1,1,"")</f>
        <v>3</v>
      </c>
      <c r="BE369" s="89" t="str">
        <f>REPLACE(INDEX(GroupVertices[Group],MATCH(Edges[[#This Row],[Vertex 2]],GroupVertices[Vertex],0)),1,1,"")</f>
        <v>3</v>
      </c>
      <c r="BF369" s="49">
        <v>0</v>
      </c>
      <c r="BG369" s="50">
        <v>0</v>
      </c>
      <c r="BH369" s="49">
        <v>0</v>
      </c>
      <c r="BI369" s="50">
        <v>0</v>
      </c>
      <c r="BJ369" s="49">
        <v>0</v>
      </c>
      <c r="BK369" s="50">
        <v>0</v>
      </c>
      <c r="BL369" s="49">
        <v>7</v>
      </c>
      <c r="BM369" s="50">
        <v>100</v>
      </c>
      <c r="BN369" s="49">
        <v>7</v>
      </c>
    </row>
    <row r="370" spans="1:66" ht="15">
      <c r="A370" s="66" t="s">
        <v>293</v>
      </c>
      <c r="B370" s="66" t="s">
        <v>293</v>
      </c>
      <c r="C370" s="67" t="s">
        <v>2109</v>
      </c>
      <c r="D370" s="68">
        <v>10</v>
      </c>
      <c r="E370" s="69" t="s">
        <v>136</v>
      </c>
      <c r="F370" s="70">
        <v>10</v>
      </c>
      <c r="G370" s="67" t="s">
        <v>51</v>
      </c>
      <c r="H370" s="71"/>
      <c r="I370" s="72"/>
      <c r="J370" s="72"/>
      <c r="K370" s="35" t="s">
        <v>65</v>
      </c>
      <c r="L370" s="79">
        <v>370</v>
      </c>
      <c r="M370" s="79"/>
      <c r="N370" s="74"/>
      <c r="O370" s="90" t="s">
        <v>187</v>
      </c>
      <c r="P370" s="93">
        <v>44483.69008101852</v>
      </c>
      <c r="Q370" s="90" t="s">
        <v>329</v>
      </c>
      <c r="R370" s="96" t="str">
        <f>HYPERLINK("https://twitter.com/OPHelsinki/status/1448647975987650570")</f>
        <v>https://twitter.com/OPHelsinki/status/1448647975987650570</v>
      </c>
      <c r="S370" s="90" t="s">
        <v>333</v>
      </c>
      <c r="T370" s="99" t="s">
        <v>338</v>
      </c>
      <c r="U370" s="90"/>
      <c r="V370" s="96" t="str">
        <f>HYPERLINK("https://pbs.twimg.com/profile_images/1448535539880243200/KmRATUa5_normal.jpg")</f>
        <v>https://pbs.twimg.com/profile_images/1448535539880243200/KmRATUa5_normal.jpg</v>
      </c>
      <c r="W370" s="93">
        <v>44483.69008101852</v>
      </c>
      <c r="X370" s="102">
        <v>44483</v>
      </c>
      <c r="Y370" s="99" t="s">
        <v>438</v>
      </c>
      <c r="Z370" s="96" t="str">
        <f>HYPERLINK("https://twitter.com/helsinkigse/status/1448688480666759169")</f>
        <v>https://twitter.com/helsinkigse/status/1448688480666759169</v>
      </c>
      <c r="AA370" s="90"/>
      <c r="AB370" s="90"/>
      <c r="AC370" s="99" t="s">
        <v>532</v>
      </c>
      <c r="AD370" s="90"/>
      <c r="AE370" s="90" t="b">
        <v>0</v>
      </c>
      <c r="AF370" s="90">
        <v>1</v>
      </c>
      <c r="AG370" s="99" t="s">
        <v>535</v>
      </c>
      <c r="AH370" s="90" t="b">
        <v>1</v>
      </c>
      <c r="AI370" s="90" t="s">
        <v>537</v>
      </c>
      <c r="AJ370" s="90"/>
      <c r="AK370" s="99" t="s">
        <v>541</v>
      </c>
      <c r="AL370" s="90" t="b">
        <v>0</v>
      </c>
      <c r="AM370" s="90">
        <v>0</v>
      </c>
      <c r="AN370" s="99" t="s">
        <v>535</v>
      </c>
      <c r="AO370" s="99" t="s">
        <v>542</v>
      </c>
      <c r="AP370" s="90" t="b">
        <v>0</v>
      </c>
      <c r="AQ370" s="99" t="s">
        <v>532</v>
      </c>
      <c r="AR370" s="90" t="s">
        <v>187</v>
      </c>
      <c r="AS370" s="90">
        <v>0</v>
      </c>
      <c r="AT370" s="90">
        <v>0</v>
      </c>
      <c r="AU370" s="90"/>
      <c r="AV370" s="90"/>
      <c r="AW370" s="90"/>
      <c r="AX370" s="90"/>
      <c r="AY370" s="90"/>
      <c r="AZ370" s="90"/>
      <c r="BA370" s="90"/>
      <c r="BB370" s="90"/>
      <c r="BC370" s="90">
        <v>5</v>
      </c>
      <c r="BD370" s="89" t="str">
        <f>REPLACE(INDEX(GroupVertices[Group],MATCH(Edges[[#This Row],[Vertex 1]],GroupVertices[Vertex],0)),1,1,"")</f>
        <v>3</v>
      </c>
      <c r="BE370" s="89" t="str">
        <f>REPLACE(INDEX(GroupVertices[Group],MATCH(Edges[[#This Row],[Vertex 2]],GroupVertices[Vertex],0)),1,1,"")</f>
        <v>3</v>
      </c>
      <c r="BF370" s="49">
        <v>0</v>
      </c>
      <c r="BG370" s="50">
        <v>0</v>
      </c>
      <c r="BH370" s="49">
        <v>0</v>
      </c>
      <c r="BI370" s="50">
        <v>0</v>
      </c>
      <c r="BJ370" s="49">
        <v>0</v>
      </c>
      <c r="BK370" s="50">
        <v>0</v>
      </c>
      <c r="BL370" s="49">
        <v>12</v>
      </c>
      <c r="BM370" s="50">
        <v>100</v>
      </c>
      <c r="BN370" s="49">
        <v>12</v>
      </c>
    </row>
    <row r="371" spans="1:66" ht="15">
      <c r="A371" s="66" t="s">
        <v>293</v>
      </c>
      <c r="B371" s="66" t="s">
        <v>2137</v>
      </c>
      <c r="C371" s="67" t="s">
        <v>2108</v>
      </c>
      <c r="D371" s="68">
        <v>1</v>
      </c>
      <c r="E371" s="69" t="s">
        <v>132</v>
      </c>
      <c r="F371" s="70">
        <v>32</v>
      </c>
      <c r="G371" s="67" t="s">
        <v>51</v>
      </c>
      <c r="H371" s="71"/>
      <c r="I371" s="72"/>
      <c r="J371" s="72"/>
      <c r="K371" s="35" t="s">
        <v>65</v>
      </c>
      <c r="L371" s="79">
        <v>371</v>
      </c>
      <c r="M371" s="79"/>
      <c r="N371" s="74"/>
      <c r="O371" s="90" t="s">
        <v>305</v>
      </c>
      <c r="P371" s="93">
        <v>44483.71480324074</v>
      </c>
      <c r="Q371" s="90" t="s">
        <v>2149</v>
      </c>
      <c r="R371" s="96" t="str">
        <f>HYPERLINK("https://talouskurssi.fi/")</f>
        <v>https://talouskurssi.fi/</v>
      </c>
      <c r="S371" s="90" t="s">
        <v>334</v>
      </c>
      <c r="T371" s="90"/>
      <c r="U371" s="90"/>
      <c r="V371" s="96" t="str">
        <f>HYPERLINK("https://pbs.twimg.com/profile_images/1448535539880243200/KmRATUa5_normal.jpg")</f>
        <v>https://pbs.twimg.com/profile_images/1448535539880243200/KmRATUa5_normal.jpg</v>
      </c>
      <c r="W371" s="93">
        <v>44483.71480324074</v>
      </c>
      <c r="X371" s="102">
        <v>44483</v>
      </c>
      <c r="Y371" s="99" t="s">
        <v>2198</v>
      </c>
      <c r="Z371" s="96" t="str">
        <f>HYPERLINK("https://twitter.com/helsinkigse/status/1448697438705963016")</f>
        <v>https://twitter.com/helsinkigse/status/1448697438705963016</v>
      </c>
      <c r="AA371" s="90"/>
      <c r="AB371" s="90"/>
      <c r="AC371" s="99" t="s">
        <v>2242</v>
      </c>
      <c r="AD371" s="90"/>
      <c r="AE371" s="90" t="b">
        <v>0</v>
      </c>
      <c r="AF371" s="90">
        <v>0</v>
      </c>
      <c r="AG371" s="99" t="s">
        <v>535</v>
      </c>
      <c r="AH371" s="90" t="b">
        <v>0</v>
      </c>
      <c r="AI371" s="90" t="s">
        <v>537</v>
      </c>
      <c r="AJ371" s="90"/>
      <c r="AK371" s="99" t="s">
        <v>535</v>
      </c>
      <c r="AL371" s="90" t="b">
        <v>0</v>
      </c>
      <c r="AM371" s="90">
        <v>3</v>
      </c>
      <c r="AN371" s="99" t="s">
        <v>2243</v>
      </c>
      <c r="AO371" s="99" t="s">
        <v>542</v>
      </c>
      <c r="AP371" s="90" t="b">
        <v>0</v>
      </c>
      <c r="AQ371" s="99" t="s">
        <v>2243</v>
      </c>
      <c r="AR371" s="90" t="s">
        <v>187</v>
      </c>
      <c r="AS371" s="90">
        <v>0</v>
      </c>
      <c r="AT371" s="90">
        <v>0</v>
      </c>
      <c r="AU371" s="90"/>
      <c r="AV371" s="90"/>
      <c r="AW371" s="90"/>
      <c r="AX371" s="90"/>
      <c r="AY371" s="90"/>
      <c r="AZ371" s="90"/>
      <c r="BA371" s="90"/>
      <c r="BB371" s="90"/>
      <c r="BC371" s="90">
        <v>1</v>
      </c>
      <c r="BD371" s="89" t="str">
        <f>REPLACE(INDEX(GroupVertices[Group],MATCH(Edges[[#This Row],[Vertex 1]],GroupVertices[Vertex],0)),1,1,"")</f>
        <v>3</v>
      </c>
      <c r="BE371" s="89" t="str">
        <f>REPLACE(INDEX(GroupVertices[Group],MATCH(Edges[[#This Row],[Vertex 2]],GroupVertices[Vertex],0)),1,1,"")</f>
        <v>3</v>
      </c>
      <c r="BF371" s="49">
        <v>0</v>
      </c>
      <c r="BG371" s="50">
        <v>0</v>
      </c>
      <c r="BH371" s="49">
        <v>0</v>
      </c>
      <c r="BI371" s="50">
        <v>0</v>
      </c>
      <c r="BJ371" s="49">
        <v>0</v>
      </c>
      <c r="BK371" s="50">
        <v>0</v>
      </c>
      <c r="BL371" s="49">
        <v>21</v>
      </c>
      <c r="BM371" s="50">
        <v>100</v>
      </c>
      <c r="BN371" s="49">
        <v>21</v>
      </c>
    </row>
    <row r="372" spans="1:66" ht="15">
      <c r="A372" s="66" t="s">
        <v>2136</v>
      </c>
      <c r="B372" s="66" t="s">
        <v>293</v>
      </c>
      <c r="C372" s="67" t="s">
        <v>2108</v>
      </c>
      <c r="D372" s="68">
        <v>1</v>
      </c>
      <c r="E372" s="69" t="s">
        <v>132</v>
      </c>
      <c r="F372" s="70">
        <v>32</v>
      </c>
      <c r="G372" s="67" t="s">
        <v>51</v>
      </c>
      <c r="H372" s="71"/>
      <c r="I372" s="72"/>
      <c r="J372" s="72"/>
      <c r="K372" s="35" t="s">
        <v>65</v>
      </c>
      <c r="L372" s="79">
        <v>372</v>
      </c>
      <c r="M372" s="79"/>
      <c r="N372" s="74"/>
      <c r="O372" s="90" t="s">
        <v>306</v>
      </c>
      <c r="P372" s="93">
        <v>44483.732303240744</v>
      </c>
      <c r="Q372" s="90" t="s">
        <v>2139</v>
      </c>
      <c r="R372" s="96" t="str">
        <f>HYPERLINK("https://talouskurssi.fi/?fbclid=IwAR3lQxACK6cI50BBFObd0zCsOMC4Cq1tFNNNCY5sktWLRNSCs13ALYuQ2cg")</f>
        <v>https://talouskurssi.fi/?fbclid=IwAR3lQxACK6cI50BBFObd0zCsOMC4Cq1tFNNNCY5sktWLRNSCs13ALYuQ2cg</v>
      </c>
      <c r="S372" s="90" t="s">
        <v>334</v>
      </c>
      <c r="T372" s="90"/>
      <c r="U372" s="90"/>
      <c r="V372" s="96" t="str">
        <f>HYPERLINK("https://pbs.twimg.com/profile_images/1173585256689147912/iH8ef8Bl_normal.jpg")</f>
        <v>https://pbs.twimg.com/profile_images/1173585256689147912/iH8ef8Bl_normal.jpg</v>
      </c>
      <c r="W372" s="93">
        <v>44483.732303240744</v>
      </c>
      <c r="X372" s="102">
        <v>44483</v>
      </c>
      <c r="Y372" s="99" t="s">
        <v>2197</v>
      </c>
      <c r="Z372" s="96" t="str">
        <f>HYPERLINK("https://twitter.com/msaariaho/status/1448703782175580163")</f>
        <v>https://twitter.com/msaariaho/status/1448703782175580163</v>
      </c>
      <c r="AA372" s="90"/>
      <c r="AB372" s="90"/>
      <c r="AC372" s="99" t="s">
        <v>2241</v>
      </c>
      <c r="AD372" s="90"/>
      <c r="AE372" s="90" t="b">
        <v>0</v>
      </c>
      <c r="AF372" s="90">
        <v>0</v>
      </c>
      <c r="AG372" s="99" t="s">
        <v>535</v>
      </c>
      <c r="AH372" s="90" t="b">
        <v>0</v>
      </c>
      <c r="AI372" s="90" t="s">
        <v>537</v>
      </c>
      <c r="AJ372" s="90"/>
      <c r="AK372" s="99" t="s">
        <v>535</v>
      </c>
      <c r="AL372" s="90" t="b">
        <v>0</v>
      </c>
      <c r="AM372" s="90">
        <v>7</v>
      </c>
      <c r="AN372" s="99" t="s">
        <v>2239</v>
      </c>
      <c r="AO372" s="99" t="s">
        <v>543</v>
      </c>
      <c r="AP372" s="90" t="b">
        <v>0</v>
      </c>
      <c r="AQ372" s="99" t="s">
        <v>2239</v>
      </c>
      <c r="AR372" s="90" t="s">
        <v>187</v>
      </c>
      <c r="AS372" s="90">
        <v>0</v>
      </c>
      <c r="AT372" s="90">
        <v>0</v>
      </c>
      <c r="AU372" s="90"/>
      <c r="AV372" s="90"/>
      <c r="AW372" s="90"/>
      <c r="AX372" s="90"/>
      <c r="AY372" s="90"/>
      <c r="AZ372" s="90"/>
      <c r="BA372" s="90"/>
      <c r="BB372" s="90"/>
      <c r="BC372" s="90">
        <v>1</v>
      </c>
      <c r="BD372" s="89" t="str">
        <f>REPLACE(INDEX(GroupVertices[Group],MATCH(Edges[[#This Row],[Vertex 1]],GroupVertices[Vertex],0)),1,1,"")</f>
        <v>2</v>
      </c>
      <c r="BE372" s="89" t="str">
        <f>REPLACE(INDEX(GroupVertices[Group],MATCH(Edges[[#This Row],[Vertex 2]],GroupVertices[Vertex],0)),1,1,"")</f>
        <v>3</v>
      </c>
      <c r="BF372" s="49"/>
      <c r="BG372" s="50"/>
      <c r="BH372" s="49"/>
      <c r="BI372" s="50"/>
      <c r="BJ372" s="49"/>
      <c r="BK372" s="50"/>
      <c r="BL372" s="49"/>
      <c r="BM372" s="50"/>
      <c r="BN372" s="49"/>
    </row>
    <row r="373" spans="1:66" ht="15">
      <c r="A373" s="66" t="s">
        <v>2136</v>
      </c>
      <c r="B373" s="66" t="s">
        <v>2135</v>
      </c>
      <c r="C373" s="67" t="s">
        <v>2108</v>
      </c>
      <c r="D373" s="68">
        <v>1</v>
      </c>
      <c r="E373" s="69" t="s">
        <v>132</v>
      </c>
      <c r="F373" s="70">
        <v>32</v>
      </c>
      <c r="G373" s="67" t="s">
        <v>51</v>
      </c>
      <c r="H373" s="71"/>
      <c r="I373" s="72"/>
      <c r="J373" s="72"/>
      <c r="K373" s="35" t="s">
        <v>65</v>
      </c>
      <c r="L373" s="79">
        <v>373</v>
      </c>
      <c r="M373" s="79"/>
      <c r="N373" s="74"/>
      <c r="O373" s="90" t="s">
        <v>305</v>
      </c>
      <c r="P373" s="93">
        <v>44483.732303240744</v>
      </c>
      <c r="Q373" s="90" t="s">
        <v>2139</v>
      </c>
      <c r="R373" s="96" t="str">
        <f>HYPERLINK("https://talouskurssi.fi/?fbclid=IwAR3lQxACK6cI50BBFObd0zCsOMC4Cq1tFNNNCY5sktWLRNSCs13ALYuQ2cg")</f>
        <v>https://talouskurssi.fi/?fbclid=IwAR3lQxACK6cI50BBFObd0zCsOMC4Cq1tFNNNCY5sktWLRNSCs13ALYuQ2cg</v>
      </c>
      <c r="S373" s="90" t="s">
        <v>334</v>
      </c>
      <c r="T373" s="90"/>
      <c r="U373" s="90"/>
      <c r="V373" s="96" t="str">
        <f>HYPERLINK("https://pbs.twimg.com/profile_images/1173585256689147912/iH8ef8Bl_normal.jpg")</f>
        <v>https://pbs.twimg.com/profile_images/1173585256689147912/iH8ef8Bl_normal.jpg</v>
      </c>
      <c r="W373" s="93">
        <v>44483.732303240744</v>
      </c>
      <c r="X373" s="102">
        <v>44483</v>
      </c>
      <c r="Y373" s="99" t="s">
        <v>2197</v>
      </c>
      <c r="Z373" s="96" t="str">
        <f>HYPERLINK("https://twitter.com/msaariaho/status/1448703782175580163")</f>
        <v>https://twitter.com/msaariaho/status/1448703782175580163</v>
      </c>
      <c r="AA373" s="90"/>
      <c r="AB373" s="90"/>
      <c r="AC373" s="99" t="s">
        <v>2241</v>
      </c>
      <c r="AD373" s="90"/>
      <c r="AE373" s="90" t="b">
        <v>0</v>
      </c>
      <c r="AF373" s="90">
        <v>0</v>
      </c>
      <c r="AG373" s="99" t="s">
        <v>535</v>
      </c>
      <c r="AH373" s="90" t="b">
        <v>0</v>
      </c>
      <c r="AI373" s="90" t="s">
        <v>537</v>
      </c>
      <c r="AJ373" s="90"/>
      <c r="AK373" s="99" t="s">
        <v>535</v>
      </c>
      <c r="AL373" s="90" t="b">
        <v>0</v>
      </c>
      <c r="AM373" s="90">
        <v>7</v>
      </c>
      <c r="AN373" s="99" t="s">
        <v>2239</v>
      </c>
      <c r="AO373" s="99" t="s">
        <v>543</v>
      </c>
      <c r="AP373" s="90" t="b">
        <v>0</v>
      </c>
      <c r="AQ373" s="99" t="s">
        <v>2239</v>
      </c>
      <c r="AR373" s="90" t="s">
        <v>187</v>
      </c>
      <c r="AS373" s="90">
        <v>0</v>
      </c>
      <c r="AT373" s="90">
        <v>0</v>
      </c>
      <c r="AU373" s="90"/>
      <c r="AV373" s="90"/>
      <c r="AW373" s="90"/>
      <c r="AX373" s="90"/>
      <c r="AY373" s="90"/>
      <c r="AZ373" s="90"/>
      <c r="BA373" s="90"/>
      <c r="BB373" s="90"/>
      <c r="BC373" s="90">
        <v>1</v>
      </c>
      <c r="BD373" s="89" t="str">
        <f>REPLACE(INDEX(GroupVertices[Group],MATCH(Edges[[#This Row],[Vertex 1]],GroupVertices[Vertex],0)),1,1,"")</f>
        <v>2</v>
      </c>
      <c r="BE373" s="89" t="str">
        <f>REPLACE(INDEX(GroupVertices[Group],MATCH(Edges[[#This Row],[Vertex 2]],GroupVertices[Vertex],0)),1,1,"")</f>
        <v>2</v>
      </c>
      <c r="BF373" s="49">
        <v>0</v>
      </c>
      <c r="BG373" s="50">
        <v>0</v>
      </c>
      <c r="BH373" s="49">
        <v>0</v>
      </c>
      <c r="BI373" s="50">
        <v>0</v>
      </c>
      <c r="BJ373" s="49">
        <v>0</v>
      </c>
      <c r="BK373" s="50">
        <v>0</v>
      </c>
      <c r="BL373" s="49">
        <v>22</v>
      </c>
      <c r="BM373" s="50">
        <v>100</v>
      </c>
      <c r="BN373" s="49">
        <v>22</v>
      </c>
    </row>
    <row r="374" spans="1:66" ht="15">
      <c r="A374" s="66" t="s">
        <v>2137</v>
      </c>
      <c r="B374" s="66" t="s">
        <v>2137</v>
      </c>
      <c r="C374" s="67" t="s">
        <v>2108</v>
      </c>
      <c r="D374" s="68">
        <v>1</v>
      </c>
      <c r="E374" s="69" t="s">
        <v>132</v>
      </c>
      <c r="F374" s="70">
        <v>32</v>
      </c>
      <c r="G374" s="67" t="s">
        <v>51</v>
      </c>
      <c r="H374" s="71"/>
      <c r="I374" s="72"/>
      <c r="J374" s="72"/>
      <c r="K374" s="35" t="s">
        <v>65</v>
      </c>
      <c r="L374" s="79">
        <v>374</v>
      </c>
      <c r="M374" s="79"/>
      <c r="N374" s="74"/>
      <c r="O374" s="90" t="s">
        <v>187</v>
      </c>
      <c r="P374" s="93">
        <v>44483.553773148145</v>
      </c>
      <c r="Q374" s="90" t="s">
        <v>2149</v>
      </c>
      <c r="R374" s="96" t="str">
        <f>HYPERLINK("https://talouskurssi.fi/")</f>
        <v>https://talouskurssi.fi/</v>
      </c>
      <c r="S374" s="90" t="s">
        <v>334</v>
      </c>
      <c r="T374" s="90"/>
      <c r="U374" s="90"/>
      <c r="V374" s="96" t="str">
        <f>HYPERLINK("https://pbs.twimg.com/profile_images/1166315081543626752/mlmcJ4Hw_normal.jpg")</f>
        <v>https://pbs.twimg.com/profile_images/1166315081543626752/mlmcJ4Hw_normal.jpg</v>
      </c>
      <c r="W374" s="93">
        <v>44483.553773148145</v>
      </c>
      <c r="X374" s="102">
        <v>44483</v>
      </c>
      <c r="Y374" s="99" t="s">
        <v>2199</v>
      </c>
      <c r="Z374" s="96" t="str">
        <f>HYPERLINK("https://twitter.com/patriziolaina/status/1448639082658140165")</f>
        <v>https://twitter.com/patriziolaina/status/1448639082658140165</v>
      </c>
      <c r="AA374" s="90"/>
      <c r="AB374" s="90"/>
      <c r="AC374" s="99" t="s">
        <v>2243</v>
      </c>
      <c r="AD374" s="90"/>
      <c r="AE374" s="90" t="b">
        <v>0</v>
      </c>
      <c r="AF374" s="90">
        <v>18</v>
      </c>
      <c r="AG374" s="99" t="s">
        <v>535</v>
      </c>
      <c r="AH374" s="90" t="b">
        <v>0</v>
      </c>
      <c r="AI374" s="90" t="s">
        <v>537</v>
      </c>
      <c r="AJ374" s="90"/>
      <c r="AK374" s="99" t="s">
        <v>535</v>
      </c>
      <c r="AL374" s="90" t="b">
        <v>0</v>
      </c>
      <c r="AM374" s="90">
        <v>3</v>
      </c>
      <c r="AN374" s="99" t="s">
        <v>535</v>
      </c>
      <c r="AO374" s="99" t="s">
        <v>542</v>
      </c>
      <c r="AP374" s="90" t="b">
        <v>0</v>
      </c>
      <c r="AQ374" s="99" t="s">
        <v>2243</v>
      </c>
      <c r="AR374" s="90" t="s">
        <v>187</v>
      </c>
      <c r="AS374" s="90">
        <v>0</v>
      </c>
      <c r="AT374" s="90">
        <v>0</v>
      </c>
      <c r="AU374" s="90"/>
      <c r="AV374" s="90"/>
      <c r="AW374" s="90"/>
      <c r="AX374" s="90"/>
      <c r="AY374" s="90"/>
      <c r="AZ374" s="90"/>
      <c r="BA374" s="90"/>
      <c r="BB374" s="90"/>
      <c r="BC374" s="90">
        <v>1</v>
      </c>
      <c r="BD374" s="89" t="str">
        <f>REPLACE(INDEX(GroupVertices[Group],MATCH(Edges[[#This Row],[Vertex 1]],GroupVertices[Vertex],0)),1,1,"")</f>
        <v>3</v>
      </c>
      <c r="BE374" s="89" t="str">
        <f>REPLACE(INDEX(GroupVertices[Group],MATCH(Edges[[#This Row],[Vertex 2]],GroupVertices[Vertex],0)),1,1,"")</f>
        <v>3</v>
      </c>
      <c r="BF374" s="49">
        <v>0</v>
      </c>
      <c r="BG374" s="50">
        <v>0</v>
      </c>
      <c r="BH374" s="49">
        <v>0</v>
      </c>
      <c r="BI374" s="50">
        <v>0</v>
      </c>
      <c r="BJ374" s="49">
        <v>0</v>
      </c>
      <c r="BK374" s="50">
        <v>0</v>
      </c>
      <c r="BL374" s="49">
        <v>21</v>
      </c>
      <c r="BM374" s="50">
        <v>100</v>
      </c>
      <c r="BN374" s="49">
        <v>21</v>
      </c>
    </row>
    <row r="375" spans="1:66" ht="15">
      <c r="A375" s="80" t="s">
        <v>2138</v>
      </c>
      <c r="B375" s="80" t="s">
        <v>2137</v>
      </c>
      <c r="C375" s="81" t="s">
        <v>2108</v>
      </c>
      <c r="D375" s="82">
        <v>1</v>
      </c>
      <c r="E375" s="83" t="s">
        <v>132</v>
      </c>
      <c r="F375" s="84">
        <v>32</v>
      </c>
      <c r="G375" s="81" t="s">
        <v>51</v>
      </c>
      <c r="H375" s="85"/>
      <c r="I375" s="86"/>
      <c r="J375" s="86"/>
      <c r="K375" s="35" t="s">
        <v>65</v>
      </c>
      <c r="L375" s="87">
        <v>375</v>
      </c>
      <c r="M375" s="87"/>
      <c r="N375" s="88"/>
      <c r="O375" s="91" t="s">
        <v>305</v>
      </c>
      <c r="P375" s="94">
        <v>44483.73575231482</v>
      </c>
      <c r="Q375" s="91" t="s">
        <v>2149</v>
      </c>
      <c r="R375" s="97" t="str">
        <f>HYPERLINK("https://talouskurssi.fi/")</f>
        <v>https://talouskurssi.fi/</v>
      </c>
      <c r="S375" s="91" t="s">
        <v>334</v>
      </c>
      <c r="T375" s="91"/>
      <c r="U375" s="91"/>
      <c r="V375" s="97" t="str">
        <f>HYPERLINK("https://pbs.twimg.com/profile_images/1288715735003475970/lLZT3WlP_normal.jpg")</f>
        <v>https://pbs.twimg.com/profile_images/1288715735003475970/lLZT3WlP_normal.jpg</v>
      </c>
      <c r="W375" s="94">
        <v>44483.73575231482</v>
      </c>
      <c r="X375" s="103">
        <v>44483</v>
      </c>
      <c r="Y375" s="100" t="s">
        <v>2200</v>
      </c>
      <c r="Z375" s="97" t="str">
        <f>HYPERLINK("https://twitter.com/eijaniskanen1/status/1448705029662289920")</f>
        <v>https://twitter.com/eijaniskanen1/status/1448705029662289920</v>
      </c>
      <c r="AA375" s="91"/>
      <c r="AB375" s="91"/>
      <c r="AC375" s="100" t="s">
        <v>2244</v>
      </c>
      <c r="AD375" s="91"/>
      <c r="AE375" s="91" t="b">
        <v>0</v>
      </c>
      <c r="AF375" s="91">
        <v>0</v>
      </c>
      <c r="AG375" s="100" t="s">
        <v>535</v>
      </c>
      <c r="AH375" s="91" t="b">
        <v>0</v>
      </c>
      <c r="AI375" s="91" t="s">
        <v>537</v>
      </c>
      <c r="AJ375" s="91"/>
      <c r="AK375" s="100" t="s">
        <v>535</v>
      </c>
      <c r="AL375" s="91" t="b">
        <v>0</v>
      </c>
      <c r="AM375" s="91">
        <v>3</v>
      </c>
      <c r="AN375" s="100" t="s">
        <v>2243</v>
      </c>
      <c r="AO375" s="100" t="s">
        <v>545</v>
      </c>
      <c r="AP375" s="91" t="b">
        <v>0</v>
      </c>
      <c r="AQ375" s="100" t="s">
        <v>2243</v>
      </c>
      <c r="AR375" s="91" t="s">
        <v>187</v>
      </c>
      <c r="AS375" s="91">
        <v>0</v>
      </c>
      <c r="AT375" s="91">
        <v>0</v>
      </c>
      <c r="AU375" s="91"/>
      <c r="AV375" s="91"/>
      <c r="AW375" s="91"/>
      <c r="AX375" s="91"/>
      <c r="AY375" s="91"/>
      <c r="AZ375" s="91"/>
      <c r="BA375" s="91"/>
      <c r="BB375" s="91"/>
      <c r="BC375" s="91">
        <v>1</v>
      </c>
      <c r="BD375" s="89" t="str">
        <f>REPLACE(INDEX(GroupVertices[Group],MATCH(Edges[[#This Row],[Vertex 1]],GroupVertices[Vertex],0)),1,1,"")</f>
        <v>3</v>
      </c>
      <c r="BE375" s="89" t="str">
        <f>REPLACE(INDEX(GroupVertices[Group],MATCH(Edges[[#This Row],[Vertex 2]],GroupVertices[Vertex],0)),1,1,"")</f>
        <v>3</v>
      </c>
      <c r="BF375" s="49">
        <v>0</v>
      </c>
      <c r="BG375" s="50">
        <v>0</v>
      </c>
      <c r="BH375" s="49">
        <v>0</v>
      </c>
      <c r="BI375" s="50">
        <v>0</v>
      </c>
      <c r="BJ375" s="49">
        <v>0</v>
      </c>
      <c r="BK375" s="50">
        <v>0</v>
      </c>
      <c r="BL375" s="49">
        <v>21</v>
      </c>
      <c r="BM375" s="50">
        <v>100</v>
      </c>
      <c r="BN375"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4074-C80A-477E-BC21-17E002E0DBE6}">
  <dimension ref="A1:C312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1079</v>
      </c>
      <c r="B1" s="13" t="s">
        <v>921</v>
      </c>
      <c r="C1" s="13" t="s">
        <v>199</v>
      </c>
    </row>
    <row r="2" spans="1:3" ht="15">
      <c r="A2" s="89" t="s">
        <v>2138</v>
      </c>
      <c r="B2" s="89" t="s">
        <v>2439</v>
      </c>
      <c r="C2" s="98" t="s">
        <v>2244</v>
      </c>
    </row>
    <row r="3" spans="1:3" ht="15">
      <c r="A3" s="90" t="s">
        <v>2138</v>
      </c>
      <c r="B3" s="89" t="s">
        <v>945</v>
      </c>
      <c r="C3" s="98" t="s">
        <v>2244</v>
      </c>
    </row>
    <row r="4" spans="1:3" ht="15">
      <c r="A4" s="90" t="s">
        <v>2138</v>
      </c>
      <c r="B4" s="89" t="s">
        <v>338</v>
      </c>
      <c r="C4" s="98" t="s">
        <v>2244</v>
      </c>
    </row>
    <row r="5" spans="1:3" ht="15">
      <c r="A5" s="90" t="s">
        <v>2138</v>
      </c>
      <c r="B5" s="89" t="s">
        <v>2407</v>
      </c>
      <c r="C5" s="98" t="s">
        <v>2244</v>
      </c>
    </row>
    <row r="6" spans="1:3" ht="15">
      <c r="A6" s="90" t="s">
        <v>2138</v>
      </c>
      <c r="B6" s="89" t="s">
        <v>1027</v>
      </c>
      <c r="C6" s="98" t="s">
        <v>2244</v>
      </c>
    </row>
    <row r="7" spans="1:3" ht="15">
      <c r="A7" s="90" t="s">
        <v>2138</v>
      </c>
      <c r="B7" s="89" t="s">
        <v>2440</v>
      </c>
      <c r="C7" s="98" t="s">
        <v>2244</v>
      </c>
    </row>
    <row r="8" spans="1:3" ht="15">
      <c r="A8" s="90" t="s">
        <v>2138</v>
      </c>
      <c r="B8" s="89" t="s">
        <v>2408</v>
      </c>
      <c r="C8" s="98" t="s">
        <v>2244</v>
      </c>
    </row>
    <row r="9" spans="1:3" ht="15">
      <c r="A9" s="90" t="s">
        <v>2138</v>
      </c>
      <c r="B9" s="89" t="s">
        <v>2409</v>
      </c>
      <c r="C9" s="98" t="s">
        <v>2244</v>
      </c>
    </row>
    <row r="10" spans="1:3" ht="15">
      <c r="A10" s="90" t="s">
        <v>2138</v>
      </c>
      <c r="B10" s="89" t="s">
        <v>2441</v>
      </c>
      <c r="C10" s="98" t="s">
        <v>2244</v>
      </c>
    </row>
    <row r="11" spans="1:3" ht="15">
      <c r="A11" s="90" t="s">
        <v>2138</v>
      </c>
      <c r="B11" s="89" t="s">
        <v>2411</v>
      </c>
      <c r="C11" s="98" t="s">
        <v>2244</v>
      </c>
    </row>
    <row r="12" spans="1:3" ht="15">
      <c r="A12" s="90" t="s">
        <v>2138</v>
      </c>
      <c r="B12" s="89" t="s">
        <v>2442</v>
      </c>
      <c r="C12" s="98" t="s">
        <v>2244</v>
      </c>
    </row>
    <row r="13" spans="1:3" ht="15">
      <c r="A13" s="90" t="s">
        <v>2138</v>
      </c>
      <c r="B13" s="89" t="s">
        <v>2413</v>
      </c>
      <c r="C13" s="98" t="s">
        <v>2244</v>
      </c>
    </row>
    <row r="14" spans="1:3" ht="15">
      <c r="A14" s="90" t="s">
        <v>2138</v>
      </c>
      <c r="B14" s="89" t="s">
        <v>2414</v>
      </c>
      <c r="C14" s="98" t="s">
        <v>2244</v>
      </c>
    </row>
    <row r="15" spans="1:3" ht="15">
      <c r="A15" s="90" t="s">
        <v>2138</v>
      </c>
      <c r="B15" s="89" t="s">
        <v>1159</v>
      </c>
      <c r="C15" s="98" t="s">
        <v>2244</v>
      </c>
    </row>
    <row r="16" spans="1:3" ht="15">
      <c r="A16" s="90" t="s">
        <v>2138</v>
      </c>
      <c r="B16" s="89" t="s">
        <v>2415</v>
      </c>
      <c r="C16" s="98" t="s">
        <v>2244</v>
      </c>
    </row>
    <row r="17" spans="1:3" ht="15">
      <c r="A17" s="90" t="s">
        <v>2138</v>
      </c>
      <c r="B17" s="89" t="s">
        <v>2416</v>
      </c>
      <c r="C17" s="98" t="s">
        <v>2244</v>
      </c>
    </row>
    <row r="18" spans="1:3" ht="15">
      <c r="A18" s="90" t="s">
        <v>2138</v>
      </c>
      <c r="B18" s="89" t="s">
        <v>1087</v>
      </c>
      <c r="C18" s="98" t="s">
        <v>2244</v>
      </c>
    </row>
    <row r="19" spans="1:3" ht="15">
      <c r="A19" s="90" t="s">
        <v>2138</v>
      </c>
      <c r="B19" s="89" t="s">
        <v>2417</v>
      </c>
      <c r="C19" s="98" t="s">
        <v>2244</v>
      </c>
    </row>
    <row r="20" spans="1:3" ht="15">
      <c r="A20" s="90" t="s">
        <v>2138</v>
      </c>
      <c r="B20" s="89" t="s">
        <v>2418</v>
      </c>
      <c r="C20" s="98" t="s">
        <v>2244</v>
      </c>
    </row>
    <row r="21" spans="1:3" ht="15">
      <c r="A21" s="90" t="s">
        <v>2138</v>
      </c>
      <c r="B21" s="89" t="s">
        <v>2419</v>
      </c>
      <c r="C21" s="98" t="s">
        <v>2244</v>
      </c>
    </row>
    <row r="22" spans="1:3" ht="15">
      <c r="A22" s="90" t="s">
        <v>2138</v>
      </c>
      <c r="B22" s="89" t="s">
        <v>1664</v>
      </c>
      <c r="C22" s="98" t="s">
        <v>2244</v>
      </c>
    </row>
    <row r="23" spans="1:3" ht="15">
      <c r="A23" s="90" t="s">
        <v>2136</v>
      </c>
      <c r="B23" s="89" t="s">
        <v>2443</v>
      </c>
      <c r="C23" s="98" t="s">
        <v>2241</v>
      </c>
    </row>
    <row r="24" spans="1:3" ht="15">
      <c r="A24" s="90" t="s">
        <v>2136</v>
      </c>
      <c r="B24" s="89" t="s">
        <v>1048</v>
      </c>
      <c r="C24" s="98" t="s">
        <v>2241</v>
      </c>
    </row>
    <row r="25" spans="1:3" ht="15">
      <c r="A25" s="90" t="s">
        <v>2136</v>
      </c>
      <c r="B25" s="89" t="s">
        <v>2380</v>
      </c>
      <c r="C25" s="98" t="s">
        <v>2241</v>
      </c>
    </row>
    <row r="26" spans="1:3" ht="15">
      <c r="A26" s="90" t="s">
        <v>2136</v>
      </c>
      <c r="B26" s="89" t="s">
        <v>1087</v>
      </c>
      <c r="C26" s="98" t="s">
        <v>2241</v>
      </c>
    </row>
    <row r="27" spans="1:3" ht="15">
      <c r="A27" s="90" t="s">
        <v>2136</v>
      </c>
      <c r="B27" s="89" t="s">
        <v>2381</v>
      </c>
      <c r="C27" s="98" t="s">
        <v>2241</v>
      </c>
    </row>
    <row r="28" spans="1:3" ht="15">
      <c r="A28" s="90" t="s">
        <v>2136</v>
      </c>
      <c r="B28" s="89" t="s">
        <v>2382</v>
      </c>
      <c r="C28" s="98" t="s">
        <v>2241</v>
      </c>
    </row>
    <row r="29" spans="1:3" ht="15">
      <c r="A29" s="90" t="s">
        <v>2136</v>
      </c>
      <c r="B29" s="89" t="s">
        <v>2383</v>
      </c>
      <c r="C29" s="98" t="s">
        <v>2241</v>
      </c>
    </row>
    <row r="30" spans="1:3" ht="15">
      <c r="A30" s="90" t="s">
        <v>2136</v>
      </c>
      <c r="B30" s="89" t="s">
        <v>1200</v>
      </c>
      <c r="C30" s="98" t="s">
        <v>2241</v>
      </c>
    </row>
    <row r="31" spans="1:3" ht="15">
      <c r="A31" s="90" t="s">
        <v>2136</v>
      </c>
      <c r="B31" s="89" t="s">
        <v>2384</v>
      </c>
      <c r="C31" s="98" t="s">
        <v>2241</v>
      </c>
    </row>
    <row r="32" spans="1:3" ht="15">
      <c r="A32" s="90" t="s">
        <v>2136</v>
      </c>
      <c r="B32" s="89" t="s">
        <v>2385</v>
      </c>
      <c r="C32" s="98" t="s">
        <v>2241</v>
      </c>
    </row>
    <row r="33" spans="1:3" ht="15">
      <c r="A33" s="90" t="s">
        <v>2136</v>
      </c>
      <c r="B33" s="89" t="s">
        <v>949</v>
      </c>
      <c r="C33" s="98" t="s">
        <v>2241</v>
      </c>
    </row>
    <row r="34" spans="1:3" ht="15">
      <c r="A34" s="90" t="s">
        <v>2136</v>
      </c>
      <c r="B34" s="89" t="s">
        <v>2386</v>
      </c>
      <c r="C34" s="98" t="s">
        <v>2241</v>
      </c>
    </row>
    <row r="35" spans="1:3" ht="15">
      <c r="A35" s="90" t="s">
        <v>2136</v>
      </c>
      <c r="B35" s="89" t="s">
        <v>2387</v>
      </c>
      <c r="C35" s="98" t="s">
        <v>2241</v>
      </c>
    </row>
    <row r="36" spans="1:3" ht="15">
      <c r="A36" s="90" t="s">
        <v>2136</v>
      </c>
      <c r="B36" s="89" t="s">
        <v>2444</v>
      </c>
      <c r="C36" s="98" t="s">
        <v>2241</v>
      </c>
    </row>
    <row r="37" spans="1:3" ht="15">
      <c r="A37" s="90" t="s">
        <v>2136</v>
      </c>
      <c r="B37" s="89" t="s">
        <v>2389</v>
      </c>
      <c r="C37" s="98" t="s">
        <v>2241</v>
      </c>
    </row>
    <row r="38" spans="1:3" ht="15">
      <c r="A38" s="90" t="s">
        <v>2136</v>
      </c>
      <c r="B38" s="89" t="s">
        <v>2390</v>
      </c>
      <c r="C38" s="98" t="s">
        <v>2241</v>
      </c>
    </row>
    <row r="39" spans="1:3" ht="15">
      <c r="A39" s="90" t="s">
        <v>2136</v>
      </c>
      <c r="B39" s="89" t="s">
        <v>1568</v>
      </c>
      <c r="C39" s="98" t="s">
        <v>2241</v>
      </c>
    </row>
    <row r="40" spans="1:3" ht="15">
      <c r="A40" s="90" t="s">
        <v>2136</v>
      </c>
      <c r="B40" s="89" t="s">
        <v>1153</v>
      </c>
      <c r="C40" s="98" t="s">
        <v>2241</v>
      </c>
    </row>
    <row r="41" spans="1:3" ht="15">
      <c r="A41" s="90" t="s">
        <v>2136</v>
      </c>
      <c r="B41" s="89" t="s">
        <v>1097</v>
      </c>
      <c r="C41" s="98" t="s">
        <v>2241</v>
      </c>
    </row>
    <row r="42" spans="1:3" ht="15">
      <c r="A42" s="90" t="s">
        <v>2136</v>
      </c>
      <c r="B42" s="89" t="s">
        <v>299</v>
      </c>
      <c r="C42" s="98" t="s">
        <v>2241</v>
      </c>
    </row>
    <row r="43" spans="1:3" ht="15">
      <c r="A43" s="90" t="s">
        <v>2136</v>
      </c>
      <c r="B43" s="89" t="s">
        <v>1155</v>
      </c>
      <c r="C43" s="98" t="s">
        <v>2241</v>
      </c>
    </row>
    <row r="44" spans="1:3" ht="15">
      <c r="A44" s="90" t="s">
        <v>2136</v>
      </c>
      <c r="B44" s="89" t="s">
        <v>1101</v>
      </c>
      <c r="C44" s="98" t="s">
        <v>2241</v>
      </c>
    </row>
    <row r="45" spans="1:3" ht="15">
      <c r="A45" s="90" t="s">
        <v>273</v>
      </c>
      <c r="B45" s="89" t="s">
        <v>2445</v>
      </c>
      <c r="C45" s="98" t="s">
        <v>2238</v>
      </c>
    </row>
    <row r="46" spans="1:3" ht="15">
      <c r="A46" s="90" t="s">
        <v>273</v>
      </c>
      <c r="B46" s="89" t="s">
        <v>2446</v>
      </c>
      <c r="C46" s="98" t="s">
        <v>2238</v>
      </c>
    </row>
    <row r="47" spans="1:3" ht="15">
      <c r="A47" s="90" t="s">
        <v>273</v>
      </c>
      <c r="B47" s="89" t="s">
        <v>2367</v>
      </c>
      <c r="C47" s="98" t="s">
        <v>2238</v>
      </c>
    </row>
    <row r="48" spans="1:3" ht="15">
      <c r="A48" s="90" t="s">
        <v>273</v>
      </c>
      <c r="B48" s="89" t="s">
        <v>1094</v>
      </c>
      <c r="C48" s="98" t="s">
        <v>2238</v>
      </c>
    </row>
    <row r="49" spans="1:3" ht="15">
      <c r="A49" s="90" t="s">
        <v>273</v>
      </c>
      <c r="B49" s="89" t="s">
        <v>1219</v>
      </c>
      <c r="C49" s="98" t="s">
        <v>2238</v>
      </c>
    </row>
    <row r="50" spans="1:3" ht="15">
      <c r="A50" s="90" t="s">
        <v>273</v>
      </c>
      <c r="B50" s="89" t="s">
        <v>2368</v>
      </c>
      <c r="C50" s="98" t="s">
        <v>2238</v>
      </c>
    </row>
    <row r="51" spans="1:3" ht="15">
      <c r="A51" s="90" t="s">
        <v>273</v>
      </c>
      <c r="B51" s="89" t="s">
        <v>2447</v>
      </c>
      <c r="C51" s="98" t="s">
        <v>2238</v>
      </c>
    </row>
    <row r="52" spans="1:3" ht="15">
      <c r="A52" s="90" t="s">
        <v>273</v>
      </c>
      <c r="B52" s="89" t="s">
        <v>2369</v>
      </c>
      <c r="C52" s="98" t="s">
        <v>2238</v>
      </c>
    </row>
    <row r="53" spans="1:3" ht="15">
      <c r="A53" s="90" t="s">
        <v>273</v>
      </c>
      <c r="B53" s="89" t="s">
        <v>2370</v>
      </c>
      <c r="C53" s="98" t="s">
        <v>2238</v>
      </c>
    </row>
    <row r="54" spans="1:3" ht="15">
      <c r="A54" s="90" t="s">
        <v>273</v>
      </c>
      <c r="B54" s="89" t="s">
        <v>1578</v>
      </c>
      <c r="C54" s="98" t="s">
        <v>2238</v>
      </c>
    </row>
    <row r="55" spans="1:3" ht="15">
      <c r="A55" s="90" t="s">
        <v>273</v>
      </c>
      <c r="B55" s="89" t="s">
        <v>2371</v>
      </c>
      <c r="C55" s="98" t="s">
        <v>2238</v>
      </c>
    </row>
    <row r="56" spans="1:3" ht="15">
      <c r="A56" s="90" t="s">
        <v>273</v>
      </c>
      <c r="B56" s="89" t="s">
        <v>1087</v>
      </c>
      <c r="C56" s="98" t="s">
        <v>2238</v>
      </c>
    </row>
    <row r="57" spans="1:3" ht="15">
      <c r="A57" s="90" t="s">
        <v>273</v>
      </c>
      <c r="B57" s="89" t="s">
        <v>2372</v>
      </c>
      <c r="C57" s="98" t="s">
        <v>2238</v>
      </c>
    </row>
    <row r="58" spans="1:3" ht="15">
      <c r="A58" s="90" t="s">
        <v>273</v>
      </c>
      <c r="B58" s="89" t="s">
        <v>1167</v>
      </c>
      <c r="C58" s="98" t="s">
        <v>2238</v>
      </c>
    </row>
    <row r="59" spans="1:3" ht="15">
      <c r="A59" s="90" t="s">
        <v>273</v>
      </c>
      <c r="B59" s="89" t="s">
        <v>1575</v>
      </c>
      <c r="C59" s="98" t="s">
        <v>2238</v>
      </c>
    </row>
    <row r="60" spans="1:3" ht="15">
      <c r="A60" s="90" t="s">
        <v>273</v>
      </c>
      <c r="B60" s="89" t="s">
        <v>2373</v>
      </c>
      <c r="C60" s="98" t="s">
        <v>2238</v>
      </c>
    </row>
    <row r="61" spans="1:3" ht="15">
      <c r="A61" s="90" t="s">
        <v>273</v>
      </c>
      <c r="B61" s="89" t="s">
        <v>2374</v>
      </c>
      <c r="C61" s="98" t="s">
        <v>2238</v>
      </c>
    </row>
    <row r="62" spans="1:3" ht="15">
      <c r="A62" s="90" t="s">
        <v>273</v>
      </c>
      <c r="B62" s="89" t="s">
        <v>2375</v>
      </c>
      <c r="C62" s="98" t="s">
        <v>2238</v>
      </c>
    </row>
    <row r="63" spans="1:3" ht="15">
      <c r="A63" s="90" t="s">
        <v>273</v>
      </c>
      <c r="B63" s="89" t="s">
        <v>2376</v>
      </c>
      <c r="C63" s="98" t="s">
        <v>2238</v>
      </c>
    </row>
    <row r="64" spans="1:3" ht="15">
      <c r="A64" s="90" t="s">
        <v>273</v>
      </c>
      <c r="B64" s="89" t="s">
        <v>1097</v>
      </c>
      <c r="C64" s="98" t="s">
        <v>2238</v>
      </c>
    </row>
    <row r="65" spans="1:3" ht="15">
      <c r="A65" s="90" t="s">
        <v>273</v>
      </c>
      <c r="B65" s="89" t="s">
        <v>1155</v>
      </c>
      <c r="C65" s="98" t="s">
        <v>2238</v>
      </c>
    </row>
    <row r="66" spans="1:3" ht="15">
      <c r="A66" s="90" t="s">
        <v>273</v>
      </c>
      <c r="B66" s="89" t="s">
        <v>1101</v>
      </c>
      <c r="C66" s="98" t="s">
        <v>2238</v>
      </c>
    </row>
    <row r="67" spans="1:3" ht="15">
      <c r="A67" s="90" t="s">
        <v>273</v>
      </c>
      <c r="B67" s="89" t="s">
        <v>252</v>
      </c>
      <c r="C67" s="98" t="s">
        <v>2238</v>
      </c>
    </row>
    <row r="68" spans="1:3" ht="15">
      <c r="A68" s="90" t="s">
        <v>273</v>
      </c>
      <c r="B68" s="89" t="s">
        <v>2448</v>
      </c>
      <c r="C68" s="98" t="s">
        <v>2238</v>
      </c>
    </row>
    <row r="69" spans="1:3" ht="15">
      <c r="A69" s="90" t="s">
        <v>273</v>
      </c>
      <c r="B69" s="89" t="s">
        <v>1796</v>
      </c>
      <c r="C69" s="98" t="s">
        <v>2238</v>
      </c>
    </row>
    <row r="70" spans="1:3" ht="15">
      <c r="A70" s="90" t="s">
        <v>273</v>
      </c>
      <c r="B70" s="89" t="s">
        <v>996</v>
      </c>
      <c r="C70" s="98" t="s">
        <v>2238</v>
      </c>
    </row>
    <row r="71" spans="1:3" ht="15">
      <c r="A71" s="90" t="s">
        <v>273</v>
      </c>
      <c r="B71" s="89" t="s">
        <v>997</v>
      </c>
      <c r="C71" s="98" t="s">
        <v>2238</v>
      </c>
    </row>
    <row r="72" spans="1:3" ht="15">
      <c r="A72" s="90" t="s">
        <v>273</v>
      </c>
      <c r="B72" s="89" t="s">
        <v>998</v>
      </c>
      <c r="C72" s="98" t="s">
        <v>2238</v>
      </c>
    </row>
    <row r="73" spans="1:3" ht="15">
      <c r="A73" s="90" t="s">
        <v>273</v>
      </c>
      <c r="B73" s="89" t="s">
        <v>2449</v>
      </c>
      <c r="C73" s="98" t="s">
        <v>2238</v>
      </c>
    </row>
    <row r="74" spans="1:3" ht="15">
      <c r="A74" s="90" t="s">
        <v>273</v>
      </c>
      <c r="B74" s="89" t="s">
        <v>1121</v>
      </c>
      <c r="C74" s="98" t="s">
        <v>490</v>
      </c>
    </row>
    <row r="75" spans="1:3" ht="15">
      <c r="A75" s="90" t="s">
        <v>273</v>
      </c>
      <c r="B75" s="89" t="s">
        <v>303</v>
      </c>
      <c r="C75" s="98" t="s">
        <v>490</v>
      </c>
    </row>
    <row r="76" spans="1:3" ht="15">
      <c r="A76" s="90" t="s">
        <v>273</v>
      </c>
      <c r="B76" s="89" t="s">
        <v>951</v>
      </c>
      <c r="C76" s="98" t="s">
        <v>490</v>
      </c>
    </row>
    <row r="77" spans="1:3" ht="15">
      <c r="A77" s="90" t="s">
        <v>273</v>
      </c>
      <c r="B77" s="89">
        <v>12</v>
      </c>
      <c r="C77" s="98" t="s">
        <v>490</v>
      </c>
    </row>
    <row r="78" spans="1:3" ht="15">
      <c r="A78" s="90" t="s">
        <v>273</v>
      </c>
      <c r="B78" s="89">
        <v>18</v>
      </c>
      <c r="C78" s="98" t="s">
        <v>490</v>
      </c>
    </row>
    <row r="79" spans="1:3" ht="15">
      <c r="A79" s="90" t="s">
        <v>273</v>
      </c>
      <c r="B79" s="89" t="s">
        <v>954</v>
      </c>
      <c r="C79" s="98" t="s">
        <v>490</v>
      </c>
    </row>
    <row r="80" spans="1:3" ht="15">
      <c r="A80" s="90" t="s">
        <v>273</v>
      </c>
      <c r="B80" s="89" t="s">
        <v>1122</v>
      </c>
      <c r="C80" s="98" t="s">
        <v>490</v>
      </c>
    </row>
    <row r="81" spans="1:3" ht="15">
      <c r="A81" s="90" t="s">
        <v>273</v>
      </c>
      <c r="B81" s="89" t="s">
        <v>944</v>
      </c>
      <c r="C81" s="98" t="s">
        <v>490</v>
      </c>
    </row>
    <row r="82" spans="1:3" ht="15">
      <c r="A82" s="90" t="s">
        <v>273</v>
      </c>
      <c r="B82" s="89" t="s">
        <v>955</v>
      </c>
      <c r="C82" s="98" t="s">
        <v>490</v>
      </c>
    </row>
    <row r="83" spans="1:3" ht="15">
      <c r="A83" s="90" t="s">
        <v>273</v>
      </c>
      <c r="B83" s="89" t="s">
        <v>956</v>
      </c>
      <c r="C83" s="98" t="s">
        <v>490</v>
      </c>
    </row>
    <row r="84" spans="1:3" ht="15">
      <c r="A84" s="90" t="s">
        <v>273</v>
      </c>
      <c r="B84" s="89" t="s">
        <v>957</v>
      </c>
      <c r="C84" s="98" t="s">
        <v>490</v>
      </c>
    </row>
    <row r="85" spans="1:3" ht="15">
      <c r="A85" s="90" t="s">
        <v>273</v>
      </c>
      <c r="B85" s="89" t="s">
        <v>1116</v>
      </c>
      <c r="C85" s="98" t="s">
        <v>490</v>
      </c>
    </row>
    <row r="86" spans="1:3" ht="15">
      <c r="A86" s="90" t="s">
        <v>273</v>
      </c>
      <c r="B86" s="89" t="s">
        <v>1117</v>
      </c>
      <c r="C86" s="98" t="s">
        <v>490</v>
      </c>
    </row>
    <row r="87" spans="1:3" ht="15">
      <c r="A87" s="90" t="s">
        <v>273</v>
      </c>
      <c r="B87" s="89" t="s">
        <v>948</v>
      </c>
      <c r="C87" s="98" t="s">
        <v>490</v>
      </c>
    </row>
    <row r="88" spans="1:3" ht="15">
      <c r="A88" s="90" t="s">
        <v>273</v>
      </c>
      <c r="B88" s="89" t="s">
        <v>958</v>
      </c>
      <c r="C88" s="98" t="s">
        <v>490</v>
      </c>
    </row>
    <row r="89" spans="1:3" ht="15">
      <c r="A89" s="90" t="s">
        <v>273</v>
      </c>
      <c r="B89" s="89" t="s">
        <v>338</v>
      </c>
      <c r="C89" s="98" t="s">
        <v>490</v>
      </c>
    </row>
    <row r="90" spans="1:3" ht="15">
      <c r="A90" s="90" t="s">
        <v>273</v>
      </c>
      <c r="B90" s="89" t="s">
        <v>1080</v>
      </c>
      <c r="C90" s="98" t="s">
        <v>489</v>
      </c>
    </row>
    <row r="91" spans="1:3" ht="15">
      <c r="A91" s="90" t="s">
        <v>273</v>
      </c>
      <c r="B91" s="89" t="s">
        <v>1081</v>
      </c>
      <c r="C91" s="98" t="s">
        <v>489</v>
      </c>
    </row>
    <row r="92" spans="1:3" ht="15">
      <c r="A92" s="90" t="s">
        <v>273</v>
      </c>
      <c r="B92" s="89" t="s">
        <v>1082</v>
      </c>
      <c r="C92" s="98" t="s">
        <v>489</v>
      </c>
    </row>
    <row r="93" spans="1:3" ht="15">
      <c r="A93" s="90" t="s">
        <v>273</v>
      </c>
      <c r="B93" s="89" t="s">
        <v>930</v>
      </c>
      <c r="C93" s="98" t="s">
        <v>489</v>
      </c>
    </row>
    <row r="94" spans="1:3" ht="15">
      <c r="A94" s="90" t="s">
        <v>273</v>
      </c>
      <c r="B94" s="89" t="s">
        <v>940</v>
      </c>
      <c r="C94" s="98" t="s">
        <v>489</v>
      </c>
    </row>
    <row r="95" spans="1:3" ht="15">
      <c r="A95" s="90" t="s">
        <v>273</v>
      </c>
      <c r="B95" s="89" t="s">
        <v>941</v>
      </c>
      <c r="C95" s="98" t="s">
        <v>489</v>
      </c>
    </row>
    <row r="96" spans="1:3" ht="15">
      <c r="A96" s="90" t="s">
        <v>273</v>
      </c>
      <c r="B96" s="89" t="s">
        <v>1083</v>
      </c>
      <c r="C96" s="98" t="s">
        <v>489</v>
      </c>
    </row>
    <row r="97" spans="1:3" ht="15">
      <c r="A97" s="90" t="s">
        <v>273</v>
      </c>
      <c r="B97" s="89" t="s">
        <v>931</v>
      </c>
      <c r="C97" s="98" t="s">
        <v>489</v>
      </c>
    </row>
    <row r="98" spans="1:3" ht="15">
      <c r="A98" s="90" t="s">
        <v>273</v>
      </c>
      <c r="B98" s="89" t="s">
        <v>1084</v>
      </c>
      <c r="C98" s="98" t="s">
        <v>489</v>
      </c>
    </row>
    <row r="99" spans="1:3" ht="15">
      <c r="A99" s="90" t="s">
        <v>273</v>
      </c>
      <c r="B99" s="89" t="s">
        <v>1085</v>
      </c>
      <c r="C99" s="98" t="s">
        <v>489</v>
      </c>
    </row>
    <row r="100" spans="1:3" ht="15">
      <c r="A100" s="90" t="s">
        <v>273</v>
      </c>
      <c r="B100" s="89" t="s">
        <v>1086</v>
      </c>
      <c r="C100" s="98" t="s">
        <v>489</v>
      </c>
    </row>
    <row r="101" spans="1:3" ht="15">
      <c r="A101" s="90" t="s">
        <v>273</v>
      </c>
      <c r="B101" s="89" t="s">
        <v>942</v>
      </c>
      <c r="C101" s="98" t="s">
        <v>489</v>
      </c>
    </row>
    <row r="102" spans="1:3" ht="15">
      <c r="A102" s="90" t="s">
        <v>273</v>
      </c>
      <c r="B102" s="89" t="s">
        <v>938</v>
      </c>
      <c r="C102" s="98" t="s">
        <v>489</v>
      </c>
    </row>
    <row r="103" spans="1:3" ht="15">
      <c r="A103" s="90" t="s">
        <v>273</v>
      </c>
      <c r="B103" s="89" t="s">
        <v>935</v>
      </c>
      <c r="C103" s="98" t="s">
        <v>489</v>
      </c>
    </row>
    <row r="104" spans="1:3" ht="15">
      <c r="A104" s="90" t="s">
        <v>273</v>
      </c>
      <c r="B104" s="89" t="s">
        <v>934</v>
      </c>
      <c r="C104" s="98" t="s">
        <v>489</v>
      </c>
    </row>
    <row r="105" spans="1:3" ht="15">
      <c r="A105" s="90" t="s">
        <v>273</v>
      </c>
      <c r="B105" s="89" t="s">
        <v>1087</v>
      </c>
      <c r="C105" s="98" t="s">
        <v>489</v>
      </c>
    </row>
    <row r="106" spans="1:3" ht="15">
      <c r="A106" s="90" t="s">
        <v>273</v>
      </c>
      <c r="B106" s="89" t="s">
        <v>1088</v>
      </c>
      <c r="C106" s="98" t="s">
        <v>489</v>
      </c>
    </row>
    <row r="107" spans="1:3" ht="15">
      <c r="A107" s="90" t="s">
        <v>273</v>
      </c>
      <c r="B107" s="89" t="s">
        <v>936</v>
      </c>
      <c r="C107" s="98" t="s">
        <v>489</v>
      </c>
    </row>
    <row r="108" spans="1:3" ht="15">
      <c r="A108" s="90" t="s">
        <v>273</v>
      </c>
      <c r="B108" s="89" t="s">
        <v>1089</v>
      </c>
      <c r="C108" s="98" t="s">
        <v>489</v>
      </c>
    </row>
    <row r="109" spans="1:3" ht="15">
      <c r="A109" s="90" t="s">
        <v>273</v>
      </c>
      <c r="B109" s="89" t="s">
        <v>943</v>
      </c>
      <c r="C109" s="98" t="s">
        <v>489</v>
      </c>
    </row>
    <row r="110" spans="1:3" ht="15">
      <c r="A110" s="90" t="s">
        <v>273</v>
      </c>
      <c r="B110" s="89" t="s">
        <v>1090</v>
      </c>
      <c r="C110" s="98" t="s">
        <v>489</v>
      </c>
    </row>
    <row r="111" spans="1:3" ht="15">
      <c r="A111" s="90" t="s">
        <v>273</v>
      </c>
      <c r="B111" s="89" t="s">
        <v>933</v>
      </c>
      <c r="C111" s="98" t="s">
        <v>489</v>
      </c>
    </row>
    <row r="112" spans="1:3" ht="15">
      <c r="A112" s="90" t="s">
        <v>273</v>
      </c>
      <c r="B112" s="89" t="s">
        <v>338</v>
      </c>
      <c r="C112" s="98" t="s">
        <v>489</v>
      </c>
    </row>
    <row r="113" spans="1:3" ht="15">
      <c r="A113" s="90" t="s">
        <v>273</v>
      </c>
      <c r="B113" s="89" t="s">
        <v>1091</v>
      </c>
      <c r="C113" s="98" t="s">
        <v>489</v>
      </c>
    </row>
    <row r="114" spans="1:3" ht="15">
      <c r="A114" s="90" t="s">
        <v>273</v>
      </c>
      <c r="B114" s="89" t="s">
        <v>299</v>
      </c>
      <c r="C114" s="98" t="s">
        <v>489</v>
      </c>
    </row>
    <row r="115" spans="1:3" ht="15">
      <c r="A115" s="90" t="s">
        <v>300</v>
      </c>
      <c r="B115" s="89" t="s">
        <v>1080</v>
      </c>
      <c r="C115" s="98" t="s">
        <v>527</v>
      </c>
    </row>
    <row r="116" spans="1:3" ht="15">
      <c r="A116" s="90" t="s">
        <v>300</v>
      </c>
      <c r="B116" s="89" t="s">
        <v>1081</v>
      </c>
      <c r="C116" s="98" t="s">
        <v>527</v>
      </c>
    </row>
    <row r="117" spans="1:3" ht="15">
      <c r="A117" s="90" t="s">
        <v>300</v>
      </c>
      <c r="B117" s="89" t="s">
        <v>1082</v>
      </c>
      <c r="C117" s="98" t="s">
        <v>527</v>
      </c>
    </row>
    <row r="118" spans="1:3" ht="15">
      <c r="A118" s="90" t="s">
        <v>300</v>
      </c>
      <c r="B118" s="89" t="s">
        <v>930</v>
      </c>
      <c r="C118" s="98" t="s">
        <v>527</v>
      </c>
    </row>
    <row r="119" spans="1:3" ht="15">
      <c r="A119" s="90" t="s">
        <v>300</v>
      </c>
      <c r="B119" s="89" t="s">
        <v>940</v>
      </c>
      <c r="C119" s="98" t="s">
        <v>527</v>
      </c>
    </row>
    <row r="120" spans="1:3" ht="15">
      <c r="A120" s="90" t="s">
        <v>300</v>
      </c>
      <c r="B120" s="89" t="s">
        <v>941</v>
      </c>
      <c r="C120" s="98" t="s">
        <v>527</v>
      </c>
    </row>
    <row r="121" spans="1:3" ht="15">
      <c r="A121" s="90" t="s">
        <v>300</v>
      </c>
      <c r="B121" s="89" t="s">
        <v>1083</v>
      </c>
      <c r="C121" s="98" t="s">
        <v>527</v>
      </c>
    </row>
    <row r="122" spans="1:3" ht="15">
      <c r="A122" s="90" t="s">
        <v>300</v>
      </c>
      <c r="B122" s="89" t="s">
        <v>931</v>
      </c>
      <c r="C122" s="98" t="s">
        <v>527</v>
      </c>
    </row>
    <row r="123" spans="1:3" ht="15">
      <c r="A123" s="90" t="s">
        <v>300</v>
      </c>
      <c r="B123" s="89" t="s">
        <v>1084</v>
      </c>
      <c r="C123" s="98" t="s">
        <v>527</v>
      </c>
    </row>
    <row r="124" spans="1:3" ht="15">
      <c r="A124" s="90" t="s">
        <v>300</v>
      </c>
      <c r="B124" s="89" t="s">
        <v>1085</v>
      </c>
      <c r="C124" s="98" t="s">
        <v>527</v>
      </c>
    </row>
    <row r="125" spans="1:3" ht="15">
      <c r="A125" s="90" t="s">
        <v>300</v>
      </c>
      <c r="B125" s="89" t="s">
        <v>1086</v>
      </c>
      <c r="C125" s="98" t="s">
        <v>527</v>
      </c>
    </row>
    <row r="126" spans="1:3" ht="15">
      <c r="A126" s="90" t="s">
        <v>300</v>
      </c>
      <c r="B126" s="89" t="s">
        <v>942</v>
      </c>
      <c r="C126" s="98" t="s">
        <v>527</v>
      </c>
    </row>
    <row r="127" spans="1:3" ht="15">
      <c r="A127" s="90" t="s">
        <v>300</v>
      </c>
      <c r="B127" s="89" t="s">
        <v>938</v>
      </c>
      <c r="C127" s="98" t="s">
        <v>527</v>
      </c>
    </row>
    <row r="128" spans="1:3" ht="15">
      <c r="A128" s="90" t="s">
        <v>300</v>
      </c>
      <c r="B128" s="89" t="s">
        <v>935</v>
      </c>
      <c r="C128" s="98" t="s">
        <v>527</v>
      </c>
    </row>
    <row r="129" spans="1:3" ht="15">
      <c r="A129" s="90" t="s">
        <v>300</v>
      </c>
      <c r="B129" s="89" t="s">
        <v>934</v>
      </c>
      <c r="C129" s="98" t="s">
        <v>527</v>
      </c>
    </row>
    <row r="130" spans="1:3" ht="15">
      <c r="A130" s="90" t="s">
        <v>300</v>
      </c>
      <c r="B130" s="89" t="s">
        <v>1087</v>
      </c>
      <c r="C130" s="98" t="s">
        <v>527</v>
      </c>
    </row>
    <row r="131" spans="1:3" ht="15">
      <c r="A131" s="90" t="s">
        <v>300</v>
      </c>
      <c r="B131" s="89" t="s">
        <v>1088</v>
      </c>
      <c r="C131" s="98" t="s">
        <v>527</v>
      </c>
    </row>
    <row r="132" spans="1:3" ht="15">
      <c r="A132" s="90" t="s">
        <v>300</v>
      </c>
      <c r="B132" s="89" t="s">
        <v>936</v>
      </c>
      <c r="C132" s="98" t="s">
        <v>527</v>
      </c>
    </row>
    <row r="133" spans="1:3" ht="15">
      <c r="A133" s="90" t="s">
        <v>300</v>
      </c>
      <c r="B133" s="89" t="s">
        <v>1089</v>
      </c>
      <c r="C133" s="98" t="s">
        <v>527</v>
      </c>
    </row>
    <row r="134" spans="1:3" ht="15">
      <c r="A134" s="90" t="s">
        <v>300</v>
      </c>
      <c r="B134" s="89" t="s">
        <v>943</v>
      </c>
      <c r="C134" s="98" t="s">
        <v>527</v>
      </c>
    </row>
    <row r="135" spans="1:3" ht="15">
      <c r="A135" s="90" t="s">
        <v>300</v>
      </c>
      <c r="B135" s="89" t="s">
        <v>1090</v>
      </c>
      <c r="C135" s="98" t="s">
        <v>527</v>
      </c>
    </row>
    <row r="136" spans="1:3" ht="15">
      <c r="A136" s="90" t="s">
        <v>300</v>
      </c>
      <c r="B136" s="89" t="s">
        <v>933</v>
      </c>
      <c r="C136" s="98" t="s">
        <v>527</v>
      </c>
    </row>
    <row r="137" spans="1:3" ht="15">
      <c r="A137" s="90" t="s">
        <v>300</v>
      </c>
      <c r="B137" s="89" t="s">
        <v>338</v>
      </c>
      <c r="C137" s="98" t="s">
        <v>527</v>
      </c>
    </row>
    <row r="138" spans="1:3" ht="15">
      <c r="A138" s="90" t="s">
        <v>300</v>
      </c>
      <c r="B138" s="89" t="s">
        <v>1091</v>
      </c>
      <c r="C138" s="98" t="s">
        <v>527</v>
      </c>
    </row>
    <row r="139" spans="1:3" ht="15">
      <c r="A139" s="90" t="s">
        <v>300</v>
      </c>
      <c r="B139" s="89" t="s">
        <v>299</v>
      </c>
      <c r="C139" s="98" t="s">
        <v>527</v>
      </c>
    </row>
    <row r="140" spans="1:3" ht="15">
      <c r="A140" s="90" t="s">
        <v>2137</v>
      </c>
      <c r="B140" s="89" t="s">
        <v>2439</v>
      </c>
      <c r="C140" s="98" t="s">
        <v>2243</v>
      </c>
    </row>
    <row r="141" spans="1:3" ht="15">
      <c r="A141" s="90" t="s">
        <v>2137</v>
      </c>
      <c r="B141" s="89" t="s">
        <v>945</v>
      </c>
      <c r="C141" s="98" t="s">
        <v>2243</v>
      </c>
    </row>
    <row r="142" spans="1:3" ht="15">
      <c r="A142" s="90" t="s">
        <v>2137</v>
      </c>
      <c r="B142" s="89" t="s">
        <v>338</v>
      </c>
      <c r="C142" s="98" t="s">
        <v>2243</v>
      </c>
    </row>
    <row r="143" spans="1:3" ht="15">
      <c r="A143" s="90" t="s">
        <v>2137</v>
      </c>
      <c r="B143" s="89" t="s">
        <v>2407</v>
      </c>
      <c r="C143" s="98" t="s">
        <v>2243</v>
      </c>
    </row>
    <row r="144" spans="1:3" ht="15">
      <c r="A144" s="90" t="s">
        <v>2137</v>
      </c>
      <c r="B144" s="89" t="s">
        <v>1027</v>
      </c>
      <c r="C144" s="98" t="s">
        <v>2243</v>
      </c>
    </row>
    <row r="145" spans="1:3" ht="15">
      <c r="A145" s="90" t="s">
        <v>2137</v>
      </c>
      <c r="B145" s="89" t="s">
        <v>2440</v>
      </c>
      <c r="C145" s="98" t="s">
        <v>2243</v>
      </c>
    </row>
    <row r="146" spans="1:3" ht="15">
      <c r="A146" s="90" t="s">
        <v>2137</v>
      </c>
      <c r="B146" s="89" t="s">
        <v>2408</v>
      </c>
      <c r="C146" s="98" t="s">
        <v>2243</v>
      </c>
    </row>
    <row r="147" spans="1:3" ht="15">
      <c r="A147" s="90" t="s">
        <v>2137</v>
      </c>
      <c r="B147" s="89" t="s">
        <v>2409</v>
      </c>
      <c r="C147" s="98" t="s">
        <v>2243</v>
      </c>
    </row>
    <row r="148" spans="1:3" ht="15">
      <c r="A148" s="90" t="s">
        <v>2137</v>
      </c>
      <c r="B148" s="89" t="s">
        <v>2441</v>
      </c>
      <c r="C148" s="98" t="s">
        <v>2243</v>
      </c>
    </row>
    <row r="149" spans="1:3" ht="15">
      <c r="A149" s="90" t="s">
        <v>2137</v>
      </c>
      <c r="B149" s="89" t="s">
        <v>2411</v>
      </c>
      <c r="C149" s="98" t="s">
        <v>2243</v>
      </c>
    </row>
    <row r="150" spans="1:3" ht="15">
      <c r="A150" s="90" t="s">
        <v>2137</v>
      </c>
      <c r="B150" s="89" t="s">
        <v>2442</v>
      </c>
      <c r="C150" s="98" t="s">
        <v>2243</v>
      </c>
    </row>
    <row r="151" spans="1:3" ht="15">
      <c r="A151" s="90" t="s">
        <v>2137</v>
      </c>
      <c r="B151" s="89" t="s">
        <v>2413</v>
      </c>
      <c r="C151" s="98" t="s">
        <v>2243</v>
      </c>
    </row>
    <row r="152" spans="1:3" ht="15">
      <c r="A152" s="90" t="s">
        <v>2137</v>
      </c>
      <c r="B152" s="89" t="s">
        <v>2414</v>
      </c>
      <c r="C152" s="98" t="s">
        <v>2243</v>
      </c>
    </row>
    <row r="153" spans="1:3" ht="15">
      <c r="A153" s="90" t="s">
        <v>2137</v>
      </c>
      <c r="B153" s="89" t="s">
        <v>1159</v>
      </c>
      <c r="C153" s="98" t="s">
        <v>2243</v>
      </c>
    </row>
    <row r="154" spans="1:3" ht="15">
      <c r="A154" s="90" t="s">
        <v>2137</v>
      </c>
      <c r="B154" s="89" t="s">
        <v>2415</v>
      </c>
      <c r="C154" s="98" t="s">
        <v>2243</v>
      </c>
    </row>
    <row r="155" spans="1:3" ht="15">
      <c r="A155" s="90" t="s">
        <v>2137</v>
      </c>
      <c r="B155" s="89" t="s">
        <v>2416</v>
      </c>
      <c r="C155" s="98" t="s">
        <v>2243</v>
      </c>
    </row>
    <row r="156" spans="1:3" ht="15">
      <c r="A156" s="90" t="s">
        <v>2137</v>
      </c>
      <c r="B156" s="89" t="s">
        <v>1087</v>
      </c>
      <c r="C156" s="98" t="s">
        <v>2243</v>
      </c>
    </row>
    <row r="157" spans="1:3" ht="15">
      <c r="A157" s="90" t="s">
        <v>2137</v>
      </c>
      <c r="B157" s="89" t="s">
        <v>2417</v>
      </c>
      <c r="C157" s="98" t="s">
        <v>2243</v>
      </c>
    </row>
    <row r="158" spans="1:3" ht="15">
      <c r="A158" s="90" t="s">
        <v>2137</v>
      </c>
      <c r="B158" s="89" t="s">
        <v>2418</v>
      </c>
      <c r="C158" s="98" t="s">
        <v>2243</v>
      </c>
    </row>
    <row r="159" spans="1:3" ht="15">
      <c r="A159" s="90" t="s">
        <v>2137</v>
      </c>
      <c r="B159" s="89" t="s">
        <v>2419</v>
      </c>
      <c r="C159" s="98" t="s">
        <v>2243</v>
      </c>
    </row>
    <row r="160" spans="1:3" ht="15">
      <c r="A160" s="90" t="s">
        <v>2137</v>
      </c>
      <c r="B160" s="89" t="s">
        <v>1664</v>
      </c>
      <c r="C160" s="98" t="s">
        <v>2243</v>
      </c>
    </row>
    <row r="161" spans="1:3" ht="15">
      <c r="A161" s="90" t="s">
        <v>293</v>
      </c>
      <c r="B161" s="89" t="s">
        <v>2439</v>
      </c>
      <c r="C161" s="98" t="s">
        <v>2242</v>
      </c>
    </row>
    <row r="162" spans="1:3" ht="15">
      <c r="A162" s="90" t="s">
        <v>293</v>
      </c>
      <c r="B162" s="89" t="s">
        <v>945</v>
      </c>
      <c r="C162" s="98" t="s">
        <v>2242</v>
      </c>
    </row>
    <row r="163" spans="1:3" ht="15">
      <c r="A163" s="90" t="s">
        <v>293</v>
      </c>
      <c r="B163" s="89" t="s">
        <v>338</v>
      </c>
      <c r="C163" s="98" t="s">
        <v>2242</v>
      </c>
    </row>
    <row r="164" spans="1:3" ht="15">
      <c r="A164" s="90" t="s">
        <v>293</v>
      </c>
      <c r="B164" s="89" t="s">
        <v>2407</v>
      </c>
      <c r="C164" s="98" t="s">
        <v>2242</v>
      </c>
    </row>
    <row r="165" spans="1:3" ht="15">
      <c r="A165" s="90" t="s">
        <v>293</v>
      </c>
      <c r="B165" s="89" t="s">
        <v>1027</v>
      </c>
      <c r="C165" s="98" t="s">
        <v>2242</v>
      </c>
    </row>
    <row r="166" spans="1:3" ht="15">
      <c r="A166" s="90" t="s">
        <v>293</v>
      </c>
      <c r="B166" s="89" t="s">
        <v>2440</v>
      </c>
      <c r="C166" s="98" t="s">
        <v>2242</v>
      </c>
    </row>
    <row r="167" spans="1:3" ht="15">
      <c r="A167" s="90" t="s">
        <v>293</v>
      </c>
      <c r="B167" s="89" t="s">
        <v>2408</v>
      </c>
      <c r="C167" s="98" t="s">
        <v>2242</v>
      </c>
    </row>
    <row r="168" spans="1:3" ht="15">
      <c r="A168" s="90" t="s">
        <v>293</v>
      </c>
      <c r="B168" s="89" t="s">
        <v>2409</v>
      </c>
      <c r="C168" s="98" t="s">
        <v>2242</v>
      </c>
    </row>
    <row r="169" spans="1:3" ht="15">
      <c r="A169" s="90" t="s">
        <v>293</v>
      </c>
      <c r="B169" s="89" t="s">
        <v>2441</v>
      </c>
      <c r="C169" s="98" t="s">
        <v>2242</v>
      </c>
    </row>
    <row r="170" spans="1:3" ht="15">
      <c r="A170" s="90" t="s">
        <v>293</v>
      </c>
      <c r="B170" s="89" t="s">
        <v>2411</v>
      </c>
      <c r="C170" s="98" t="s">
        <v>2242</v>
      </c>
    </row>
    <row r="171" spans="1:3" ht="15">
      <c r="A171" s="90" t="s">
        <v>293</v>
      </c>
      <c r="B171" s="89" t="s">
        <v>2442</v>
      </c>
      <c r="C171" s="98" t="s">
        <v>2242</v>
      </c>
    </row>
    <row r="172" spans="1:3" ht="15">
      <c r="A172" s="90" t="s">
        <v>293</v>
      </c>
      <c r="B172" s="89" t="s">
        <v>2413</v>
      </c>
      <c r="C172" s="98" t="s">
        <v>2242</v>
      </c>
    </row>
    <row r="173" spans="1:3" ht="15">
      <c r="A173" s="90" t="s">
        <v>293</v>
      </c>
      <c r="B173" s="89" t="s">
        <v>2414</v>
      </c>
      <c r="C173" s="98" t="s">
        <v>2242</v>
      </c>
    </row>
    <row r="174" spans="1:3" ht="15">
      <c r="A174" s="90" t="s">
        <v>293</v>
      </c>
      <c r="B174" s="89" t="s">
        <v>1159</v>
      </c>
      <c r="C174" s="98" t="s">
        <v>2242</v>
      </c>
    </row>
    <row r="175" spans="1:3" ht="15">
      <c r="A175" s="90" t="s">
        <v>293</v>
      </c>
      <c r="B175" s="89" t="s">
        <v>2415</v>
      </c>
      <c r="C175" s="98" t="s">
        <v>2242</v>
      </c>
    </row>
    <row r="176" spans="1:3" ht="15">
      <c r="A176" s="90" t="s">
        <v>293</v>
      </c>
      <c r="B176" s="89" t="s">
        <v>2416</v>
      </c>
      <c r="C176" s="98" t="s">
        <v>2242</v>
      </c>
    </row>
    <row r="177" spans="1:3" ht="15">
      <c r="A177" s="90" t="s">
        <v>293</v>
      </c>
      <c r="B177" s="89" t="s">
        <v>1087</v>
      </c>
      <c r="C177" s="98" t="s">
        <v>2242</v>
      </c>
    </row>
    <row r="178" spans="1:3" ht="15">
      <c r="A178" s="90" t="s">
        <v>293</v>
      </c>
      <c r="B178" s="89" t="s">
        <v>2417</v>
      </c>
      <c r="C178" s="98" t="s">
        <v>2242</v>
      </c>
    </row>
    <row r="179" spans="1:3" ht="15">
      <c r="A179" s="90" t="s">
        <v>293</v>
      </c>
      <c r="B179" s="89" t="s">
        <v>2418</v>
      </c>
      <c r="C179" s="98" t="s">
        <v>2242</v>
      </c>
    </row>
    <row r="180" spans="1:3" ht="15">
      <c r="A180" s="90" t="s">
        <v>293</v>
      </c>
      <c r="B180" s="89" t="s">
        <v>2419</v>
      </c>
      <c r="C180" s="98" t="s">
        <v>2242</v>
      </c>
    </row>
    <row r="181" spans="1:3" ht="15">
      <c r="A181" s="90" t="s">
        <v>293</v>
      </c>
      <c r="B181" s="89" t="s">
        <v>1664</v>
      </c>
      <c r="C181" s="98" t="s">
        <v>2242</v>
      </c>
    </row>
    <row r="182" spans="1:3" ht="15">
      <c r="A182" s="90" t="s">
        <v>249</v>
      </c>
      <c r="B182" s="89" t="s">
        <v>2439</v>
      </c>
      <c r="C182" s="98" t="s">
        <v>2235</v>
      </c>
    </row>
    <row r="183" spans="1:3" ht="15">
      <c r="A183" s="90" t="s">
        <v>249</v>
      </c>
      <c r="B183" s="89" t="s">
        <v>945</v>
      </c>
      <c r="C183" s="98" t="s">
        <v>2235</v>
      </c>
    </row>
    <row r="184" spans="1:3" ht="15">
      <c r="A184" s="90" t="s">
        <v>249</v>
      </c>
      <c r="B184" s="89" t="s">
        <v>338</v>
      </c>
      <c r="C184" s="98" t="s">
        <v>2235</v>
      </c>
    </row>
    <row r="185" spans="1:3" ht="15">
      <c r="A185" s="90" t="s">
        <v>249</v>
      </c>
      <c r="B185" s="89" t="s">
        <v>2407</v>
      </c>
      <c r="C185" s="98" t="s">
        <v>2235</v>
      </c>
    </row>
    <row r="186" spans="1:3" ht="15">
      <c r="A186" s="90" t="s">
        <v>249</v>
      </c>
      <c r="B186" s="89" t="s">
        <v>1027</v>
      </c>
      <c r="C186" s="98" t="s">
        <v>2235</v>
      </c>
    </row>
    <row r="187" spans="1:3" ht="15">
      <c r="A187" s="90" t="s">
        <v>249</v>
      </c>
      <c r="B187" s="89" t="s">
        <v>2440</v>
      </c>
      <c r="C187" s="98" t="s">
        <v>2235</v>
      </c>
    </row>
    <row r="188" spans="1:3" ht="15">
      <c r="A188" s="90" t="s">
        <v>249</v>
      </c>
      <c r="B188" s="89" t="s">
        <v>2408</v>
      </c>
      <c r="C188" s="98" t="s">
        <v>2235</v>
      </c>
    </row>
    <row r="189" spans="1:3" ht="15">
      <c r="A189" s="90" t="s">
        <v>249</v>
      </c>
      <c r="B189" s="89" t="s">
        <v>2409</v>
      </c>
      <c r="C189" s="98" t="s">
        <v>2235</v>
      </c>
    </row>
    <row r="190" spans="1:3" ht="15">
      <c r="A190" s="90" t="s">
        <v>249</v>
      </c>
      <c r="B190" s="89" t="s">
        <v>2441</v>
      </c>
      <c r="C190" s="98" t="s">
        <v>2235</v>
      </c>
    </row>
    <row r="191" spans="1:3" ht="15">
      <c r="A191" s="90" t="s">
        <v>249</v>
      </c>
      <c r="B191" s="89" t="s">
        <v>2411</v>
      </c>
      <c r="C191" s="98" t="s">
        <v>2235</v>
      </c>
    </row>
    <row r="192" spans="1:3" ht="15">
      <c r="A192" s="90" t="s">
        <v>249</v>
      </c>
      <c r="B192" s="89" t="s">
        <v>2442</v>
      </c>
      <c r="C192" s="98" t="s">
        <v>2235</v>
      </c>
    </row>
    <row r="193" spans="1:3" ht="15">
      <c r="A193" s="90" t="s">
        <v>249</v>
      </c>
      <c r="B193" s="89" t="s">
        <v>2413</v>
      </c>
      <c r="C193" s="98" t="s">
        <v>2235</v>
      </c>
    </row>
    <row r="194" spans="1:3" ht="15">
      <c r="A194" s="90" t="s">
        <v>249</v>
      </c>
      <c r="B194" s="89" t="s">
        <v>2414</v>
      </c>
      <c r="C194" s="98" t="s">
        <v>2235</v>
      </c>
    </row>
    <row r="195" spans="1:3" ht="15">
      <c r="A195" s="90" t="s">
        <v>249</v>
      </c>
      <c r="B195" s="89" t="s">
        <v>1159</v>
      </c>
      <c r="C195" s="98" t="s">
        <v>2235</v>
      </c>
    </row>
    <row r="196" spans="1:3" ht="15">
      <c r="A196" s="90" t="s">
        <v>249</v>
      </c>
      <c r="B196" s="89" t="s">
        <v>2415</v>
      </c>
      <c r="C196" s="98" t="s">
        <v>2235</v>
      </c>
    </row>
    <row r="197" spans="1:3" ht="15">
      <c r="A197" s="90" t="s">
        <v>249</v>
      </c>
      <c r="B197" s="89" t="s">
        <v>2416</v>
      </c>
      <c r="C197" s="98" t="s">
        <v>2235</v>
      </c>
    </row>
    <row r="198" spans="1:3" ht="15">
      <c r="A198" s="90" t="s">
        <v>249</v>
      </c>
      <c r="B198" s="89" t="s">
        <v>1087</v>
      </c>
      <c r="C198" s="98" t="s">
        <v>2235</v>
      </c>
    </row>
    <row r="199" spans="1:3" ht="15">
      <c r="A199" s="90" t="s">
        <v>249</v>
      </c>
      <c r="B199" s="89" t="s">
        <v>2417</v>
      </c>
      <c r="C199" s="98" t="s">
        <v>2235</v>
      </c>
    </row>
    <row r="200" spans="1:3" ht="15">
      <c r="A200" s="90" t="s">
        <v>249</v>
      </c>
      <c r="B200" s="89" t="s">
        <v>2418</v>
      </c>
      <c r="C200" s="98" t="s">
        <v>2235</v>
      </c>
    </row>
    <row r="201" spans="1:3" ht="15">
      <c r="A201" s="90" t="s">
        <v>249</v>
      </c>
      <c r="B201" s="89" t="s">
        <v>2419</v>
      </c>
      <c r="C201" s="98" t="s">
        <v>2235</v>
      </c>
    </row>
    <row r="202" spans="1:3" ht="15">
      <c r="A202" s="90" t="s">
        <v>249</v>
      </c>
      <c r="B202" s="89" t="s">
        <v>1664</v>
      </c>
      <c r="C202" s="98" t="s">
        <v>2235</v>
      </c>
    </row>
    <row r="203" spans="1:3" ht="15">
      <c r="A203" s="90" t="s">
        <v>249</v>
      </c>
      <c r="B203" s="89" t="s">
        <v>1163</v>
      </c>
      <c r="C203" s="98" t="s">
        <v>464</v>
      </c>
    </row>
    <row r="204" spans="1:3" ht="15">
      <c r="A204" s="90" t="s">
        <v>249</v>
      </c>
      <c r="B204" s="89" t="s">
        <v>1164</v>
      </c>
      <c r="C204" s="98" t="s">
        <v>464</v>
      </c>
    </row>
    <row r="205" spans="1:3" ht="15">
      <c r="A205" s="90" t="s">
        <v>249</v>
      </c>
      <c r="B205" s="89" t="s">
        <v>1165</v>
      </c>
      <c r="C205" s="98" t="s">
        <v>464</v>
      </c>
    </row>
    <row r="206" spans="1:3" ht="15">
      <c r="A206" s="90" t="s">
        <v>249</v>
      </c>
      <c r="B206" s="89" t="s">
        <v>949</v>
      </c>
      <c r="C206" s="98" t="s">
        <v>464</v>
      </c>
    </row>
    <row r="207" spans="1:3" ht="15">
      <c r="A207" s="90" t="s">
        <v>249</v>
      </c>
      <c r="B207" s="89" t="s">
        <v>1166</v>
      </c>
      <c r="C207" s="98" t="s">
        <v>464</v>
      </c>
    </row>
    <row r="208" spans="1:3" ht="15">
      <c r="A208" s="90" t="s">
        <v>249</v>
      </c>
      <c r="B208" s="89" t="s">
        <v>338</v>
      </c>
      <c r="C208" s="98" t="s">
        <v>464</v>
      </c>
    </row>
    <row r="209" spans="1:3" ht="15">
      <c r="A209" s="90" t="s">
        <v>298</v>
      </c>
      <c r="B209" s="89" t="s">
        <v>1080</v>
      </c>
      <c r="C209" s="98" t="s">
        <v>524</v>
      </c>
    </row>
    <row r="210" spans="1:3" ht="15">
      <c r="A210" s="90" t="s">
        <v>298</v>
      </c>
      <c r="B210" s="89" t="s">
        <v>1081</v>
      </c>
      <c r="C210" s="98" t="s">
        <v>524</v>
      </c>
    </row>
    <row r="211" spans="1:3" ht="15">
      <c r="A211" s="90" t="s">
        <v>298</v>
      </c>
      <c r="B211" s="89" t="s">
        <v>1082</v>
      </c>
      <c r="C211" s="98" t="s">
        <v>524</v>
      </c>
    </row>
    <row r="212" spans="1:3" ht="15">
      <c r="A212" s="90" t="s">
        <v>298</v>
      </c>
      <c r="B212" s="89" t="s">
        <v>930</v>
      </c>
      <c r="C212" s="98" t="s">
        <v>524</v>
      </c>
    </row>
    <row r="213" spans="1:3" ht="15">
      <c r="A213" s="90" t="s">
        <v>298</v>
      </c>
      <c r="B213" s="89" t="s">
        <v>940</v>
      </c>
      <c r="C213" s="98" t="s">
        <v>524</v>
      </c>
    </row>
    <row r="214" spans="1:3" ht="15">
      <c r="A214" s="90" t="s">
        <v>298</v>
      </c>
      <c r="B214" s="89" t="s">
        <v>941</v>
      </c>
      <c r="C214" s="98" t="s">
        <v>524</v>
      </c>
    </row>
    <row r="215" spans="1:3" ht="15">
      <c r="A215" s="90" t="s">
        <v>298</v>
      </c>
      <c r="B215" s="89" t="s">
        <v>1083</v>
      </c>
      <c r="C215" s="98" t="s">
        <v>524</v>
      </c>
    </row>
    <row r="216" spans="1:3" ht="15">
      <c r="A216" s="90" t="s">
        <v>298</v>
      </c>
      <c r="B216" s="89" t="s">
        <v>931</v>
      </c>
      <c r="C216" s="98" t="s">
        <v>524</v>
      </c>
    </row>
    <row r="217" spans="1:3" ht="15">
      <c r="A217" s="90" t="s">
        <v>298</v>
      </c>
      <c r="B217" s="89" t="s">
        <v>1084</v>
      </c>
      <c r="C217" s="98" t="s">
        <v>524</v>
      </c>
    </row>
    <row r="218" spans="1:3" ht="15">
      <c r="A218" s="90" t="s">
        <v>298</v>
      </c>
      <c r="B218" s="89" t="s">
        <v>1085</v>
      </c>
      <c r="C218" s="98" t="s">
        <v>524</v>
      </c>
    </row>
    <row r="219" spans="1:3" ht="15">
      <c r="A219" s="90" t="s">
        <v>298</v>
      </c>
      <c r="B219" s="89" t="s">
        <v>1086</v>
      </c>
      <c r="C219" s="98" t="s">
        <v>524</v>
      </c>
    </row>
    <row r="220" spans="1:3" ht="15">
      <c r="A220" s="90" t="s">
        <v>298</v>
      </c>
      <c r="B220" s="89" t="s">
        <v>942</v>
      </c>
      <c r="C220" s="98" t="s">
        <v>524</v>
      </c>
    </row>
    <row r="221" spans="1:3" ht="15">
      <c r="A221" s="90" t="s">
        <v>298</v>
      </c>
      <c r="B221" s="89" t="s">
        <v>938</v>
      </c>
      <c r="C221" s="98" t="s">
        <v>524</v>
      </c>
    </row>
    <row r="222" spans="1:3" ht="15">
      <c r="A222" s="90" t="s">
        <v>298</v>
      </c>
      <c r="B222" s="89" t="s">
        <v>935</v>
      </c>
      <c r="C222" s="98" t="s">
        <v>524</v>
      </c>
    </row>
    <row r="223" spans="1:3" ht="15">
      <c r="A223" s="90" t="s">
        <v>298</v>
      </c>
      <c r="B223" s="89" t="s">
        <v>934</v>
      </c>
      <c r="C223" s="98" t="s">
        <v>524</v>
      </c>
    </row>
    <row r="224" spans="1:3" ht="15">
      <c r="A224" s="90" t="s">
        <v>298</v>
      </c>
      <c r="B224" s="89" t="s">
        <v>1087</v>
      </c>
      <c r="C224" s="98" t="s">
        <v>524</v>
      </c>
    </row>
    <row r="225" spans="1:3" ht="15">
      <c r="A225" s="90" t="s">
        <v>298</v>
      </c>
      <c r="B225" s="89" t="s">
        <v>1088</v>
      </c>
      <c r="C225" s="98" t="s">
        <v>524</v>
      </c>
    </row>
    <row r="226" spans="1:3" ht="15">
      <c r="A226" s="90" t="s">
        <v>298</v>
      </c>
      <c r="B226" s="89" t="s">
        <v>936</v>
      </c>
      <c r="C226" s="98" t="s">
        <v>524</v>
      </c>
    </row>
    <row r="227" spans="1:3" ht="15">
      <c r="A227" s="90" t="s">
        <v>298</v>
      </c>
      <c r="B227" s="89" t="s">
        <v>1089</v>
      </c>
      <c r="C227" s="98" t="s">
        <v>524</v>
      </c>
    </row>
    <row r="228" spans="1:3" ht="15">
      <c r="A228" s="90" t="s">
        <v>298</v>
      </c>
      <c r="B228" s="89" t="s">
        <v>943</v>
      </c>
      <c r="C228" s="98" t="s">
        <v>524</v>
      </c>
    </row>
    <row r="229" spans="1:3" ht="15">
      <c r="A229" s="90" t="s">
        <v>298</v>
      </c>
      <c r="B229" s="89" t="s">
        <v>1090</v>
      </c>
      <c r="C229" s="98" t="s">
        <v>524</v>
      </c>
    </row>
    <row r="230" spans="1:3" ht="15">
      <c r="A230" s="90" t="s">
        <v>298</v>
      </c>
      <c r="B230" s="89" t="s">
        <v>933</v>
      </c>
      <c r="C230" s="98" t="s">
        <v>524</v>
      </c>
    </row>
    <row r="231" spans="1:3" ht="15">
      <c r="A231" s="90" t="s">
        <v>298</v>
      </c>
      <c r="B231" s="89" t="s">
        <v>338</v>
      </c>
      <c r="C231" s="98" t="s">
        <v>524</v>
      </c>
    </row>
    <row r="232" spans="1:3" ht="15">
      <c r="A232" s="90" t="s">
        <v>298</v>
      </c>
      <c r="B232" s="89" t="s">
        <v>1091</v>
      </c>
      <c r="C232" s="98" t="s">
        <v>524</v>
      </c>
    </row>
    <row r="233" spans="1:3" ht="15">
      <c r="A233" s="90" t="s">
        <v>298</v>
      </c>
      <c r="B233" s="89" t="s">
        <v>299</v>
      </c>
      <c r="C233" s="98" t="s">
        <v>524</v>
      </c>
    </row>
    <row r="234" spans="1:3" ht="15">
      <c r="A234" s="90" t="s">
        <v>2132</v>
      </c>
      <c r="B234" s="89" t="s">
        <v>2450</v>
      </c>
      <c r="C234" s="98" t="s">
        <v>2229</v>
      </c>
    </row>
    <row r="235" spans="1:3" ht="15">
      <c r="A235" s="90" t="s">
        <v>2132</v>
      </c>
      <c r="B235" s="89" t="s">
        <v>1662</v>
      </c>
      <c r="C235" s="98" t="s">
        <v>2229</v>
      </c>
    </row>
    <row r="236" spans="1:3" ht="15">
      <c r="A236" s="90" t="s">
        <v>2132</v>
      </c>
      <c r="B236" s="89" t="s">
        <v>1772</v>
      </c>
      <c r="C236" s="98" t="s">
        <v>2229</v>
      </c>
    </row>
    <row r="237" spans="1:3" ht="15">
      <c r="A237" s="90" t="s">
        <v>2132</v>
      </c>
      <c r="B237" s="89" t="s">
        <v>2451</v>
      </c>
      <c r="C237" s="98" t="s">
        <v>2229</v>
      </c>
    </row>
    <row r="238" spans="1:3" ht="15">
      <c r="A238" s="90" t="s">
        <v>2132</v>
      </c>
      <c r="B238" s="89" t="s">
        <v>2452</v>
      </c>
      <c r="C238" s="98" t="s">
        <v>2229</v>
      </c>
    </row>
    <row r="239" spans="1:3" ht="15">
      <c r="A239" s="90" t="s">
        <v>2132</v>
      </c>
      <c r="B239" s="89" t="s">
        <v>1187</v>
      </c>
      <c r="C239" s="98" t="s">
        <v>2229</v>
      </c>
    </row>
    <row r="240" spans="1:3" ht="15">
      <c r="A240" s="90" t="s">
        <v>2132</v>
      </c>
      <c r="B240" s="89" t="s">
        <v>2453</v>
      </c>
      <c r="C240" s="98" t="s">
        <v>2229</v>
      </c>
    </row>
    <row r="241" spans="1:3" ht="15">
      <c r="A241" s="90" t="s">
        <v>2132</v>
      </c>
      <c r="B241" s="89" t="s">
        <v>2454</v>
      </c>
      <c r="C241" s="98" t="s">
        <v>2229</v>
      </c>
    </row>
    <row r="242" spans="1:3" ht="15">
      <c r="A242" s="90" t="s">
        <v>2132</v>
      </c>
      <c r="B242" s="89" t="s">
        <v>1087</v>
      </c>
      <c r="C242" s="98" t="s">
        <v>2229</v>
      </c>
    </row>
    <row r="243" spans="1:3" ht="15">
      <c r="A243" s="90" t="s">
        <v>2132</v>
      </c>
      <c r="B243" s="89" t="s">
        <v>1597</v>
      </c>
      <c r="C243" s="98" t="s">
        <v>2229</v>
      </c>
    </row>
    <row r="244" spans="1:3" ht="15">
      <c r="A244" s="90" t="s">
        <v>2132</v>
      </c>
      <c r="B244" s="89" t="s">
        <v>2455</v>
      </c>
      <c r="C244" s="98" t="s">
        <v>2229</v>
      </c>
    </row>
    <row r="245" spans="1:3" ht="15">
      <c r="A245" s="90" t="s">
        <v>2132</v>
      </c>
      <c r="B245" s="89" t="s">
        <v>1653</v>
      </c>
      <c r="C245" s="98" t="s">
        <v>2229</v>
      </c>
    </row>
    <row r="246" spans="1:3" ht="15">
      <c r="A246" s="90" t="s">
        <v>2132</v>
      </c>
      <c r="B246" s="89" t="s">
        <v>2456</v>
      </c>
      <c r="C246" s="98" t="s">
        <v>2229</v>
      </c>
    </row>
    <row r="247" spans="1:3" ht="15">
      <c r="A247" s="90" t="s">
        <v>2132</v>
      </c>
      <c r="B247" s="89" t="s">
        <v>1094</v>
      </c>
      <c r="C247" s="98" t="s">
        <v>2229</v>
      </c>
    </row>
    <row r="248" spans="1:3" ht="15">
      <c r="A248" s="90" t="s">
        <v>2132</v>
      </c>
      <c r="B248" s="89" t="s">
        <v>2457</v>
      </c>
      <c r="C248" s="98" t="s">
        <v>2229</v>
      </c>
    </row>
    <row r="249" spans="1:3" ht="15">
      <c r="A249" s="90" t="s">
        <v>2132</v>
      </c>
      <c r="B249" s="89" t="s">
        <v>2458</v>
      </c>
      <c r="C249" s="98" t="s">
        <v>2229</v>
      </c>
    </row>
    <row r="250" spans="1:3" ht="15">
      <c r="A250" s="90" t="s">
        <v>2132</v>
      </c>
      <c r="B250" s="89" t="s">
        <v>1544</v>
      </c>
      <c r="C250" s="98" t="s">
        <v>2229</v>
      </c>
    </row>
    <row r="251" spans="1:3" ht="15">
      <c r="A251" s="90" t="s">
        <v>2132</v>
      </c>
      <c r="B251" s="89" t="s">
        <v>1542</v>
      </c>
      <c r="C251" s="98" t="s">
        <v>2229</v>
      </c>
    </row>
    <row r="252" spans="1:3" ht="15">
      <c r="A252" s="90" t="s">
        <v>292</v>
      </c>
      <c r="B252" s="89" t="s">
        <v>1080</v>
      </c>
      <c r="C252" s="98" t="s">
        <v>516</v>
      </c>
    </row>
    <row r="253" spans="1:3" ht="15">
      <c r="A253" s="90" t="s">
        <v>292</v>
      </c>
      <c r="B253" s="89" t="s">
        <v>1081</v>
      </c>
      <c r="C253" s="98" t="s">
        <v>516</v>
      </c>
    </row>
    <row r="254" spans="1:3" ht="15">
      <c r="A254" s="90" t="s">
        <v>292</v>
      </c>
      <c r="B254" s="89" t="s">
        <v>1082</v>
      </c>
      <c r="C254" s="98" t="s">
        <v>516</v>
      </c>
    </row>
    <row r="255" spans="1:3" ht="15">
      <c r="A255" s="90" t="s">
        <v>292</v>
      </c>
      <c r="B255" s="89" t="s">
        <v>930</v>
      </c>
      <c r="C255" s="98" t="s">
        <v>516</v>
      </c>
    </row>
    <row r="256" spans="1:3" ht="15">
      <c r="A256" s="90" t="s">
        <v>292</v>
      </c>
      <c r="B256" s="89" t="s">
        <v>940</v>
      </c>
      <c r="C256" s="98" t="s">
        <v>516</v>
      </c>
    </row>
    <row r="257" spans="1:3" ht="15">
      <c r="A257" s="90" t="s">
        <v>292</v>
      </c>
      <c r="B257" s="89" t="s">
        <v>941</v>
      </c>
      <c r="C257" s="98" t="s">
        <v>516</v>
      </c>
    </row>
    <row r="258" spans="1:3" ht="15">
      <c r="A258" s="90" t="s">
        <v>292</v>
      </c>
      <c r="B258" s="89" t="s">
        <v>1083</v>
      </c>
      <c r="C258" s="98" t="s">
        <v>516</v>
      </c>
    </row>
    <row r="259" spans="1:3" ht="15">
      <c r="A259" s="90" t="s">
        <v>292</v>
      </c>
      <c r="B259" s="89" t="s">
        <v>931</v>
      </c>
      <c r="C259" s="98" t="s">
        <v>516</v>
      </c>
    </row>
    <row r="260" spans="1:3" ht="15">
      <c r="A260" s="90" t="s">
        <v>292</v>
      </c>
      <c r="B260" s="89" t="s">
        <v>1084</v>
      </c>
      <c r="C260" s="98" t="s">
        <v>516</v>
      </c>
    </row>
    <row r="261" spans="1:3" ht="15">
      <c r="A261" s="90" t="s">
        <v>292</v>
      </c>
      <c r="B261" s="89" t="s">
        <v>1085</v>
      </c>
      <c r="C261" s="98" t="s">
        <v>516</v>
      </c>
    </row>
    <row r="262" spans="1:3" ht="15">
      <c r="A262" s="90" t="s">
        <v>292</v>
      </c>
      <c r="B262" s="89" t="s">
        <v>1086</v>
      </c>
      <c r="C262" s="98" t="s">
        <v>516</v>
      </c>
    </row>
    <row r="263" spans="1:3" ht="15">
      <c r="A263" s="90" t="s">
        <v>292</v>
      </c>
      <c r="B263" s="89" t="s">
        <v>942</v>
      </c>
      <c r="C263" s="98" t="s">
        <v>516</v>
      </c>
    </row>
    <row r="264" spans="1:3" ht="15">
      <c r="A264" s="90" t="s">
        <v>292</v>
      </c>
      <c r="B264" s="89" t="s">
        <v>938</v>
      </c>
      <c r="C264" s="98" t="s">
        <v>516</v>
      </c>
    </row>
    <row r="265" spans="1:3" ht="15">
      <c r="A265" s="90" t="s">
        <v>292</v>
      </c>
      <c r="B265" s="89" t="s">
        <v>935</v>
      </c>
      <c r="C265" s="98" t="s">
        <v>516</v>
      </c>
    </row>
    <row r="266" spans="1:3" ht="15">
      <c r="A266" s="90" t="s">
        <v>292</v>
      </c>
      <c r="B266" s="89" t="s">
        <v>934</v>
      </c>
      <c r="C266" s="98" t="s">
        <v>516</v>
      </c>
    </row>
    <row r="267" spans="1:3" ht="15">
      <c r="A267" s="90" t="s">
        <v>292</v>
      </c>
      <c r="B267" s="89" t="s">
        <v>1087</v>
      </c>
      <c r="C267" s="98" t="s">
        <v>516</v>
      </c>
    </row>
    <row r="268" spans="1:3" ht="15">
      <c r="A268" s="90" t="s">
        <v>292</v>
      </c>
      <c r="B268" s="89" t="s">
        <v>1088</v>
      </c>
      <c r="C268" s="98" t="s">
        <v>516</v>
      </c>
    </row>
    <row r="269" spans="1:3" ht="15">
      <c r="A269" s="90" t="s">
        <v>292</v>
      </c>
      <c r="B269" s="89" t="s">
        <v>936</v>
      </c>
      <c r="C269" s="98" t="s">
        <v>516</v>
      </c>
    </row>
    <row r="270" spans="1:3" ht="15">
      <c r="A270" s="90" t="s">
        <v>292</v>
      </c>
      <c r="B270" s="89" t="s">
        <v>1089</v>
      </c>
      <c r="C270" s="98" t="s">
        <v>516</v>
      </c>
    </row>
    <row r="271" spans="1:3" ht="15">
      <c r="A271" s="90" t="s">
        <v>292</v>
      </c>
      <c r="B271" s="89" t="s">
        <v>943</v>
      </c>
      <c r="C271" s="98" t="s">
        <v>516</v>
      </c>
    </row>
    <row r="272" spans="1:3" ht="15">
      <c r="A272" s="90" t="s">
        <v>292</v>
      </c>
      <c r="B272" s="89" t="s">
        <v>1090</v>
      </c>
      <c r="C272" s="98" t="s">
        <v>516</v>
      </c>
    </row>
    <row r="273" spans="1:3" ht="15">
      <c r="A273" s="90" t="s">
        <v>292</v>
      </c>
      <c r="B273" s="89" t="s">
        <v>933</v>
      </c>
      <c r="C273" s="98" t="s">
        <v>516</v>
      </c>
    </row>
    <row r="274" spans="1:3" ht="15">
      <c r="A274" s="90" t="s">
        <v>292</v>
      </c>
      <c r="B274" s="89" t="s">
        <v>338</v>
      </c>
      <c r="C274" s="98" t="s">
        <v>516</v>
      </c>
    </row>
    <row r="275" spans="1:3" ht="15">
      <c r="A275" s="90" t="s">
        <v>292</v>
      </c>
      <c r="B275" s="89" t="s">
        <v>1091</v>
      </c>
      <c r="C275" s="98" t="s">
        <v>516</v>
      </c>
    </row>
    <row r="276" spans="1:3" ht="15">
      <c r="A276" s="90" t="s">
        <v>292</v>
      </c>
      <c r="B276" s="89" t="s">
        <v>299</v>
      </c>
      <c r="C276" s="98" t="s">
        <v>516</v>
      </c>
    </row>
    <row r="277" spans="1:3" ht="15">
      <c r="A277" s="90" t="s">
        <v>292</v>
      </c>
      <c r="B277" s="89" t="s">
        <v>2459</v>
      </c>
      <c r="C277" s="98" t="s">
        <v>2228</v>
      </c>
    </row>
    <row r="278" spans="1:3" ht="15">
      <c r="A278" s="90" t="s">
        <v>292</v>
      </c>
      <c r="B278" s="89" t="s">
        <v>1087</v>
      </c>
      <c r="C278" s="98" t="s">
        <v>2228</v>
      </c>
    </row>
    <row r="279" spans="1:3" ht="15">
      <c r="A279" s="90" t="s">
        <v>292</v>
      </c>
      <c r="B279" s="89" t="s">
        <v>2395</v>
      </c>
      <c r="C279" s="98" t="s">
        <v>2228</v>
      </c>
    </row>
    <row r="280" spans="1:3" ht="15">
      <c r="A280" s="90" t="s">
        <v>292</v>
      </c>
      <c r="B280" s="89" t="s">
        <v>934</v>
      </c>
      <c r="C280" s="98" t="s">
        <v>2228</v>
      </c>
    </row>
    <row r="281" spans="1:3" ht="15">
      <c r="A281" s="90" t="s">
        <v>292</v>
      </c>
      <c r="B281" s="89" t="s">
        <v>1094</v>
      </c>
      <c r="C281" s="98" t="s">
        <v>2228</v>
      </c>
    </row>
    <row r="282" spans="1:3" ht="15">
      <c r="A282" s="90" t="s">
        <v>292</v>
      </c>
      <c r="B282" s="89" t="s">
        <v>1292</v>
      </c>
      <c r="C282" s="98" t="s">
        <v>2228</v>
      </c>
    </row>
    <row r="283" spans="1:3" ht="15">
      <c r="A283" s="90" t="s">
        <v>292</v>
      </c>
      <c r="B283" s="89" t="s">
        <v>1428</v>
      </c>
      <c r="C283" s="98" t="s">
        <v>2228</v>
      </c>
    </row>
    <row r="284" spans="1:3" ht="15">
      <c r="A284" s="90" t="s">
        <v>292</v>
      </c>
      <c r="B284" s="89" t="s">
        <v>2396</v>
      </c>
      <c r="C284" s="98" t="s">
        <v>2228</v>
      </c>
    </row>
    <row r="285" spans="1:3" ht="15">
      <c r="A285" s="90" t="s">
        <v>292</v>
      </c>
      <c r="B285" s="89" t="s">
        <v>2397</v>
      </c>
      <c r="C285" s="98" t="s">
        <v>2228</v>
      </c>
    </row>
    <row r="286" spans="1:3" ht="15">
      <c r="A286" s="90" t="s">
        <v>292</v>
      </c>
      <c r="B286" s="89" t="s">
        <v>1832</v>
      </c>
      <c r="C286" s="98" t="s">
        <v>2228</v>
      </c>
    </row>
    <row r="287" spans="1:3" ht="15">
      <c r="A287" s="90" t="s">
        <v>292</v>
      </c>
      <c r="B287" s="89" t="s">
        <v>1683</v>
      </c>
      <c r="C287" s="98" t="s">
        <v>2228</v>
      </c>
    </row>
    <row r="288" spans="1:3" ht="15">
      <c r="A288" s="90" t="s">
        <v>292</v>
      </c>
      <c r="B288" s="89" t="s">
        <v>2460</v>
      </c>
      <c r="C288" s="98" t="s">
        <v>2228</v>
      </c>
    </row>
    <row r="289" spans="1:3" ht="15">
      <c r="A289" s="90" t="s">
        <v>292</v>
      </c>
      <c r="B289" s="89" t="s">
        <v>2398</v>
      </c>
      <c r="C289" s="98" t="s">
        <v>2228</v>
      </c>
    </row>
    <row r="290" spans="1:3" ht="15">
      <c r="A290" s="90" t="s">
        <v>292</v>
      </c>
      <c r="B290" s="89" t="s">
        <v>2399</v>
      </c>
      <c r="C290" s="98" t="s">
        <v>2228</v>
      </c>
    </row>
    <row r="291" spans="1:3" ht="15">
      <c r="A291" s="90" t="s">
        <v>292</v>
      </c>
      <c r="B291" s="89" t="s">
        <v>2400</v>
      </c>
      <c r="C291" s="98" t="s">
        <v>2228</v>
      </c>
    </row>
    <row r="292" spans="1:3" ht="15">
      <c r="A292" s="90" t="s">
        <v>292</v>
      </c>
      <c r="B292" s="89" t="s">
        <v>1468</v>
      </c>
      <c r="C292" s="98" t="s">
        <v>2228</v>
      </c>
    </row>
    <row r="293" spans="1:3" ht="15">
      <c r="A293" s="90" t="s">
        <v>292</v>
      </c>
      <c r="B293" s="89" t="s">
        <v>1027</v>
      </c>
      <c r="C293" s="98" t="s">
        <v>2228</v>
      </c>
    </row>
    <row r="294" spans="1:3" ht="15">
      <c r="A294" s="90" t="s">
        <v>292</v>
      </c>
      <c r="B294" s="89" t="s">
        <v>945</v>
      </c>
      <c r="C294" s="98" t="s">
        <v>2228</v>
      </c>
    </row>
    <row r="295" spans="1:3" ht="15">
      <c r="A295" s="90" t="s">
        <v>292</v>
      </c>
      <c r="B295" s="89" t="s">
        <v>1090</v>
      </c>
      <c r="C295" s="98" t="s">
        <v>2228</v>
      </c>
    </row>
    <row r="296" spans="1:3" ht="15">
      <c r="A296" s="90" t="s">
        <v>292</v>
      </c>
      <c r="B296" s="89" t="s">
        <v>2461</v>
      </c>
      <c r="C296" s="98" t="s">
        <v>2228</v>
      </c>
    </row>
    <row r="297" spans="1:3" ht="15">
      <c r="A297" s="90" t="s">
        <v>292</v>
      </c>
      <c r="B297" s="89" t="s">
        <v>2462</v>
      </c>
      <c r="C297" s="98" t="s">
        <v>2228</v>
      </c>
    </row>
    <row r="298" spans="1:3" ht="15">
      <c r="A298" s="90" t="s">
        <v>292</v>
      </c>
      <c r="B298" s="89" t="s">
        <v>966</v>
      </c>
      <c r="C298" s="98" t="s">
        <v>2228</v>
      </c>
    </row>
    <row r="299" spans="1:3" ht="15">
      <c r="A299" s="90" t="s">
        <v>292</v>
      </c>
      <c r="B299" s="89" t="s">
        <v>2463</v>
      </c>
      <c r="C299" s="98" t="s">
        <v>2228</v>
      </c>
    </row>
    <row r="300" spans="1:3" ht="15">
      <c r="A300" s="90" t="s">
        <v>292</v>
      </c>
      <c r="B300" s="89" t="s">
        <v>2365</v>
      </c>
      <c r="C300" s="98" t="s">
        <v>2228</v>
      </c>
    </row>
    <row r="301" spans="1:3" ht="15">
      <c r="A301" s="90" t="s">
        <v>292</v>
      </c>
      <c r="B301" s="89" t="s">
        <v>2402</v>
      </c>
      <c r="C301" s="98" t="s">
        <v>2228</v>
      </c>
    </row>
    <row r="302" spans="1:3" ht="15">
      <c r="A302" s="90" t="s">
        <v>292</v>
      </c>
      <c r="B302" s="89" t="s">
        <v>2403</v>
      </c>
      <c r="C302" s="98" t="s">
        <v>2228</v>
      </c>
    </row>
    <row r="303" spans="1:3" ht="15">
      <c r="A303" s="90" t="s">
        <v>292</v>
      </c>
      <c r="B303" s="89" t="s">
        <v>996</v>
      </c>
      <c r="C303" s="98" t="s">
        <v>2228</v>
      </c>
    </row>
    <row r="304" spans="1:3" ht="15">
      <c r="A304" s="90" t="s">
        <v>292</v>
      </c>
      <c r="B304" s="89" t="s">
        <v>997</v>
      </c>
      <c r="C304" s="98" t="s">
        <v>2228</v>
      </c>
    </row>
    <row r="305" spans="1:3" ht="15">
      <c r="A305" s="90" t="s">
        <v>292</v>
      </c>
      <c r="B305" s="89" t="s">
        <v>998</v>
      </c>
      <c r="C305" s="98" t="s">
        <v>2228</v>
      </c>
    </row>
    <row r="306" spans="1:3" ht="15">
      <c r="A306" s="90" t="s">
        <v>292</v>
      </c>
      <c r="B306" s="89" t="s">
        <v>2464</v>
      </c>
      <c r="C306" s="98" t="s">
        <v>2228</v>
      </c>
    </row>
    <row r="307" spans="1:3" ht="15">
      <c r="A307" s="90" t="s">
        <v>290</v>
      </c>
      <c r="B307" s="89" t="s">
        <v>1090</v>
      </c>
      <c r="C307" s="98" t="s">
        <v>511</v>
      </c>
    </row>
    <row r="308" spans="1:3" ht="15">
      <c r="A308" s="90" t="s">
        <v>290</v>
      </c>
      <c r="B308" s="89" t="s">
        <v>930</v>
      </c>
      <c r="C308" s="98" t="s">
        <v>511</v>
      </c>
    </row>
    <row r="309" spans="1:3" ht="15">
      <c r="A309" s="90" t="s">
        <v>290</v>
      </c>
      <c r="B309" s="89" t="s">
        <v>933</v>
      </c>
      <c r="C309" s="98" t="s">
        <v>511</v>
      </c>
    </row>
    <row r="310" spans="1:3" ht="15">
      <c r="A310" s="90" t="s">
        <v>290</v>
      </c>
      <c r="B310" s="89" t="s">
        <v>1092</v>
      </c>
      <c r="C310" s="98" t="s">
        <v>511</v>
      </c>
    </row>
    <row r="311" spans="1:3" ht="15">
      <c r="A311" s="90" t="s">
        <v>290</v>
      </c>
      <c r="B311" s="89" t="s">
        <v>945</v>
      </c>
      <c r="C311" s="98" t="s">
        <v>511</v>
      </c>
    </row>
    <row r="312" spans="1:3" ht="15">
      <c r="A312" s="90" t="s">
        <v>290</v>
      </c>
      <c r="B312" s="89" t="s">
        <v>966</v>
      </c>
      <c r="C312" s="98" t="s">
        <v>511</v>
      </c>
    </row>
    <row r="313" spans="1:3" ht="15">
      <c r="A313" s="90" t="s">
        <v>290</v>
      </c>
      <c r="B313" s="89" t="s">
        <v>1001</v>
      </c>
      <c r="C313" s="98" t="s">
        <v>511</v>
      </c>
    </row>
    <row r="314" spans="1:3" ht="15">
      <c r="A314" s="90" t="s">
        <v>290</v>
      </c>
      <c r="B314" s="89" t="s">
        <v>1002</v>
      </c>
      <c r="C314" s="98" t="s">
        <v>511</v>
      </c>
    </row>
    <row r="315" spans="1:3" ht="15">
      <c r="A315" s="90" t="s">
        <v>290</v>
      </c>
      <c r="B315" s="89" t="s">
        <v>1003</v>
      </c>
      <c r="C315" s="98" t="s">
        <v>511</v>
      </c>
    </row>
    <row r="316" spans="1:3" ht="15">
      <c r="A316" s="90" t="s">
        <v>290</v>
      </c>
      <c r="B316" s="89" t="s">
        <v>931</v>
      </c>
      <c r="C316" s="98" t="s">
        <v>511</v>
      </c>
    </row>
    <row r="317" spans="1:3" ht="15">
      <c r="A317" s="90" t="s">
        <v>290</v>
      </c>
      <c r="B317" s="89" t="s">
        <v>1093</v>
      </c>
      <c r="C317" s="98" t="s">
        <v>511</v>
      </c>
    </row>
    <row r="318" spans="1:3" ht="15">
      <c r="A318" s="90" t="s">
        <v>290</v>
      </c>
      <c r="B318" s="89" t="s">
        <v>1094</v>
      </c>
      <c r="C318" s="98" t="s">
        <v>511</v>
      </c>
    </row>
    <row r="319" spans="1:3" ht="15">
      <c r="A319" s="90" t="s">
        <v>290</v>
      </c>
      <c r="B319" s="89" t="s">
        <v>1004</v>
      </c>
      <c r="C319" s="98" t="s">
        <v>511</v>
      </c>
    </row>
    <row r="320" spans="1:3" ht="15">
      <c r="A320" s="90" t="s">
        <v>290</v>
      </c>
      <c r="B320" s="89" t="s">
        <v>1095</v>
      </c>
      <c r="C320" s="98" t="s">
        <v>511</v>
      </c>
    </row>
    <row r="321" spans="1:3" ht="15">
      <c r="A321" s="90" t="s">
        <v>290</v>
      </c>
      <c r="B321" s="89" t="s">
        <v>1005</v>
      </c>
      <c r="C321" s="98" t="s">
        <v>511</v>
      </c>
    </row>
    <row r="322" spans="1:3" ht="15">
      <c r="A322" s="90" t="s">
        <v>290</v>
      </c>
      <c r="B322" s="89" t="s">
        <v>1096</v>
      </c>
      <c r="C322" s="98" t="s">
        <v>511</v>
      </c>
    </row>
    <row r="323" spans="1:3" ht="15">
      <c r="A323" s="90" t="s">
        <v>290</v>
      </c>
      <c r="B323" s="89" t="s">
        <v>1088</v>
      </c>
      <c r="C323" s="98" t="s">
        <v>511</v>
      </c>
    </row>
    <row r="324" spans="1:3" ht="15">
      <c r="A324" s="90" t="s">
        <v>290</v>
      </c>
      <c r="B324" s="89" t="s">
        <v>1006</v>
      </c>
      <c r="C324" s="98" t="s">
        <v>511</v>
      </c>
    </row>
    <row r="325" spans="1:3" ht="15">
      <c r="A325" s="90" t="s">
        <v>290</v>
      </c>
      <c r="B325" s="89" t="s">
        <v>985</v>
      </c>
      <c r="C325" s="98" t="s">
        <v>511</v>
      </c>
    </row>
    <row r="326" spans="1:3" ht="15">
      <c r="A326" s="90" t="s">
        <v>290</v>
      </c>
      <c r="B326" s="89" t="s">
        <v>934</v>
      </c>
      <c r="C326" s="98" t="s">
        <v>511</v>
      </c>
    </row>
    <row r="327" spans="1:3" ht="15">
      <c r="A327" s="90" t="s">
        <v>290</v>
      </c>
      <c r="B327" s="89" t="s">
        <v>1007</v>
      </c>
      <c r="C327" s="98" t="s">
        <v>511</v>
      </c>
    </row>
    <row r="328" spans="1:3" ht="15">
      <c r="A328" s="90" t="s">
        <v>290</v>
      </c>
      <c r="B328" s="89" t="s">
        <v>1089</v>
      </c>
      <c r="C328" s="98" t="s">
        <v>511</v>
      </c>
    </row>
    <row r="329" spans="1:3" ht="15">
      <c r="A329" s="90" t="s">
        <v>290</v>
      </c>
      <c r="B329" s="89" t="s">
        <v>1097</v>
      </c>
      <c r="C329" s="98" t="s">
        <v>511</v>
      </c>
    </row>
    <row r="330" spans="1:3" ht="15">
      <c r="A330" s="90" t="s">
        <v>290</v>
      </c>
      <c r="B330" s="89" t="s">
        <v>338</v>
      </c>
      <c r="C330" s="98" t="s">
        <v>511</v>
      </c>
    </row>
    <row r="331" spans="1:3" ht="15">
      <c r="A331" s="90" t="s">
        <v>291</v>
      </c>
      <c r="B331" s="89" t="s">
        <v>1090</v>
      </c>
      <c r="C331" s="98" t="s">
        <v>510</v>
      </c>
    </row>
    <row r="332" spans="1:3" ht="15">
      <c r="A332" s="90" t="s">
        <v>291</v>
      </c>
      <c r="B332" s="89" t="s">
        <v>930</v>
      </c>
      <c r="C332" s="98" t="s">
        <v>510</v>
      </c>
    </row>
    <row r="333" spans="1:3" ht="15">
      <c r="A333" s="90" t="s">
        <v>291</v>
      </c>
      <c r="B333" s="89" t="s">
        <v>933</v>
      </c>
      <c r="C333" s="98" t="s">
        <v>510</v>
      </c>
    </row>
    <row r="334" spans="1:3" ht="15">
      <c r="A334" s="90" t="s">
        <v>291</v>
      </c>
      <c r="B334" s="89" t="s">
        <v>1092</v>
      </c>
      <c r="C334" s="98" t="s">
        <v>510</v>
      </c>
    </row>
    <row r="335" spans="1:3" ht="15">
      <c r="A335" s="90" t="s">
        <v>291</v>
      </c>
      <c r="B335" s="89" t="s">
        <v>945</v>
      </c>
      <c r="C335" s="98" t="s">
        <v>510</v>
      </c>
    </row>
    <row r="336" spans="1:3" ht="15">
      <c r="A336" s="90" t="s">
        <v>291</v>
      </c>
      <c r="B336" s="89" t="s">
        <v>966</v>
      </c>
      <c r="C336" s="98" t="s">
        <v>510</v>
      </c>
    </row>
    <row r="337" spans="1:3" ht="15">
      <c r="A337" s="90" t="s">
        <v>291</v>
      </c>
      <c r="B337" s="89" t="s">
        <v>1001</v>
      </c>
      <c r="C337" s="98" t="s">
        <v>510</v>
      </c>
    </row>
    <row r="338" spans="1:3" ht="15">
      <c r="A338" s="90" t="s">
        <v>291</v>
      </c>
      <c r="B338" s="89" t="s">
        <v>1002</v>
      </c>
      <c r="C338" s="98" t="s">
        <v>510</v>
      </c>
    </row>
    <row r="339" spans="1:3" ht="15">
      <c r="A339" s="90" t="s">
        <v>291</v>
      </c>
      <c r="B339" s="89" t="s">
        <v>1003</v>
      </c>
      <c r="C339" s="98" t="s">
        <v>510</v>
      </c>
    </row>
    <row r="340" spans="1:3" ht="15">
      <c r="A340" s="90" t="s">
        <v>291</v>
      </c>
      <c r="B340" s="89" t="s">
        <v>931</v>
      </c>
      <c r="C340" s="98" t="s">
        <v>510</v>
      </c>
    </row>
    <row r="341" spans="1:3" ht="15">
      <c r="A341" s="90" t="s">
        <v>291</v>
      </c>
      <c r="B341" s="89" t="s">
        <v>1093</v>
      </c>
      <c r="C341" s="98" t="s">
        <v>510</v>
      </c>
    </row>
    <row r="342" spans="1:3" ht="15">
      <c r="A342" s="90" t="s">
        <v>291</v>
      </c>
      <c r="B342" s="89" t="s">
        <v>1094</v>
      </c>
      <c r="C342" s="98" t="s">
        <v>510</v>
      </c>
    </row>
    <row r="343" spans="1:3" ht="15">
      <c r="A343" s="90" t="s">
        <v>291</v>
      </c>
      <c r="B343" s="89" t="s">
        <v>1004</v>
      </c>
      <c r="C343" s="98" t="s">
        <v>510</v>
      </c>
    </row>
    <row r="344" spans="1:3" ht="15">
      <c r="A344" s="90" t="s">
        <v>291</v>
      </c>
      <c r="B344" s="89" t="s">
        <v>1095</v>
      </c>
      <c r="C344" s="98" t="s">
        <v>510</v>
      </c>
    </row>
    <row r="345" spans="1:3" ht="15">
      <c r="A345" s="90" t="s">
        <v>291</v>
      </c>
      <c r="B345" s="89" t="s">
        <v>1005</v>
      </c>
      <c r="C345" s="98" t="s">
        <v>510</v>
      </c>
    </row>
    <row r="346" spans="1:3" ht="15">
      <c r="A346" s="90" t="s">
        <v>291</v>
      </c>
      <c r="B346" s="89" t="s">
        <v>1096</v>
      </c>
      <c r="C346" s="98" t="s">
        <v>510</v>
      </c>
    </row>
    <row r="347" spans="1:3" ht="15">
      <c r="A347" s="90" t="s">
        <v>291</v>
      </c>
      <c r="B347" s="89" t="s">
        <v>1088</v>
      </c>
      <c r="C347" s="98" t="s">
        <v>510</v>
      </c>
    </row>
    <row r="348" spans="1:3" ht="15">
      <c r="A348" s="90" t="s">
        <v>291</v>
      </c>
      <c r="B348" s="89" t="s">
        <v>1006</v>
      </c>
      <c r="C348" s="98" t="s">
        <v>510</v>
      </c>
    </row>
    <row r="349" spans="1:3" ht="15">
      <c r="A349" s="90" t="s">
        <v>291</v>
      </c>
      <c r="B349" s="89" t="s">
        <v>985</v>
      </c>
      <c r="C349" s="98" t="s">
        <v>510</v>
      </c>
    </row>
    <row r="350" spans="1:3" ht="15">
      <c r="A350" s="90" t="s">
        <v>291</v>
      </c>
      <c r="B350" s="89" t="s">
        <v>934</v>
      </c>
      <c r="C350" s="98" t="s">
        <v>510</v>
      </c>
    </row>
    <row r="351" spans="1:3" ht="15">
      <c r="A351" s="90" t="s">
        <v>291</v>
      </c>
      <c r="B351" s="89" t="s">
        <v>1007</v>
      </c>
      <c r="C351" s="98" t="s">
        <v>510</v>
      </c>
    </row>
    <row r="352" spans="1:3" ht="15">
      <c r="A352" s="90" t="s">
        <v>291</v>
      </c>
      <c r="B352" s="89" t="s">
        <v>1089</v>
      </c>
      <c r="C352" s="98" t="s">
        <v>510</v>
      </c>
    </row>
    <row r="353" spans="1:3" ht="15">
      <c r="A353" s="90" t="s">
        <v>291</v>
      </c>
      <c r="B353" s="89" t="s">
        <v>1097</v>
      </c>
      <c r="C353" s="98" t="s">
        <v>510</v>
      </c>
    </row>
    <row r="354" spans="1:3" ht="15">
      <c r="A354" s="90" t="s">
        <v>291</v>
      </c>
      <c r="B354" s="89" t="s">
        <v>338</v>
      </c>
      <c r="C354" s="98" t="s">
        <v>510</v>
      </c>
    </row>
    <row r="355" spans="1:3" ht="15">
      <c r="A355" s="90" t="s">
        <v>290</v>
      </c>
      <c r="B355" s="89" t="s">
        <v>1098</v>
      </c>
      <c r="C355" s="98" t="s">
        <v>515</v>
      </c>
    </row>
    <row r="356" spans="1:3" ht="15">
      <c r="A356" s="90" t="s">
        <v>290</v>
      </c>
      <c r="B356" s="89" t="s">
        <v>1097</v>
      </c>
      <c r="C356" s="98" t="s">
        <v>515</v>
      </c>
    </row>
    <row r="357" spans="1:3" ht="15">
      <c r="A357" s="90" t="s">
        <v>290</v>
      </c>
      <c r="B357" s="89" t="s">
        <v>967</v>
      </c>
      <c r="C357" s="98" t="s">
        <v>515</v>
      </c>
    </row>
    <row r="358" spans="1:3" ht="15">
      <c r="A358" s="90" t="s">
        <v>290</v>
      </c>
      <c r="B358" s="89" t="s">
        <v>1090</v>
      </c>
      <c r="C358" s="98" t="s">
        <v>515</v>
      </c>
    </row>
    <row r="359" spans="1:3" ht="15">
      <c r="A359" s="90" t="s">
        <v>290</v>
      </c>
      <c r="B359" s="89" t="s">
        <v>930</v>
      </c>
      <c r="C359" s="98" t="s">
        <v>515</v>
      </c>
    </row>
    <row r="360" spans="1:3" ht="15">
      <c r="A360" s="90" t="s">
        <v>290</v>
      </c>
      <c r="B360" s="89" t="s">
        <v>933</v>
      </c>
      <c r="C360" s="98" t="s">
        <v>515</v>
      </c>
    </row>
    <row r="361" spans="1:3" ht="15">
      <c r="A361" s="90" t="s">
        <v>290</v>
      </c>
      <c r="B361" s="89" t="s">
        <v>935</v>
      </c>
      <c r="C361" s="98" t="s">
        <v>515</v>
      </c>
    </row>
    <row r="362" spans="1:3" ht="15">
      <c r="A362" s="90" t="s">
        <v>290</v>
      </c>
      <c r="B362" s="89" t="s">
        <v>1099</v>
      </c>
      <c r="C362" s="98" t="s">
        <v>515</v>
      </c>
    </row>
    <row r="363" spans="1:3" ht="15">
      <c r="A363" s="90" t="s">
        <v>290</v>
      </c>
      <c r="B363" s="89" t="s">
        <v>968</v>
      </c>
      <c r="C363" s="98" t="s">
        <v>515</v>
      </c>
    </row>
    <row r="364" spans="1:3" ht="15">
      <c r="A364" s="90" t="s">
        <v>290</v>
      </c>
      <c r="B364" s="89" t="s">
        <v>1100</v>
      </c>
      <c r="C364" s="98" t="s">
        <v>515</v>
      </c>
    </row>
    <row r="365" spans="1:3" ht="15">
      <c r="A365" s="90" t="s">
        <v>290</v>
      </c>
      <c r="B365" s="89" t="s">
        <v>969</v>
      </c>
      <c r="C365" s="98" t="s">
        <v>515</v>
      </c>
    </row>
    <row r="366" spans="1:3" ht="15">
      <c r="A366" s="90" t="s">
        <v>290</v>
      </c>
      <c r="B366" s="89" t="s">
        <v>1101</v>
      </c>
      <c r="C366" s="98" t="s">
        <v>515</v>
      </c>
    </row>
    <row r="367" spans="1:3" ht="15">
      <c r="A367" s="90" t="s">
        <v>290</v>
      </c>
      <c r="B367" s="89" t="s">
        <v>970</v>
      </c>
      <c r="C367" s="98" t="s">
        <v>515</v>
      </c>
    </row>
    <row r="368" spans="1:3" ht="15">
      <c r="A368" s="90" t="s">
        <v>290</v>
      </c>
      <c r="B368" s="89" t="s">
        <v>1102</v>
      </c>
      <c r="C368" s="98" t="s">
        <v>515</v>
      </c>
    </row>
    <row r="369" spans="1:3" ht="15">
      <c r="A369" s="90" t="s">
        <v>290</v>
      </c>
      <c r="B369" s="89" t="s">
        <v>1103</v>
      </c>
      <c r="C369" s="98" t="s">
        <v>515</v>
      </c>
    </row>
    <row r="370" spans="1:3" ht="15">
      <c r="A370" s="90" t="s">
        <v>290</v>
      </c>
      <c r="B370" s="89" t="s">
        <v>972</v>
      </c>
      <c r="C370" s="98" t="s">
        <v>515</v>
      </c>
    </row>
    <row r="371" spans="1:3" ht="15">
      <c r="A371" s="90" t="s">
        <v>290</v>
      </c>
      <c r="B371" s="89" t="s">
        <v>1104</v>
      </c>
      <c r="C371" s="98" t="s">
        <v>515</v>
      </c>
    </row>
    <row r="372" spans="1:3" ht="15">
      <c r="A372" s="90" t="s">
        <v>290</v>
      </c>
      <c r="B372" s="89" t="s">
        <v>973</v>
      </c>
      <c r="C372" s="98" t="s">
        <v>515</v>
      </c>
    </row>
    <row r="373" spans="1:3" ht="15">
      <c r="A373" s="90" t="s">
        <v>290</v>
      </c>
      <c r="B373" s="89" t="s">
        <v>974</v>
      </c>
      <c r="C373" s="98" t="s">
        <v>515</v>
      </c>
    </row>
    <row r="374" spans="1:3" ht="15">
      <c r="A374" s="90" t="s">
        <v>290</v>
      </c>
      <c r="B374" s="89" t="s">
        <v>975</v>
      </c>
      <c r="C374" s="98" t="s">
        <v>515</v>
      </c>
    </row>
    <row r="375" spans="1:3" ht="15">
      <c r="A375" s="90" t="s">
        <v>290</v>
      </c>
      <c r="B375" s="89" t="s">
        <v>1105</v>
      </c>
      <c r="C375" s="98" t="s">
        <v>515</v>
      </c>
    </row>
    <row r="376" spans="1:3" ht="15">
      <c r="A376" s="90" t="s">
        <v>290</v>
      </c>
      <c r="B376" s="89" t="s">
        <v>977</v>
      </c>
      <c r="C376" s="98" t="s">
        <v>515</v>
      </c>
    </row>
    <row r="377" spans="1:3" ht="15">
      <c r="A377" s="90" t="s">
        <v>290</v>
      </c>
      <c r="B377" s="89" t="s">
        <v>297</v>
      </c>
      <c r="C377" s="98" t="s">
        <v>515</v>
      </c>
    </row>
    <row r="378" spans="1:3" ht="15">
      <c r="A378" s="90" t="s">
        <v>290</v>
      </c>
      <c r="B378" s="89" t="s">
        <v>338</v>
      </c>
      <c r="C378" s="98" t="s">
        <v>515</v>
      </c>
    </row>
    <row r="379" spans="1:3" ht="15">
      <c r="A379" s="90" t="s">
        <v>290</v>
      </c>
      <c r="B379" s="89" t="s">
        <v>971</v>
      </c>
      <c r="C379" s="98" t="s">
        <v>515</v>
      </c>
    </row>
    <row r="380" spans="1:3" ht="15">
      <c r="A380" s="90" t="s">
        <v>290</v>
      </c>
      <c r="B380" s="89" t="s">
        <v>1097</v>
      </c>
      <c r="C380" s="98" t="s">
        <v>509</v>
      </c>
    </row>
    <row r="381" spans="1:3" ht="15">
      <c r="A381" s="90" t="s">
        <v>290</v>
      </c>
      <c r="B381" s="89" t="s">
        <v>1106</v>
      </c>
      <c r="C381" s="98" t="s">
        <v>509</v>
      </c>
    </row>
    <row r="382" spans="1:3" ht="15">
      <c r="A382" s="90" t="s">
        <v>290</v>
      </c>
      <c r="B382" s="89" t="s">
        <v>1107</v>
      </c>
      <c r="C382" s="98" t="s">
        <v>509</v>
      </c>
    </row>
    <row r="383" spans="1:3" ht="15">
      <c r="A383" s="90" t="s">
        <v>290</v>
      </c>
      <c r="B383" s="89" t="s">
        <v>1008</v>
      </c>
      <c r="C383" s="98" t="s">
        <v>509</v>
      </c>
    </row>
    <row r="384" spans="1:3" ht="15">
      <c r="A384" s="90" t="s">
        <v>290</v>
      </c>
      <c r="B384" s="89" t="s">
        <v>1108</v>
      </c>
      <c r="C384" s="98" t="s">
        <v>509</v>
      </c>
    </row>
    <row r="385" spans="1:3" ht="15">
      <c r="A385" s="90" t="s">
        <v>290</v>
      </c>
      <c r="B385" s="89" t="s">
        <v>1010</v>
      </c>
      <c r="C385" s="98" t="s">
        <v>509</v>
      </c>
    </row>
    <row r="386" spans="1:3" ht="15">
      <c r="A386" s="90" t="s">
        <v>290</v>
      </c>
      <c r="B386" s="89" t="s">
        <v>815</v>
      </c>
      <c r="C386" s="98" t="s">
        <v>509</v>
      </c>
    </row>
    <row r="387" spans="1:3" ht="15">
      <c r="A387" s="90" t="s">
        <v>290</v>
      </c>
      <c r="B387" s="89" t="s">
        <v>1109</v>
      </c>
      <c r="C387" s="98" t="s">
        <v>509</v>
      </c>
    </row>
    <row r="388" spans="1:3" ht="15">
      <c r="A388" s="90" t="s">
        <v>290</v>
      </c>
      <c r="B388" s="89" t="s">
        <v>1087</v>
      </c>
      <c r="C388" s="98" t="s">
        <v>509</v>
      </c>
    </row>
    <row r="389" spans="1:3" ht="15">
      <c r="A389" s="90" t="s">
        <v>290</v>
      </c>
      <c r="B389" s="89" t="s">
        <v>1013</v>
      </c>
      <c r="C389" s="98" t="s">
        <v>509</v>
      </c>
    </row>
    <row r="390" spans="1:3" ht="15">
      <c r="A390" s="90" t="s">
        <v>290</v>
      </c>
      <c r="B390" s="89" t="s">
        <v>1110</v>
      </c>
      <c r="C390" s="98" t="s">
        <v>509</v>
      </c>
    </row>
    <row r="391" spans="1:3" ht="15">
      <c r="A391" s="90" t="s">
        <v>290</v>
      </c>
      <c r="B391" s="89" t="s">
        <v>979</v>
      </c>
      <c r="C391" s="98" t="s">
        <v>509</v>
      </c>
    </row>
    <row r="392" spans="1:3" ht="15">
      <c r="A392" s="90" t="s">
        <v>290</v>
      </c>
      <c r="B392" s="89" t="s">
        <v>1111</v>
      </c>
      <c r="C392" s="98" t="s">
        <v>509</v>
      </c>
    </row>
    <row r="393" spans="1:3" ht="15">
      <c r="A393" s="90" t="s">
        <v>290</v>
      </c>
      <c r="B393" s="89" t="s">
        <v>641</v>
      </c>
      <c r="C393" s="98" t="s">
        <v>509</v>
      </c>
    </row>
    <row r="394" spans="1:3" ht="15">
      <c r="A394" s="90" t="s">
        <v>290</v>
      </c>
      <c r="B394" s="89" t="s">
        <v>1112</v>
      </c>
      <c r="C394" s="98" t="s">
        <v>509</v>
      </c>
    </row>
    <row r="395" spans="1:3" ht="15">
      <c r="A395" s="90" t="s">
        <v>290</v>
      </c>
      <c r="B395" s="89" t="s">
        <v>1094</v>
      </c>
      <c r="C395" s="98" t="s">
        <v>509</v>
      </c>
    </row>
    <row r="396" spans="1:3" ht="15">
      <c r="A396" s="90" t="s">
        <v>290</v>
      </c>
      <c r="B396" s="89" t="s">
        <v>944</v>
      </c>
      <c r="C396" s="98" t="s">
        <v>509</v>
      </c>
    </row>
    <row r="397" spans="1:3" ht="15">
      <c r="A397" s="90" t="s">
        <v>290</v>
      </c>
      <c r="B397" s="89" t="s">
        <v>1017</v>
      </c>
      <c r="C397" s="98" t="s">
        <v>509</v>
      </c>
    </row>
    <row r="398" spans="1:3" ht="15">
      <c r="A398" s="90" t="s">
        <v>290</v>
      </c>
      <c r="B398" s="89" t="s">
        <v>299</v>
      </c>
      <c r="C398" s="98" t="s">
        <v>509</v>
      </c>
    </row>
    <row r="399" spans="1:3" ht="15">
      <c r="A399" s="90" t="s">
        <v>290</v>
      </c>
      <c r="B399" s="89" t="s">
        <v>1091</v>
      </c>
      <c r="C399" s="98" t="s">
        <v>509</v>
      </c>
    </row>
    <row r="400" spans="1:3" ht="15">
      <c r="A400" s="90" t="s">
        <v>290</v>
      </c>
      <c r="B400" s="89" t="s">
        <v>1113</v>
      </c>
      <c r="C400" s="98" t="s">
        <v>509</v>
      </c>
    </row>
    <row r="401" spans="1:3" ht="15">
      <c r="A401" s="90" t="s">
        <v>290</v>
      </c>
      <c r="B401" s="89" t="s">
        <v>338</v>
      </c>
      <c r="C401" s="98" t="s">
        <v>509</v>
      </c>
    </row>
    <row r="402" spans="1:3" ht="15">
      <c r="A402" s="90" t="s">
        <v>290</v>
      </c>
      <c r="B402" s="89" t="s">
        <v>1114</v>
      </c>
      <c r="C402" s="98" t="s">
        <v>509</v>
      </c>
    </row>
    <row r="403" spans="1:3" ht="15">
      <c r="A403" s="90" t="s">
        <v>290</v>
      </c>
      <c r="B403" s="89" t="s">
        <v>2446</v>
      </c>
      <c r="C403" s="98" t="s">
        <v>2226</v>
      </c>
    </row>
    <row r="404" spans="1:3" ht="15">
      <c r="A404" s="90" t="s">
        <v>290</v>
      </c>
      <c r="B404" s="89" t="s">
        <v>2420</v>
      </c>
      <c r="C404" s="98" t="s">
        <v>2226</v>
      </c>
    </row>
    <row r="405" spans="1:3" ht="15">
      <c r="A405" s="90" t="s">
        <v>290</v>
      </c>
      <c r="B405" s="89" t="s">
        <v>1094</v>
      </c>
      <c r="C405" s="98" t="s">
        <v>2226</v>
      </c>
    </row>
    <row r="406" spans="1:3" ht="15">
      <c r="A406" s="90" t="s">
        <v>290</v>
      </c>
      <c r="B406" s="89" t="s">
        <v>2421</v>
      </c>
      <c r="C406" s="98" t="s">
        <v>2226</v>
      </c>
    </row>
    <row r="407" spans="1:3" ht="15">
      <c r="A407" s="90" t="s">
        <v>290</v>
      </c>
      <c r="B407" s="89" t="s">
        <v>1544</v>
      </c>
      <c r="C407" s="98" t="s">
        <v>2226</v>
      </c>
    </row>
    <row r="408" spans="1:3" ht="15">
      <c r="A408" s="90" t="s">
        <v>290</v>
      </c>
      <c r="B408" s="89" t="s">
        <v>2391</v>
      </c>
      <c r="C408" s="98" t="s">
        <v>2226</v>
      </c>
    </row>
    <row r="409" spans="1:3" ht="15">
      <c r="A409" s="90" t="s">
        <v>290</v>
      </c>
      <c r="B409" s="89" t="s">
        <v>1880</v>
      </c>
      <c r="C409" s="98" t="s">
        <v>2226</v>
      </c>
    </row>
    <row r="410" spans="1:3" ht="15">
      <c r="A410" s="90" t="s">
        <v>290</v>
      </c>
      <c r="B410" s="89" t="s">
        <v>2422</v>
      </c>
      <c r="C410" s="98" t="s">
        <v>2226</v>
      </c>
    </row>
    <row r="411" spans="1:3" ht="15">
      <c r="A411" s="90" t="s">
        <v>290</v>
      </c>
      <c r="B411" s="89" t="s">
        <v>2447</v>
      </c>
      <c r="C411" s="98" t="s">
        <v>2226</v>
      </c>
    </row>
    <row r="412" spans="1:3" ht="15">
      <c r="A412" s="90" t="s">
        <v>290</v>
      </c>
      <c r="B412" s="89" t="s">
        <v>2423</v>
      </c>
      <c r="C412" s="98" t="s">
        <v>2226</v>
      </c>
    </row>
    <row r="413" spans="1:3" ht="15">
      <c r="A413" s="90" t="s">
        <v>290</v>
      </c>
      <c r="B413" s="89" t="s">
        <v>1824</v>
      </c>
      <c r="C413" s="98" t="s">
        <v>2226</v>
      </c>
    </row>
    <row r="414" spans="1:3" ht="15">
      <c r="A414" s="90" t="s">
        <v>290</v>
      </c>
      <c r="B414" s="89" t="s">
        <v>2465</v>
      </c>
      <c r="C414" s="98" t="s">
        <v>2226</v>
      </c>
    </row>
    <row r="415" spans="1:3" ht="15">
      <c r="A415" s="90" t="s">
        <v>290</v>
      </c>
      <c r="B415" s="89" t="s">
        <v>985</v>
      </c>
      <c r="C415" s="98" t="s">
        <v>2226</v>
      </c>
    </row>
    <row r="416" spans="1:3" ht="15">
      <c r="A416" s="90" t="s">
        <v>290</v>
      </c>
      <c r="B416" s="89" t="s">
        <v>2424</v>
      </c>
      <c r="C416" s="98" t="s">
        <v>2226</v>
      </c>
    </row>
    <row r="417" spans="1:3" ht="15">
      <c r="A417" s="90" t="s">
        <v>290</v>
      </c>
      <c r="B417" s="89" t="s">
        <v>1087</v>
      </c>
      <c r="C417" s="98" t="s">
        <v>2226</v>
      </c>
    </row>
    <row r="418" spans="1:3" ht="15">
      <c r="A418" s="90" t="s">
        <v>290</v>
      </c>
      <c r="B418" s="89" t="s">
        <v>2425</v>
      </c>
      <c r="C418" s="98" t="s">
        <v>2226</v>
      </c>
    </row>
    <row r="419" spans="1:3" ht="15">
      <c r="A419" s="90" t="s">
        <v>290</v>
      </c>
      <c r="B419" s="89" t="s">
        <v>2466</v>
      </c>
      <c r="C419" s="98" t="s">
        <v>2226</v>
      </c>
    </row>
    <row r="420" spans="1:3" ht="15">
      <c r="A420" s="90" t="s">
        <v>290</v>
      </c>
      <c r="B420" s="89" t="s">
        <v>1623</v>
      </c>
      <c r="C420" s="98" t="s">
        <v>2226</v>
      </c>
    </row>
    <row r="421" spans="1:3" ht="15">
      <c r="A421" s="90" t="s">
        <v>290</v>
      </c>
      <c r="B421" s="89" t="s">
        <v>1090</v>
      </c>
      <c r="C421" s="98" t="s">
        <v>2226</v>
      </c>
    </row>
    <row r="422" spans="1:3" ht="15">
      <c r="A422" s="90" t="s">
        <v>290</v>
      </c>
      <c r="B422" s="89" t="s">
        <v>930</v>
      </c>
      <c r="C422" s="98" t="s">
        <v>2226</v>
      </c>
    </row>
    <row r="423" spans="1:3" ht="15">
      <c r="A423" s="90" t="s">
        <v>290</v>
      </c>
      <c r="B423" s="89" t="s">
        <v>933</v>
      </c>
      <c r="C423" s="98" t="s">
        <v>2226</v>
      </c>
    </row>
    <row r="424" spans="1:3" ht="15">
      <c r="A424" s="90" t="s">
        <v>290</v>
      </c>
      <c r="B424" s="89" t="s">
        <v>2405</v>
      </c>
      <c r="C424" s="98" t="s">
        <v>2226</v>
      </c>
    </row>
    <row r="425" spans="1:3" ht="15">
      <c r="A425" s="90" t="s">
        <v>290</v>
      </c>
      <c r="B425" s="89" t="s">
        <v>1104</v>
      </c>
      <c r="C425" s="98" t="s">
        <v>2226</v>
      </c>
    </row>
    <row r="426" spans="1:3" ht="15">
      <c r="A426" s="90" t="s">
        <v>290</v>
      </c>
      <c r="B426" s="89" t="s">
        <v>2426</v>
      </c>
      <c r="C426" s="98" t="s">
        <v>2226</v>
      </c>
    </row>
    <row r="427" spans="1:3" ht="15">
      <c r="A427" s="90" t="s">
        <v>290</v>
      </c>
      <c r="B427" s="89" t="s">
        <v>2427</v>
      </c>
      <c r="C427" s="98" t="s">
        <v>2226</v>
      </c>
    </row>
    <row r="428" spans="1:3" ht="15">
      <c r="A428" s="90" t="s">
        <v>290</v>
      </c>
      <c r="B428" s="89" t="s">
        <v>2428</v>
      </c>
      <c r="C428" s="98" t="s">
        <v>2226</v>
      </c>
    </row>
    <row r="429" spans="1:3" ht="15">
      <c r="A429" s="90" t="s">
        <v>290</v>
      </c>
      <c r="B429" s="89" t="s">
        <v>1097</v>
      </c>
      <c r="C429" s="98" t="s">
        <v>2226</v>
      </c>
    </row>
    <row r="430" spans="1:3" ht="15">
      <c r="A430" s="90" t="s">
        <v>290</v>
      </c>
      <c r="B430" s="89" t="s">
        <v>1127</v>
      </c>
      <c r="C430" s="98" t="s">
        <v>2226</v>
      </c>
    </row>
    <row r="431" spans="1:3" ht="15">
      <c r="A431" s="90" t="s">
        <v>290</v>
      </c>
      <c r="B431" s="89" t="s">
        <v>1115</v>
      </c>
      <c r="C431" s="98" t="s">
        <v>514</v>
      </c>
    </row>
    <row r="432" spans="1:3" ht="15">
      <c r="A432" s="90" t="s">
        <v>290</v>
      </c>
      <c r="B432" s="89" t="s">
        <v>1116</v>
      </c>
      <c r="C432" s="98" t="s">
        <v>514</v>
      </c>
    </row>
    <row r="433" spans="1:3" ht="15">
      <c r="A433" s="90" t="s">
        <v>290</v>
      </c>
      <c r="B433" s="89" t="s">
        <v>1117</v>
      </c>
      <c r="C433" s="98" t="s">
        <v>514</v>
      </c>
    </row>
    <row r="434" spans="1:3" ht="15">
      <c r="A434" s="90" t="s">
        <v>290</v>
      </c>
      <c r="B434" s="89" t="s">
        <v>948</v>
      </c>
      <c r="C434" s="98" t="s">
        <v>514</v>
      </c>
    </row>
    <row r="435" spans="1:3" ht="15">
      <c r="A435" s="90" t="s">
        <v>290</v>
      </c>
      <c r="B435" s="89" t="s">
        <v>1118</v>
      </c>
      <c r="C435" s="98" t="s">
        <v>514</v>
      </c>
    </row>
    <row r="436" spans="1:3" ht="15">
      <c r="A436" s="90" t="s">
        <v>290</v>
      </c>
      <c r="B436" s="89" t="s">
        <v>1119</v>
      </c>
      <c r="C436" s="98" t="s">
        <v>514</v>
      </c>
    </row>
    <row r="437" spans="1:3" ht="15">
      <c r="A437" s="90" t="s">
        <v>290</v>
      </c>
      <c r="B437" s="89" t="s">
        <v>1120</v>
      </c>
      <c r="C437" s="98" t="s">
        <v>514</v>
      </c>
    </row>
    <row r="438" spans="1:3" ht="15">
      <c r="A438" s="90" t="s">
        <v>290</v>
      </c>
      <c r="B438" s="89" t="s">
        <v>1023</v>
      </c>
      <c r="C438" s="98" t="s">
        <v>514</v>
      </c>
    </row>
    <row r="439" spans="1:3" ht="15">
      <c r="A439" s="90" t="s">
        <v>290</v>
      </c>
      <c r="B439" s="89" t="s">
        <v>1121</v>
      </c>
      <c r="C439" s="98" t="s">
        <v>513</v>
      </c>
    </row>
    <row r="440" spans="1:3" ht="15">
      <c r="A440" s="90" t="s">
        <v>290</v>
      </c>
      <c r="B440" s="89" t="s">
        <v>303</v>
      </c>
      <c r="C440" s="98" t="s">
        <v>513</v>
      </c>
    </row>
    <row r="441" spans="1:3" ht="15">
      <c r="A441" s="90" t="s">
        <v>290</v>
      </c>
      <c r="B441" s="89" t="s">
        <v>951</v>
      </c>
      <c r="C441" s="98" t="s">
        <v>513</v>
      </c>
    </row>
    <row r="442" spans="1:3" ht="15">
      <c r="A442" s="90" t="s">
        <v>290</v>
      </c>
      <c r="B442" s="89">
        <v>12</v>
      </c>
      <c r="C442" s="98" t="s">
        <v>513</v>
      </c>
    </row>
    <row r="443" spans="1:3" ht="15">
      <c r="A443" s="90" t="s">
        <v>290</v>
      </c>
      <c r="B443" s="89">
        <v>18</v>
      </c>
      <c r="C443" s="98" t="s">
        <v>513</v>
      </c>
    </row>
    <row r="444" spans="1:3" ht="15">
      <c r="A444" s="90" t="s">
        <v>290</v>
      </c>
      <c r="B444" s="89" t="s">
        <v>954</v>
      </c>
      <c r="C444" s="98" t="s">
        <v>513</v>
      </c>
    </row>
    <row r="445" spans="1:3" ht="15">
      <c r="A445" s="90" t="s">
        <v>290</v>
      </c>
      <c r="B445" s="89" t="s">
        <v>1122</v>
      </c>
      <c r="C445" s="98" t="s">
        <v>513</v>
      </c>
    </row>
    <row r="446" spans="1:3" ht="15">
      <c r="A446" s="90" t="s">
        <v>290</v>
      </c>
      <c r="B446" s="89" t="s">
        <v>944</v>
      </c>
      <c r="C446" s="98" t="s">
        <v>513</v>
      </c>
    </row>
    <row r="447" spans="1:3" ht="15">
      <c r="A447" s="90" t="s">
        <v>290</v>
      </c>
      <c r="B447" s="89" t="s">
        <v>955</v>
      </c>
      <c r="C447" s="98" t="s">
        <v>513</v>
      </c>
    </row>
    <row r="448" spans="1:3" ht="15">
      <c r="A448" s="90" t="s">
        <v>290</v>
      </c>
      <c r="B448" s="89" t="s">
        <v>956</v>
      </c>
      <c r="C448" s="98" t="s">
        <v>513</v>
      </c>
    </row>
    <row r="449" spans="1:3" ht="15">
      <c r="A449" s="90" t="s">
        <v>290</v>
      </c>
      <c r="B449" s="89" t="s">
        <v>957</v>
      </c>
      <c r="C449" s="98" t="s">
        <v>513</v>
      </c>
    </row>
    <row r="450" spans="1:3" ht="15">
      <c r="A450" s="90" t="s">
        <v>290</v>
      </c>
      <c r="B450" s="89" t="s">
        <v>1116</v>
      </c>
      <c r="C450" s="98" t="s">
        <v>513</v>
      </c>
    </row>
    <row r="451" spans="1:3" ht="15">
      <c r="A451" s="90" t="s">
        <v>290</v>
      </c>
      <c r="B451" s="89" t="s">
        <v>1117</v>
      </c>
      <c r="C451" s="98" t="s">
        <v>513</v>
      </c>
    </row>
    <row r="452" spans="1:3" ht="15">
      <c r="A452" s="90" t="s">
        <v>290</v>
      </c>
      <c r="B452" s="89" t="s">
        <v>948</v>
      </c>
      <c r="C452" s="98" t="s">
        <v>513</v>
      </c>
    </row>
    <row r="453" spans="1:3" ht="15">
      <c r="A453" s="90" t="s">
        <v>290</v>
      </c>
      <c r="B453" s="89" t="s">
        <v>958</v>
      </c>
      <c r="C453" s="98" t="s">
        <v>513</v>
      </c>
    </row>
    <row r="454" spans="1:3" ht="15">
      <c r="A454" s="90" t="s">
        <v>290</v>
      </c>
      <c r="B454" s="89" t="s">
        <v>338</v>
      </c>
      <c r="C454" s="98" t="s">
        <v>513</v>
      </c>
    </row>
    <row r="455" spans="1:3" ht="15">
      <c r="A455" s="90" t="s">
        <v>290</v>
      </c>
      <c r="B455" s="89" t="s">
        <v>2445</v>
      </c>
      <c r="C455" s="98" t="s">
        <v>2225</v>
      </c>
    </row>
    <row r="456" spans="1:3" ht="15">
      <c r="A456" s="90" t="s">
        <v>290</v>
      </c>
      <c r="B456" s="89" t="s">
        <v>2446</v>
      </c>
      <c r="C456" s="98" t="s">
        <v>2225</v>
      </c>
    </row>
    <row r="457" spans="1:3" ht="15">
      <c r="A457" s="90" t="s">
        <v>290</v>
      </c>
      <c r="B457" s="89" t="s">
        <v>2367</v>
      </c>
      <c r="C457" s="98" t="s">
        <v>2225</v>
      </c>
    </row>
    <row r="458" spans="1:3" ht="15">
      <c r="A458" s="90" t="s">
        <v>290</v>
      </c>
      <c r="B458" s="89" t="s">
        <v>1094</v>
      </c>
      <c r="C458" s="98" t="s">
        <v>2225</v>
      </c>
    </row>
    <row r="459" spans="1:3" ht="15">
      <c r="A459" s="90" t="s">
        <v>290</v>
      </c>
      <c r="B459" s="89" t="s">
        <v>1219</v>
      </c>
      <c r="C459" s="98" t="s">
        <v>2225</v>
      </c>
    </row>
    <row r="460" spans="1:3" ht="15">
      <c r="A460" s="90" t="s">
        <v>290</v>
      </c>
      <c r="B460" s="89" t="s">
        <v>2368</v>
      </c>
      <c r="C460" s="98" t="s">
        <v>2225</v>
      </c>
    </row>
    <row r="461" spans="1:3" ht="15">
      <c r="A461" s="90" t="s">
        <v>290</v>
      </c>
      <c r="B461" s="89" t="s">
        <v>2447</v>
      </c>
      <c r="C461" s="98" t="s">
        <v>2225</v>
      </c>
    </row>
    <row r="462" spans="1:3" ht="15">
      <c r="A462" s="90" t="s">
        <v>290</v>
      </c>
      <c r="B462" s="89" t="s">
        <v>2369</v>
      </c>
      <c r="C462" s="98" t="s">
        <v>2225</v>
      </c>
    </row>
    <row r="463" spans="1:3" ht="15">
      <c r="A463" s="90" t="s">
        <v>290</v>
      </c>
      <c r="B463" s="89" t="s">
        <v>2370</v>
      </c>
      <c r="C463" s="98" t="s">
        <v>2225</v>
      </c>
    </row>
    <row r="464" spans="1:3" ht="15">
      <c r="A464" s="90" t="s">
        <v>290</v>
      </c>
      <c r="B464" s="89" t="s">
        <v>1578</v>
      </c>
      <c r="C464" s="98" t="s">
        <v>2225</v>
      </c>
    </row>
    <row r="465" spans="1:3" ht="15">
      <c r="A465" s="90" t="s">
        <v>290</v>
      </c>
      <c r="B465" s="89" t="s">
        <v>2371</v>
      </c>
      <c r="C465" s="98" t="s">
        <v>2225</v>
      </c>
    </row>
    <row r="466" spans="1:3" ht="15">
      <c r="A466" s="90" t="s">
        <v>290</v>
      </c>
      <c r="B466" s="89" t="s">
        <v>1087</v>
      </c>
      <c r="C466" s="98" t="s">
        <v>2225</v>
      </c>
    </row>
    <row r="467" spans="1:3" ht="15">
      <c r="A467" s="90" t="s">
        <v>290</v>
      </c>
      <c r="B467" s="89" t="s">
        <v>2372</v>
      </c>
      <c r="C467" s="98" t="s">
        <v>2225</v>
      </c>
    </row>
    <row r="468" spans="1:3" ht="15">
      <c r="A468" s="90" t="s">
        <v>290</v>
      </c>
      <c r="B468" s="89" t="s">
        <v>1167</v>
      </c>
      <c r="C468" s="98" t="s">
        <v>2225</v>
      </c>
    </row>
    <row r="469" spans="1:3" ht="15">
      <c r="A469" s="90" t="s">
        <v>290</v>
      </c>
      <c r="B469" s="89" t="s">
        <v>1575</v>
      </c>
      <c r="C469" s="98" t="s">
        <v>2225</v>
      </c>
    </row>
    <row r="470" spans="1:3" ht="15">
      <c r="A470" s="90" t="s">
        <v>290</v>
      </c>
      <c r="B470" s="89" t="s">
        <v>2373</v>
      </c>
      <c r="C470" s="98" t="s">
        <v>2225</v>
      </c>
    </row>
    <row r="471" spans="1:3" ht="15">
      <c r="A471" s="90" t="s">
        <v>290</v>
      </c>
      <c r="B471" s="89" t="s">
        <v>2374</v>
      </c>
      <c r="C471" s="98" t="s">
        <v>2225</v>
      </c>
    </row>
    <row r="472" spans="1:3" ht="15">
      <c r="A472" s="90" t="s">
        <v>290</v>
      </c>
      <c r="B472" s="89" t="s">
        <v>2375</v>
      </c>
      <c r="C472" s="98" t="s">
        <v>2225</v>
      </c>
    </row>
    <row r="473" spans="1:3" ht="15">
      <c r="A473" s="90" t="s">
        <v>290</v>
      </c>
      <c r="B473" s="89" t="s">
        <v>2376</v>
      </c>
      <c r="C473" s="98" t="s">
        <v>2225</v>
      </c>
    </row>
    <row r="474" spans="1:3" ht="15">
      <c r="A474" s="90" t="s">
        <v>290</v>
      </c>
      <c r="B474" s="89" t="s">
        <v>1097</v>
      </c>
      <c r="C474" s="98" t="s">
        <v>2225</v>
      </c>
    </row>
    <row r="475" spans="1:3" ht="15">
      <c r="A475" s="90" t="s">
        <v>290</v>
      </c>
      <c r="B475" s="89" t="s">
        <v>1155</v>
      </c>
      <c r="C475" s="98" t="s">
        <v>2225</v>
      </c>
    </row>
    <row r="476" spans="1:3" ht="15">
      <c r="A476" s="90" t="s">
        <v>290</v>
      </c>
      <c r="B476" s="89" t="s">
        <v>1101</v>
      </c>
      <c r="C476" s="98" t="s">
        <v>2225</v>
      </c>
    </row>
    <row r="477" spans="1:3" ht="15">
      <c r="A477" s="90" t="s">
        <v>290</v>
      </c>
      <c r="B477" s="89" t="s">
        <v>252</v>
      </c>
      <c r="C477" s="98" t="s">
        <v>2225</v>
      </c>
    </row>
    <row r="478" spans="1:3" ht="15">
      <c r="A478" s="90" t="s">
        <v>290</v>
      </c>
      <c r="B478" s="89" t="s">
        <v>2448</v>
      </c>
      <c r="C478" s="98" t="s">
        <v>2225</v>
      </c>
    </row>
    <row r="479" spans="1:3" ht="15">
      <c r="A479" s="90" t="s">
        <v>290</v>
      </c>
      <c r="B479" s="89" t="s">
        <v>1796</v>
      </c>
      <c r="C479" s="98" t="s">
        <v>2225</v>
      </c>
    </row>
    <row r="480" spans="1:3" ht="15">
      <c r="A480" s="90" t="s">
        <v>290</v>
      </c>
      <c r="B480" s="89" t="s">
        <v>996</v>
      </c>
      <c r="C480" s="98" t="s">
        <v>2225</v>
      </c>
    </row>
    <row r="481" spans="1:3" ht="15">
      <c r="A481" s="90" t="s">
        <v>290</v>
      </c>
      <c r="B481" s="89" t="s">
        <v>997</v>
      </c>
      <c r="C481" s="98" t="s">
        <v>2225</v>
      </c>
    </row>
    <row r="482" spans="1:3" ht="15">
      <c r="A482" s="90" t="s">
        <v>290</v>
      </c>
      <c r="B482" s="89" t="s">
        <v>998</v>
      </c>
      <c r="C482" s="98" t="s">
        <v>2225</v>
      </c>
    </row>
    <row r="483" spans="1:3" ht="15">
      <c r="A483" s="90" t="s">
        <v>290</v>
      </c>
      <c r="B483" s="89" t="s">
        <v>2449</v>
      </c>
      <c r="C483" s="98" t="s">
        <v>2225</v>
      </c>
    </row>
    <row r="484" spans="1:3" ht="15">
      <c r="A484" s="90" t="s">
        <v>290</v>
      </c>
      <c r="B484" s="89" t="s">
        <v>2459</v>
      </c>
      <c r="C484" s="98" t="s">
        <v>2224</v>
      </c>
    </row>
    <row r="485" spans="1:3" ht="15">
      <c r="A485" s="90" t="s">
        <v>290</v>
      </c>
      <c r="B485" s="89" t="s">
        <v>1087</v>
      </c>
      <c r="C485" s="98" t="s">
        <v>2224</v>
      </c>
    </row>
    <row r="486" spans="1:3" ht="15">
      <c r="A486" s="90" t="s">
        <v>290</v>
      </c>
      <c r="B486" s="89" t="s">
        <v>2395</v>
      </c>
      <c r="C486" s="98" t="s">
        <v>2224</v>
      </c>
    </row>
    <row r="487" spans="1:3" ht="15">
      <c r="A487" s="90" t="s">
        <v>290</v>
      </c>
      <c r="B487" s="89" t="s">
        <v>934</v>
      </c>
      <c r="C487" s="98" t="s">
        <v>2224</v>
      </c>
    </row>
    <row r="488" spans="1:3" ht="15">
      <c r="A488" s="90" t="s">
        <v>290</v>
      </c>
      <c r="B488" s="89" t="s">
        <v>1094</v>
      </c>
      <c r="C488" s="98" t="s">
        <v>2224</v>
      </c>
    </row>
    <row r="489" spans="1:3" ht="15">
      <c r="A489" s="90" t="s">
        <v>290</v>
      </c>
      <c r="B489" s="89" t="s">
        <v>1292</v>
      </c>
      <c r="C489" s="98" t="s">
        <v>2224</v>
      </c>
    </row>
    <row r="490" spans="1:3" ht="15">
      <c r="A490" s="90" t="s">
        <v>290</v>
      </c>
      <c r="B490" s="89" t="s">
        <v>1428</v>
      </c>
      <c r="C490" s="98" t="s">
        <v>2224</v>
      </c>
    </row>
    <row r="491" spans="1:3" ht="15">
      <c r="A491" s="90" t="s">
        <v>290</v>
      </c>
      <c r="B491" s="89" t="s">
        <v>2396</v>
      </c>
      <c r="C491" s="98" t="s">
        <v>2224</v>
      </c>
    </row>
    <row r="492" spans="1:3" ht="15">
      <c r="A492" s="90" t="s">
        <v>290</v>
      </c>
      <c r="B492" s="89" t="s">
        <v>2397</v>
      </c>
      <c r="C492" s="98" t="s">
        <v>2224</v>
      </c>
    </row>
    <row r="493" spans="1:3" ht="15">
      <c r="A493" s="90" t="s">
        <v>290</v>
      </c>
      <c r="B493" s="89" t="s">
        <v>1832</v>
      </c>
      <c r="C493" s="98" t="s">
        <v>2224</v>
      </c>
    </row>
    <row r="494" spans="1:3" ht="15">
      <c r="A494" s="90" t="s">
        <v>290</v>
      </c>
      <c r="B494" s="89" t="s">
        <v>1683</v>
      </c>
      <c r="C494" s="98" t="s">
        <v>2224</v>
      </c>
    </row>
    <row r="495" spans="1:3" ht="15">
      <c r="A495" s="90" t="s">
        <v>290</v>
      </c>
      <c r="B495" s="89" t="s">
        <v>2460</v>
      </c>
      <c r="C495" s="98" t="s">
        <v>2224</v>
      </c>
    </row>
    <row r="496" spans="1:3" ht="15">
      <c r="A496" s="90" t="s">
        <v>290</v>
      </c>
      <c r="B496" s="89" t="s">
        <v>2398</v>
      </c>
      <c r="C496" s="98" t="s">
        <v>2224</v>
      </c>
    </row>
    <row r="497" spans="1:3" ht="15">
      <c r="A497" s="90" t="s">
        <v>290</v>
      </c>
      <c r="B497" s="89" t="s">
        <v>2399</v>
      </c>
      <c r="C497" s="98" t="s">
        <v>2224</v>
      </c>
    </row>
    <row r="498" spans="1:3" ht="15">
      <c r="A498" s="90" t="s">
        <v>290</v>
      </c>
      <c r="B498" s="89" t="s">
        <v>2400</v>
      </c>
      <c r="C498" s="98" t="s">
        <v>2224</v>
      </c>
    </row>
    <row r="499" spans="1:3" ht="15">
      <c r="A499" s="90" t="s">
        <v>290</v>
      </c>
      <c r="B499" s="89" t="s">
        <v>1468</v>
      </c>
      <c r="C499" s="98" t="s">
        <v>2224</v>
      </c>
    </row>
    <row r="500" spans="1:3" ht="15">
      <c r="A500" s="90" t="s">
        <v>290</v>
      </c>
      <c r="B500" s="89" t="s">
        <v>1027</v>
      </c>
      <c r="C500" s="98" t="s">
        <v>2224</v>
      </c>
    </row>
    <row r="501" spans="1:3" ht="15">
      <c r="A501" s="90" t="s">
        <v>290</v>
      </c>
      <c r="B501" s="89" t="s">
        <v>945</v>
      </c>
      <c r="C501" s="98" t="s">
        <v>2224</v>
      </c>
    </row>
    <row r="502" spans="1:3" ht="15">
      <c r="A502" s="90" t="s">
        <v>290</v>
      </c>
      <c r="B502" s="89" t="s">
        <v>1090</v>
      </c>
      <c r="C502" s="98" t="s">
        <v>2224</v>
      </c>
    </row>
    <row r="503" spans="1:3" ht="15">
      <c r="A503" s="90" t="s">
        <v>290</v>
      </c>
      <c r="B503" s="89" t="s">
        <v>2461</v>
      </c>
      <c r="C503" s="98" t="s">
        <v>2224</v>
      </c>
    </row>
    <row r="504" spans="1:3" ht="15">
      <c r="A504" s="90" t="s">
        <v>290</v>
      </c>
      <c r="B504" s="89" t="s">
        <v>2462</v>
      </c>
      <c r="C504" s="98" t="s">
        <v>2224</v>
      </c>
    </row>
    <row r="505" spans="1:3" ht="15">
      <c r="A505" s="90" t="s">
        <v>290</v>
      </c>
      <c r="B505" s="89" t="s">
        <v>966</v>
      </c>
      <c r="C505" s="98" t="s">
        <v>2224</v>
      </c>
    </row>
    <row r="506" spans="1:3" ht="15">
      <c r="A506" s="90" t="s">
        <v>290</v>
      </c>
      <c r="B506" s="89" t="s">
        <v>2463</v>
      </c>
      <c r="C506" s="98" t="s">
        <v>2224</v>
      </c>
    </row>
    <row r="507" spans="1:3" ht="15">
      <c r="A507" s="90" t="s">
        <v>290</v>
      </c>
      <c r="B507" s="89" t="s">
        <v>2365</v>
      </c>
      <c r="C507" s="98" t="s">
        <v>2224</v>
      </c>
    </row>
    <row r="508" spans="1:3" ht="15">
      <c r="A508" s="90" t="s">
        <v>290</v>
      </c>
      <c r="B508" s="89" t="s">
        <v>2402</v>
      </c>
      <c r="C508" s="98" t="s">
        <v>2224</v>
      </c>
    </row>
    <row r="509" spans="1:3" ht="15">
      <c r="A509" s="90" t="s">
        <v>290</v>
      </c>
      <c r="B509" s="89" t="s">
        <v>2403</v>
      </c>
      <c r="C509" s="98" t="s">
        <v>2224</v>
      </c>
    </row>
    <row r="510" spans="1:3" ht="15">
      <c r="A510" s="90" t="s">
        <v>290</v>
      </c>
      <c r="B510" s="89" t="s">
        <v>996</v>
      </c>
      <c r="C510" s="98" t="s">
        <v>2224</v>
      </c>
    </row>
    <row r="511" spans="1:3" ht="15">
      <c r="A511" s="90" t="s">
        <v>290</v>
      </c>
      <c r="B511" s="89" t="s">
        <v>997</v>
      </c>
      <c r="C511" s="98" t="s">
        <v>2224</v>
      </c>
    </row>
    <row r="512" spans="1:3" ht="15">
      <c r="A512" s="90" t="s">
        <v>290</v>
      </c>
      <c r="B512" s="89" t="s">
        <v>998</v>
      </c>
      <c r="C512" s="98" t="s">
        <v>2224</v>
      </c>
    </row>
    <row r="513" spans="1:3" ht="15">
      <c r="A513" s="90" t="s">
        <v>290</v>
      </c>
      <c r="B513" s="89" t="s">
        <v>2464</v>
      </c>
      <c r="C513" s="98" t="s">
        <v>2224</v>
      </c>
    </row>
    <row r="514" spans="1:3" ht="15">
      <c r="A514" s="90" t="s">
        <v>290</v>
      </c>
      <c r="B514" s="89" t="s">
        <v>2443</v>
      </c>
      <c r="C514" s="98" t="s">
        <v>2223</v>
      </c>
    </row>
    <row r="515" spans="1:3" ht="15">
      <c r="A515" s="90" t="s">
        <v>290</v>
      </c>
      <c r="B515" s="89" t="s">
        <v>1048</v>
      </c>
      <c r="C515" s="98" t="s">
        <v>2223</v>
      </c>
    </row>
    <row r="516" spans="1:3" ht="15">
      <c r="A516" s="90" t="s">
        <v>290</v>
      </c>
      <c r="B516" s="89" t="s">
        <v>2380</v>
      </c>
      <c r="C516" s="98" t="s">
        <v>2223</v>
      </c>
    </row>
    <row r="517" spans="1:3" ht="15">
      <c r="A517" s="90" t="s">
        <v>290</v>
      </c>
      <c r="B517" s="89" t="s">
        <v>1087</v>
      </c>
      <c r="C517" s="98" t="s">
        <v>2223</v>
      </c>
    </row>
    <row r="518" spans="1:3" ht="15">
      <c r="A518" s="90" t="s">
        <v>290</v>
      </c>
      <c r="B518" s="89" t="s">
        <v>2381</v>
      </c>
      <c r="C518" s="98" t="s">
        <v>2223</v>
      </c>
    </row>
    <row r="519" spans="1:3" ht="15">
      <c r="A519" s="90" t="s">
        <v>290</v>
      </c>
      <c r="B519" s="89" t="s">
        <v>2382</v>
      </c>
      <c r="C519" s="98" t="s">
        <v>2223</v>
      </c>
    </row>
    <row r="520" spans="1:3" ht="15">
      <c r="A520" s="90" t="s">
        <v>290</v>
      </c>
      <c r="B520" s="89" t="s">
        <v>2383</v>
      </c>
      <c r="C520" s="98" t="s">
        <v>2223</v>
      </c>
    </row>
    <row r="521" spans="1:3" ht="15">
      <c r="A521" s="90" t="s">
        <v>290</v>
      </c>
      <c r="B521" s="89" t="s">
        <v>1200</v>
      </c>
      <c r="C521" s="98" t="s">
        <v>2223</v>
      </c>
    </row>
    <row r="522" spans="1:3" ht="15">
      <c r="A522" s="90" t="s">
        <v>290</v>
      </c>
      <c r="B522" s="89" t="s">
        <v>2384</v>
      </c>
      <c r="C522" s="98" t="s">
        <v>2223</v>
      </c>
    </row>
    <row r="523" spans="1:3" ht="15">
      <c r="A523" s="90" t="s">
        <v>290</v>
      </c>
      <c r="B523" s="89" t="s">
        <v>2385</v>
      </c>
      <c r="C523" s="98" t="s">
        <v>2223</v>
      </c>
    </row>
    <row r="524" spans="1:3" ht="15">
      <c r="A524" s="90" t="s">
        <v>290</v>
      </c>
      <c r="B524" s="89" t="s">
        <v>949</v>
      </c>
      <c r="C524" s="98" t="s">
        <v>2223</v>
      </c>
    </row>
    <row r="525" spans="1:3" ht="15">
      <c r="A525" s="90" t="s">
        <v>290</v>
      </c>
      <c r="B525" s="89" t="s">
        <v>2386</v>
      </c>
      <c r="C525" s="98" t="s">
        <v>2223</v>
      </c>
    </row>
    <row r="526" spans="1:3" ht="15">
      <c r="A526" s="90" t="s">
        <v>290</v>
      </c>
      <c r="B526" s="89" t="s">
        <v>2387</v>
      </c>
      <c r="C526" s="98" t="s">
        <v>2223</v>
      </c>
    </row>
    <row r="527" spans="1:3" ht="15">
      <c r="A527" s="90" t="s">
        <v>290</v>
      </c>
      <c r="B527" s="89" t="s">
        <v>2444</v>
      </c>
      <c r="C527" s="98" t="s">
        <v>2223</v>
      </c>
    </row>
    <row r="528" spans="1:3" ht="15">
      <c r="A528" s="90" t="s">
        <v>290</v>
      </c>
      <c r="B528" s="89" t="s">
        <v>2389</v>
      </c>
      <c r="C528" s="98" t="s">
        <v>2223</v>
      </c>
    </row>
    <row r="529" spans="1:3" ht="15">
      <c r="A529" s="90" t="s">
        <v>290</v>
      </c>
      <c r="B529" s="89" t="s">
        <v>2390</v>
      </c>
      <c r="C529" s="98" t="s">
        <v>2223</v>
      </c>
    </row>
    <row r="530" spans="1:3" ht="15">
      <c r="A530" s="90" t="s">
        <v>290</v>
      </c>
      <c r="B530" s="89" t="s">
        <v>1568</v>
      </c>
      <c r="C530" s="98" t="s">
        <v>2223</v>
      </c>
    </row>
    <row r="531" spans="1:3" ht="15">
      <c r="A531" s="90" t="s">
        <v>290</v>
      </c>
      <c r="B531" s="89" t="s">
        <v>1153</v>
      </c>
      <c r="C531" s="98" t="s">
        <v>2223</v>
      </c>
    </row>
    <row r="532" spans="1:3" ht="15">
      <c r="A532" s="90" t="s">
        <v>290</v>
      </c>
      <c r="B532" s="89" t="s">
        <v>1097</v>
      </c>
      <c r="C532" s="98" t="s">
        <v>2223</v>
      </c>
    </row>
    <row r="533" spans="1:3" ht="15">
      <c r="A533" s="90" t="s">
        <v>290</v>
      </c>
      <c r="B533" s="89" t="s">
        <v>299</v>
      </c>
      <c r="C533" s="98" t="s">
        <v>2223</v>
      </c>
    </row>
    <row r="534" spans="1:3" ht="15">
      <c r="A534" s="90" t="s">
        <v>290</v>
      </c>
      <c r="B534" s="89" t="s">
        <v>1155</v>
      </c>
      <c r="C534" s="98" t="s">
        <v>2223</v>
      </c>
    </row>
    <row r="535" spans="1:3" ht="15">
      <c r="A535" s="90" t="s">
        <v>290</v>
      </c>
      <c r="B535" s="89" t="s">
        <v>1101</v>
      </c>
      <c r="C535" s="98" t="s">
        <v>2223</v>
      </c>
    </row>
    <row r="536" spans="1:3" ht="15">
      <c r="A536" s="90" t="s">
        <v>290</v>
      </c>
      <c r="B536" s="89" t="s">
        <v>1080</v>
      </c>
      <c r="C536" s="98" t="s">
        <v>512</v>
      </c>
    </row>
    <row r="537" spans="1:3" ht="15">
      <c r="A537" s="90" t="s">
        <v>290</v>
      </c>
      <c r="B537" s="89" t="s">
        <v>1081</v>
      </c>
      <c r="C537" s="98" t="s">
        <v>512</v>
      </c>
    </row>
    <row r="538" spans="1:3" ht="15">
      <c r="A538" s="90" t="s">
        <v>290</v>
      </c>
      <c r="B538" s="89" t="s">
        <v>1082</v>
      </c>
      <c r="C538" s="98" t="s">
        <v>512</v>
      </c>
    </row>
    <row r="539" spans="1:3" ht="15">
      <c r="A539" s="90" t="s">
        <v>290</v>
      </c>
      <c r="B539" s="89" t="s">
        <v>930</v>
      </c>
      <c r="C539" s="98" t="s">
        <v>512</v>
      </c>
    </row>
    <row r="540" spans="1:3" ht="15">
      <c r="A540" s="90" t="s">
        <v>290</v>
      </c>
      <c r="B540" s="89" t="s">
        <v>940</v>
      </c>
      <c r="C540" s="98" t="s">
        <v>512</v>
      </c>
    </row>
    <row r="541" spans="1:3" ht="15">
      <c r="A541" s="90" t="s">
        <v>290</v>
      </c>
      <c r="B541" s="89" t="s">
        <v>941</v>
      </c>
      <c r="C541" s="98" t="s">
        <v>512</v>
      </c>
    </row>
    <row r="542" spans="1:3" ht="15">
      <c r="A542" s="90" t="s">
        <v>290</v>
      </c>
      <c r="B542" s="89" t="s">
        <v>1083</v>
      </c>
      <c r="C542" s="98" t="s">
        <v>512</v>
      </c>
    </row>
    <row r="543" spans="1:3" ht="15">
      <c r="A543" s="90" t="s">
        <v>290</v>
      </c>
      <c r="B543" s="89" t="s">
        <v>931</v>
      </c>
      <c r="C543" s="98" t="s">
        <v>512</v>
      </c>
    </row>
    <row r="544" spans="1:3" ht="15">
      <c r="A544" s="90" t="s">
        <v>290</v>
      </c>
      <c r="B544" s="89" t="s">
        <v>1084</v>
      </c>
      <c r="C544" s="98" t="s">
        <v>512</v>
      </c>
    </row>
    <row r="545" spans="1:3" ht="15">
      <c r="A545" s="90" t="s">
        <v>290</v>
      </c>
      <c r="B545" s="89" t="s">
        <v>1085</v>
      </c>
      <c r="C545" s="98" t="s">
        <v>512</v>
      </c>
    </row>
    <row r="546" spans="1:3" ht="15">
      <c r="A546" s="90" t="s">
        <v>290</v>
      </c>
      <c r="B546" s="89" t="s">
        <v>1086</v>
      </c>
      <c r="C546" s="98" t="s">
        <v>512</v>
      </c>
    </row>
    <row r="547" spans="1:3" ht="15">
      <c r="A547" s="90" t="s">
        <v>290</v>
      </c>
      <c r="B547" s="89" t="s">
        <v>942</v>
      </c>
      <c r="C547" s="98" t="s">
        <v>512</v>
      </c>
    </row>
    <row r="548" spans="1:3" ht="15">
      <c r="A548" s="90" t="s">
        <v>290</v>
      </c>
      <c r="B548" s="89" t="s">
        <v>938</v>
      </c>
      <c r="C548" s="98" t="s">
        <v>512</v>
      </c>
    </row>
    <row r="549" spans="1:3" ht="15">
      <c r="A549" s="90" t="s">
        <v>290</v>
      </c>
      <c r="B549" s="89" t="s">
        <v>935</v>
      </c>
      <c r="C549" s="98" t="s">
        <v>512</v>
      </c>
    </row>
    <row r="550" spans="1:3" ht="15">
      <c r="A550" s="90" t="s">
        <v>290</v>
      </c>
      <c r="B550" s="89" t="s">
        <v>934</v>
      </c>
      <c r="C550" s="98" t="s">
        <v>512</v>
      </c>
    </row>
    <row r="551" spans="1:3" ht="15">
      <c r="A551" s="90" t="s">
        <v>290</v>
      </c>
      <c r="B551" s="89" t="s">
        <v>1087</v>
      </c>
      <c r="C551" s="98" t="s">
        <v>512</v>
      </c>
    </row>
    <row r="552" spans="1:3" ht="15">
      <c r="A552" s="90" t="s">
        <v>290</v>
      </c>
      <c r="B552" s="89" t="s">
        <v>1088</v>
      </c>
      <c r="C552" s="98" t="s">
        <v>512</v>
      </c>
    </row>
    <row r="553" spans="1:3" ht="15">
      <c r="A553" s="90" t="s">
        <v>290</v>
      </c>
      <c r="B553" s="89" t="s">
        <v>936</v>
      </c>
      <c r="C553" s="98" t="s">
        <v>512</v>
      </c>
    </row>
    <row r="554" spans="1:3" ht="15">
      <c r="A554" s="90" t="s">
        <v>290</v>
      </c>
      <c r="B554" s="89" t="s">
        <v>1089</v>
      </c>
      <c r="C554" s="98" t="s">
        <v>512</v>
      </c>
    </row>
    <row r="555" spans="1:3" ht="15">
      <c r="A555" s="90" t="s">
        <v>290</v>
      </c>
      <c r="B555" s="89" t="s">
        <v>943</v>
      </c>
      <c r="C555" s="98" t="s">
        <v>512</v>
      </c>
    </row>
    <row r="556" spans="1:3" ht="15">
      <c r="A556" s="90" t="s">
        <v>290</v>
      </c>
      <c r="B556" s="89" t="s">
        <v>1090</v>
      </c>
      <c r="C556" s="98" t="s">
        <v>512</v>
      </c>
    </row>
    <row r="557" spans="1:3" ht="15">
      <c r="A557" s="90" t="s">
        <v>290</v>
      </c>
      <c r="B557" s="89" t="s">
        <v>933</v>
      </c>
      <c r="C557" s="98" t="s">
        <v>512</v>
      </c>
    </row>
    <row r="558" spans="1:3" ht="15">
      <c r="A558" s="90" t="s">
        <v>290</v>
      </c>
      <c r="B558" s="89" t="s">
        <v>338</v>
      </c>
      <c r="C558" s="98" t="s">
        <v>512</v>
      </c>
    </row>
    <row r="559" spans="1:3" ht="15">
      <c r="A559" s="90" t="s">
        <v>290</v>
      </c>
      <c r="B559" s="89" t="s">
        <v>1091</v>
      </c>
      <c r="C559" s="98" t="s">
        <v>512</v>
      </c>
    </row>
    <row r="560" spans="1:3" ht="15">
      <c r="A560" s="90" t="s">
        <v>290</v>
      </c>
      <c r="B560" s="89" t="s">
        <v>299</v>
      </c>
      <c r="C560" s="98" t="s">
        <v>512</v>
      </c>
    </row>
    <row r="561" spans="1:3" ht="15">
      <c r="A561" s="90" t="s">
        <v>289</v>
      </c>
      <c r="B561" s="89" t="s">
        <v>1097</v>
      </c>
      <c r="C561" s="98" t="s">
        <v>508</v>
      </c>
    </row>
    <row r="562" spans="1:3" ht="15">
      <c r="A562" s="90" t="s">
        <v>289</v>
      </c>
      <c r="B562" s="89" t="s">
        <v>1106</v>
      </c>
      <c r="C562" s="98" t="s">
        <v>508</v>
      </c>
    </row>
    <row r="563" spans="1:3" ht="15">
      <c r="A563" s="90" t="s">
        <v>289</v>
      </c>
      <c r="B563" s="89" t="s">
        <v>1107</v>
      </c>
      <c r="C563" s="98" t="s">
        <v>508</v>
      </c>
    </row>
    <row r="564" spans="1:3" ht="15">
      <c r="A564" s="90" t="s">
        <v>289</v>
      </c>
      <c r="B564" s="89" t="s">
        <v>1008</v>
      </c>
      <c r="C564" s="98" t="s">
        <v>508</v>
      </c>
    </row>
    <row r="565" spans="1:3" ht="15">
      <c r="A565" s="90" t="s">
        <v>289</v>
      </c>
      <c r="B565" s="89" t="s">
        <v>1108</v>
      </c>
      <c r="C565" s="98" t="s">
        <v>508</v>
      </c>
    </row>
    <row r="566" spans="1:3" ht="15">
      <c r="A566" s="90" t="s">
        <v>289</v>
      </c>
      <c r="B566" s="89" t="s">
        <v>1010</v>
      </c>
      <c r="C566" s="98" t="s">
        <v>508</v>
      </c>
    </row>
    <row r="567" spans="1:3" ht="15">
      <c r="A567" s="90" t="s">
        <v>289</v>
      </c>
      <c r="B567" s="89" t="s">
        <v>815</v>
      </c>
      <c r="C567" s="98" t="s">
        <v>508</v>
      </c>
    </row>
    <row r="568" spans="1:3" ht="15">
      <c r="A568" s="90" t="s">
        <v>289</v>
      </c>
      <c r="B568" s="89" t="s">
        <v>1109</v>
      </c>
      <c r="C568" s="98" t="s">
        <v>508</v>
      </c>
    </row>
    <row r="569" spans="1:3" ht="15">
      <c r="A569" s="90" t="s">
        <v>289</v>
      </c>
      <c r="B569" s="89" t="s">
        <v>1087</v>
      </c>
      <c r="C569" s="98" t="s">
        <v>508</v>
      </c>
    </row>
    <row r="570" spans="1:3" ht="15">
      <c r="A570" s="90" t="s">
        <v>289</v>
      </c>
      <c r="B570" s="89" t="s">
        <v>1013</v>
      </c>
      <c r="C570" s="98" t="s">
        <v>508</v>
      </c>
    </row>
    <row r="571" spans="1:3" ht="15">
      <c r="A571" s="90" t="s">
        <v>289</v>
      </c>
      <c r="B571" s="89" t="s">
        <v>1110</v>
      </c>
      <c r="C571" s="98" t="s">
        <v>508</v>
      </c>
    </row>
    <row r="572" spans="1:3" ht="15">
      <c r="A572" s="90" t="s">
        <v>289</v>
      </c>
      <c r="B572" s="89" t="s">
        <v>979</v>
      </c>
      <c r="C572" s="98" t="s">
        <v>508</v>
      </c>
    </row>
    <row r="573" spans="1:3" ht="15">
      <c r="A573" s="90" t="s">
        <v>289</v>
      </c>
      <c r="B573" s="89" t="s">
        <v>1111</v>
      </c>
      <c r="C573" s="98" t="s">
        <v>508</v>
      </c>
    </row>
    <row r="574" spans="1:3" ht="15">
      <c r="A574" s="90" t="s">
        <v>289</v>
      </c>
      <c r="B574" s="89" t="s">
        <v>641</v>
      </c>
      <c r="C574" s="98" t="s">
        <v>508</v>
      </c>
    </row>
    <row r="575" spans="1:3" ht="15">
      <c r="A575" s="90" t="s">
        <v>289</v>
      </c>
      <c r="B575" s="89" t="s">
        <v>1112</v>
      </c>
      <c r="C575" s="98" t="s">
        <v>508</v>
      </c>
    </row>
    <row r="576" spans="1:3" ht="15">
      <c r="A576" s="90" t="s">
        <v>289</v>
      </c>
      <c r="B576" s="89" t="s">
        <v>1094</v>
      </c>
      <c r="C576" s="98" t="s">
        <v>508</v>
      </c>
    </row>
    <row r="577" spans="1:3" ht="15">
      <c r="A577" s="90" t="s">
        <v>289</v>
      </c>
      <c r="B577" s="89" t="s">
        <v>944</v>
      </c>
      <c r="C577" s="98" t="s">
        <v>508</v>
      </c>
    </row>
    <row r="578" spans="1:3" ht="15">
      <c r="A578" s="90" t="s">
        <v>289</v>
      </c>
      <c r="B578" s="89" t="s">
        <v>1017</v>
      </c>
      <c r="C578" s="98" t="s">
        <v>508</v>
      </c>
    </row>
    <row r="579" spans="1:3" ht="15">
      <c r="A579" s="90" t="s">
        <v>289</v>
      </c>
      <c r="B579" s="89" t="s">
        <v>299</v>
      </c>
      <c r="C579" s="98" t="s">
        <v>508</v>
      </c>
    </row>
    <row r="580" spans="1:3" ht="15">
      <c r="A580" s="90" t="s">
        <v>289</v>
      </c>
      <c r="B580" s="89" t="s">
        <v>1091</v>
      </c>
      <c r="C580" s="98" t="s">
        <v>508</v>
      </c>
    </row>
    <row r="581" spans="1:3" ht="15">
      <c r="A581" s="90" t="s">
        <v>289</v>
      </c>
      <c r="B581" s="89" t="s">
        <v>1113</v>
      </c>
      <c r="C581" s="98" t="s">
        <v>508</v>
      </c>
    </row>
    <row r="582" spans="1:3" ht="15">
      <c r="A582" s="90" t="s">
        <v>289</v>
      </c>
      <c r="B582" s="89" t="s">
        <v>338</v>
      </c>
      <c r="C582" s="98" t="s">
        <v>508</v>
      </c>
    </row>
    <row r="583" spans="1:3" ht="15">
      <c r="A583" s="90" t="s">
        <v>289</v>
      </c>
      <c r="B583" s="89" t="s">
        <v>1114</v>
      </c>
      <c r="C583" s="98" t="s">
        <v>508</v>
      </c>
    </row>
    <row r="584" spans="1:3" ht="15">
      <c r="A584" s="90" t="s">
        <v>2130</v>
      </c>
      <c r="B584" s="89" t="s">
        <v>2445</v>
      </c>
      <c r="C584" s="98" t="s">
        <v>2222</v>
      </c>
    </row>
    <row r="585" spans="1:3" ht="15">
      <c r="A585" s="90" t="s">
        <v>2130</v>
      </c>
      <c r="B585" s="89" t="s">
        <v>2446</v>
      </c>
      <c r="C585" s="98" t="s">
        <v>2222</v>
      </c>
    </row>
    <row r="586" spans="1:3" ht="15">
      <c r="A586" s="90" t="s">
        <v>2130</v>
      </c>
      <c r="B586" s="89" t="s">
        <v>2367</v>
      </c>
      <c r="C586" s="98" t="s">
        <v>2222</v>
      </c>
    </row>
    <row r="587" spans="1:3" ht="15">
      <c r="A587" s="90" t="s">
        <v>2130</v>
      </c>
      <c r="B587" s="89" t="s">
        <v>1094</v>
      </c>
      <c r="C587" s="98" t="s">
        <v>2222</v>
      </c>
    </row>
    <row r="588" spans="1:3" ht="15">
      <c r="A588" s="90" t="s">
        <v>2130</v>
      </c>
      <c r="B588" s="89" t="s">
        <v>1219</v>
      </c>
      <c r="C588" s="98" t="s">
        <v>2222</v>
      </c>
    </row>
    <row r="589" spans="1:3" ht="15">
      <c r="A589" s="90" t="s">
        <v>2130</v>
      </c>
      <c r="B589" s="89" t="s">
        <v>2368</v>
      </c>
      <c r="C589" s="98" t="s">
        <v>2222</v>
      </c>
    </row>
    <row r="590" spans="1:3" ht="15">
      <c r="A590" s="90" t="s">
        <v>2130</v>
      </c>
      <c r="B590" s="89" t="s">
        <v>2447</v>
      </c>
      <c r="C590" s="98" t="s">
        <v>2222</v>
      </c>
    </row>
    <row r="591" spans="1:3" ht="15">
      <c r="A591" s="90" t="s">
        <v>2130</v>
      </c>
      <c r="B591" s="89" t="s">
        <v>2369</v>
      </c>
      <c r="C591" s="98" t="s">
        <v>2222</v>
      </c>
    </row>
    <row r="592" spans="1:3" ht="15">
      <c r="A592" s="90" t="s">
        <v>2130</v>
      </c>
      <c r="B592" s="89" t="s">
        <v>2370</v>
      </c>
      <c r="C592" s="98" t="s">
        <v>2222</v>
      </c>
    </row>
    <row r="593" spans="1:3" ht="15">
      <c r="A593" s="90" t="s">
        <v>2130</v>
      </c>
      <c r="B593" s="89" t="s">
        <v>1578</v>
      </c>
      <c r="C593" s="98" t="s">
        <v>2222</v>
      </c>
    </row>
    <row r="594" spans="1:3" ht="15">
      <c r="A594" s="90" t="s">
        <v>2130</v>
      </c>
      <c r="B594" s="89" t="s">
        <v>2371</v>
      </c>
      <c r="C594" s="98" t="s">
        <v>2222</v>
      </c>
    </row>
    <row r="595" spans="1:3" ht="15">
      <c r="A595" s="90" t="s">
        <v>2130</v>
      </c>
      <c r="B595" s="89" t="s">
        <v>1087</v>
      </c>
      <c r="C595" s="98" t="s">
        <v>2222</v>
      </c>
    </row>
    <row r="596" spans="1:3" ht="15">
      <c r="A596" s="90" t="s">
        <v>2130</v>
      </c>
      <c r="B596" s="89" t="s">
        <v>2372</v>
      </c>
      <c r="C596" s="98" t="s">
        <v>2222</v>
      </c>
    </row>
    <row r="597" spans="1:3" ht="15">
      <c r="A597" s="90" t="s">
        <v>2130</v>
      </c>
      <c r="B597" s="89" t="s">
        <v>1167</v>
      </c>
      <c r="C597" s="98" t="s">
        <v>2222</v>
      </c>
    </row>
    <row r="598" spans="1:3" ht="15">
      <c r="A598" s="90" t="s">
        <v>2130</v>
      </c>
      <c r="B598" s="89" t="s">
        <v>1575</v>
      </c>
      <c r="C598" s="98" t="s">
        <v>2222</v>
      </c>
    </row>
    <row r="599" spans="1:3" ht="15">
      <c r="A599" s="90" t="s">
        <v>2130</v>
      </c>
      <c r="B599" s="89" t="s">
        <v>2373</v>
      </c>
      <c r="C599" s="98" t="s">
        <v>2222</v>
      </c>
    </row>
    <row r="600" spans="1:3" ht="15">
      <c r="A600" s="90" t="s">
        <v>2130</v>
      </c>
      <c r="B600" s="89" t="s">
        <v>2374</v>
      </c>
      <c r="C600" s="98" t="s">
        <v>2222</v>
      </c>
    </row>
    <row r="601" spans="1:3" ht="15">
      <c r="A601" s="90" t="s">
        <v>2130</v>
      </c>
      <c r="B601" s="89" t="s">
        <v>2375</v>
      </c>
      <c r="C601" s="98" t="s">
        <v>2222</v>
      </c>
    </row>
    <row r="602" spans="1:3" ht="15">
      <c r="A602" s="90" t="s">
        <v>2130</v>
      </c>
      <c r="B602" s="89" t="s">
        <v>2376</v>
      </c>
      <c r="C602" s="98" t="s">
        <v>2222</v>
      </c>
    </row>
    <row r="603" spans="1:3" ht="15">
      <c r="A603" s="90" t="s">
        <v>2130</v>
      </c>
      <c r="B603" s="89" t="s">
        <v>1097</v>
      </c>
      <c r="C603" s="98" t="s">
        <v>2222</v>
      </c>
    </row>
    <row r="604" spans="1:3" ht="15">
      <c r="A604" s="90" t="s">
        <v>2130</v>
      </c>
      <c r="B604" s="89" t="s">
        <v>1155</v>
      </c>
      <c r="C604" s="98" t="s">
        <v>2222</v>
      </c>
    </row>
    <row r="605" spans="1:3" ht="15">
      <c r="A605" s="90" t="s">
        <v>2130</v>
      </c>
      <c r="B605" s="89" t="s">
        <v>1101</v>
      </c>
      <c r="C605" s="98" t="s">
        <v>2222</v>
      </c>
    </row>
    <row r="606" spans="1:3" ht="15">
      <c r="A606" s="90" t="s">
        <v>2130</v>
      </c>
      <c r="B606" s="89" t="s">
        <v>252</v>
      </c>
      <c r="C606" s="98" t="s">
        <v>2222</v>
      </c>
    </row>
    <row r="607" spans="1:3" ht="15">
      <c r="A607" s="90" t="s">
        <v>2130</v>
      </c>
      <c r="B607" s="89" t="s">
        <v>2448</v>
      </c>
      <c r="C607" s="98" t="s">
        <v>2222</v>
      </c>
    </row>
    <row r="608" spans="1:3" ht="15">
      <c r="A608" s="90" t="s">
        <v>2130</v>
      </c>
      <c r="B608" s="89" t="s">
        <v>1796</v>
      </c>
      <c r="C608" s="98" t="s">
        <v>2222</v>
      </c>
    </row>
    <row r="609" spans="1:3" ht="15">
      <c r="A609" s="90" t="s">
        <v>2130</v>
      </c>
      <c r="B609" s="89" t="s">
        <v>996</v>
      </c>
      <c r="C609" s="98" t="s">
        <v>2222</v>
      </c>
    </row>
    <row r="610" spans="1:3" ht="15">
      <c r="A610" s="90" t="s">
        <v>2130</v>
      </c>
      <c r="B610" s="89" t="s">
        <v>997</v>
      </c>
      <c r="C610" s="98" t="s">
        <v>2222</v>
      </c>
    </row>
    <row r="611" spans="1:3" ht="15">
      <c r="A611" s="90" t="s">
        <v>2130</v>
      </c>
      <c r="B611" s="89" t="s">
        <v>998</v>
      </c>
      <c r="C611" s="98" t="s">
        <v>2222</v>
      </c>
    </row>
    <row r="612" spans="1:3" ht="15">
      <c r="A612" s="90" t="s">
        <v>2130</v>
      </c>
      <c r="B612" s="89" t="s">
        <v>2449</v>
      </c>
      <c r="C612" s="98" t="s">
        <v>2222</v>
      </c>
    </row>
    <row r="613" spans="1:3" ht="15">
      <c r="A613" s="90" t="s">
        <v>2129</v>
      </c>
      <c r="B613" s="89" t="s">
        <v>1138</v>
      </c>
      <c r="C613" s="98" t="s">
        <v>2221</v>
      </c>
    </row>
    <row r="614" spans="1:3" ht="15">
      <c r="A614" s="90" t="s">
        <v>2129</v>
      </c>
      <c r="B614" s="89" t="s">
        <v>2467</v>
      </c>
      <c r="C614" s="98" t="s">
        <v>2221</v>
      </c>
    </row>
    <row r="615" spans="1:3" ht="15">
      <c r="A615" s="90" t="s">
        <v>2129</v>
      </c>
      <c r="B615" s="89" t="s">
        <v>2432</v>
      </c>
      <c r="C615" s="98" t="s">
        <v>2221</v>
      </c>
    </row>
    <row r="616" spans="1:3" ht="15">
      <c r="A616" s="90" t="s">
        <v>2129</v>
      </c>
      <c r="B616" s="89" t="s">
        <v>2433</v>
      </c>
      <c r="C616" s="98" t="s">
        <v>2221</v>
      </c>
    </row>
    <row r="617" spans="1:3" ht="15">
      <c r="A617" s="90" t="s">
        <v>2129</v>
      </c>
      <c r="B617" s="89" t="s">
        <v>1710</v>
      </c>
      <c r="C617" s="98" t="s">
        <v>2221</v>
      </c>
    </row>
    <row r="618" spans="1:3" ht="15">
      <c r="A618" s="90" t="s">
        <v>2129</v>
      </c>
      <c r="B618" s="89" t="s">
        <v>1087</v>
      </c>
      <c r="C618" s="98" t="s">
        <v>2221</v>
      </c>
    </row>
    <row r="619" spans="1:3" ht="15">
      <c r="A619" s="90" t="s">
        <v>2129</v>
      </c>
      <c r="B619" s="89" t="s">
        <v>1735</v>
      </c>
      <c r="C619" s="98" t="s">
        <v>2221</v>
      </c>
    </row>
    <row r="620" spans="1:3" ht="15">
      <c r="A620" s="90" t="s">
        <v>2129</v>
      </c>
      <c r="B620" s="89" t="s">
        <v>1745</v>
      </c>
      <c r="C620" s="98" t="s">
        <v>2221</v>
      </c>
    </row>
    <row r="621" spans="1:3" ht="15">
      <c r="A621" s="90" t="s">
        <v>2129</v>
      </c>
      <c r="B621" s="89" t="s">
        <v>2429</v>
      </c>
      <c r="C621" s="98" t="s">
        <v>2221</v>
      </c>
    </row>
    <row r="622" spans="1:3" ht="15">
      <c r="A622" s="90" t="s">
        <v>2129</v>
      </c>
      <c r="B622" s="89" t="s">
        <v>2434</v>
      </c>
      <c r="C622" s="98" t="s">
        <v>2221</v>
      </c>
    </row>
    <row r="623" spans="1:3" ht="15">
      <c r="A623" s="90" t="s">
        <v>2129</v>
      </c>
      <c r="B623" s="89" t="s">
        <v>2435</v>
      </c>
      <c r="C623" s="98" t="s">
        <v>2221</v>
      </c>
    </row>
    <row r="624" spans="1:3" ht="15">
      <c r="A624" s="90" t="s">
        <v>2129</v>
      </c>
      <c r="B624" s="89" t="s">
        <v>931</v>
      </c>
      <c r="C624" s="98" t="s">
        <v>2221</v>
      </c>
    </row>
    <row r="625" spans="1:3" ht="15">
      <c r="A625" s="90" t="s">
        <v>2129</v>
      </c>
      <c r="B625" s="89" t="s">
        <v>1167</v>
      </c>
      <c r="C625" s="98" t="s">
        <v>2221</v>
      </c>
    </row>
    <row r="626" spans="1:3" ht="15">
      <c r="A626" s="90" t="s">
        <v>2129</v>
      </c>
      <c r="B626" s="89" t="s">
        <v>1094</v>
      </c>
      <c r="C626" s="98" t="s">
        <v>2221</v>
      </c>
    </row>
    <row r="627" spans="1:3" ht="15">
      <c r="A627" s="90" t="s">
        <v>2129</v>
      </c>
      <c r="B627" s="89" t="s">
        <v>1206</v>
      </c>
      <c r="C627" s="98" t="s">
        <v>2221</v>
      </c>
    </row>
    <row r="628" spans="1:3" ht="15">
      <c r="A628" s="90" t="s">
        <v>2129</v>
      </c>
      <c r="B628" s="89" t="s">
        <v>1092</v>
      </c>
      <c r="C628" s="98" t="s">
        <v>2221</v>
      </c>
    </row>
    <row r="629" spans="1:3" ht="15">
      <c r="A629" s="90" t="s">
        <v>2129</v>
      </c>
      <c r="B629" s="89" t="s">
        <v>945</v>
      </c>
      <c r="C629" s="98" t="s">
        <v>2221</v>
      </c>
    </row>
    <row r="630" spans="1:3" ht="15">
      <c r="A630" s="90" t="s">
        <v>2129</v>
      </c>
      <c r="B630" s="89" t="s">
        <v>980</v>
      </c>
      <c r="C630" s="98" t="s">
        <v>2221</v>
      </c>
    </row>
    <row r="631" spans="1:3" ht="15">
      <c r="A631" s="90" t="s">
        <v>2129</v>
      </c>
      <c r="B631" s="89" t="s">
        <v>966</v>
      </c>
      <c r="C631" s="98" t="s">
        <v>2221</v>
      </c>
    </row>
    <row r="632" spans="1:3" ht="15">
      <c r="A632" s="90" t="s">
        <v>2129</v>
      </c>
      <c r="B632" s="89" t="s">
        <v>1198</v>
      </c>
      <c r="C632" s="98" t="s">
        <v>2221</v>
      </c>
    </row>
    <row r="633" spans="1:3" ht="15">
      <c r="A633" s="90" t="s">
        <v>2129</v>
      </c>
      <c r="B633" s="89" t="s">
        <v>2436</v>
      </c>
      <c r="C633" s="98" t="s">
        <v>2221</v>
      </c>
    </row>
    <row r="634" spans="1:3" ht="15">
      <c r="A634" s="90" t="s">
        <v>2129</v>
      </c>
      <c r="B634" s="89" t="s">
        <v>2437</v>
      </c>
      <c r="C634" s="98" t="s">
        <v>2221</v>
      </c>
    </row>
    <row r="635" spans="1:3" ht="15">
      <c r="A635" s="90" t="s">
        <v>2129</v>
      </c>
      <c r="B635" s="89" t="s">
        <v>930</v>
      </c>
      <c r="C635" s="98" t="s">
        <v>2221</v>
      </c>
    </row>
    <row r="636" spans="1:3" ht="15">
      <c r="A636" s="90" t="s">
        <v>2129</v>
      </c>
      <c r="B636" s="89" t="s">
        <v>1132</v>
      </c>
      <c r="C636" s="98" t="s">
        <v>2221</v>
      </c>
    </row>
    <row r="637" spans="1:3" ht="15">
      <c r="A637" s="90" t="s">
        <v>2129</v>
      </c>
      <c r="B637" s="89" t="s">
        <v>2010</v>
      </c>
      <c r="C637" s="98" t="s">
        <v>2221</v>
      </c>
    </row>
    <row r="638" spans="1:3" ht="15">
      <c r="A638" s="90" t="s">
        <v>2128</v>
      </c>
      <c r="B638" s="89" t="s">
        <v>1138</v>
      </c>
      <c r="C638" s="98" t="s">
        <v>2220</v>
      </c>
    </row>
    <row r="639" spans="1:3" ht="15">
      <c r="A639" s="90" t="s">
        <v>2128</v>
      </c>
      <c r="B639" s="89" t="s">
        <v>2467</v>
      </c>
      <c r="C639" s="98" t="s">
        <v>2220</v>
      </c>
    </row>
    <row r="640" spans="1:3" ht="15">
      <c r="A640" s="90" t="s">
        <v>2128</v>
      </c>
      <c r="B640" s="89" t="s">
        <v>2432</v>
      </c>
      <c r="C640" s="98" t="s">
        <v>2220</v>
      </c>
    </row>
    <row r="641" spans="1:3" ht="15">
      <c r="A641" s="90" t="s">
        <v>2128</v>
      </c>
      <c r="B641" s="89" t="s">
        <v>2433</v>
      </c>
      <c r="C641" s="98" t="s">
        <v>2220</v>
      </c>
    </row>
    <row r="642" spans="1:3" ht="15">
      <c r="A642" s="90" t="s">
        <v>2128</v>
      </c>
      <c r="B642" s="89" t="s">
        <v>1710</v>
      </c>
      <c r="C642" s="98" t="s">
        <v>2220</v>
      </c>
    </row>
    <row r="643" spans="1:3" ht="15">
      <c r="A643" s="90" t="s">
        <v>2128</v>
      </c>
      <c r="B643" s="89" t="s">
        <v>1087</v>
      </c>
      <c r="C643" s="98" t="s">
        <v>2220</v>
      </c>
    </row>
    <row r="644" spans="1:3" ht="15">
      <c r="A644" s="90" t="s">
        <v>2128</v>
      </c>
      <c r="B644" s="89" t="s">
        <v>1735</v>
      </c>
      <c r="C644" s="98" t="s">
        <v>2220</v>
      </c>
    </row>
    <row r="645" spans="1:3" ht="15">
      <c r="A645" s="90" t="s">
        <v>2128</v>
      </c>
      <c r="B645" s="89" t="s">
        <v>1745</v>
      </c>
      <c r="C645" s="98" t="s">
        <v>2220</v>
      </c>
    </row>
    <row r="646" spans="1:3" ht="15">
      <c r="A646" s="90" t="s">
        <v>2128</v>
      </c>
      <c r="B646" s="89" t="s">
        <v>2429</v>
      </c>
      <c r="C646" s="98" t="s">
        <v>2220</v>
      </c>
    </row>
    <row r="647" spans="1:3" ht="15">
      <c r="A647" s="90" t="s">
        <v>2128</v>
      </c>
      <c r="B647" s="89" t="s">
        <v>2434</v>
      </c>
      <c r="C647" s="98" t="s">
        <v>2220</v>
      </c>
    </row>
    <row r="648" spans="1:3" ht="15">
      <c r="A648" s="90" t="s">
        <v>2128</v>
      </c>
      <c r="B648" s="89" t="s">
        <v>2435</v>
      </c>
      <c r="C648" s="98" t="s">
        <v>2220</v>
      </c>
    </row>
    <row r="649" spans="1:3" ht="15">
      <c r="A649" s="90" t="s">
        <v>2128</v>
      </c>
      <c r="B649" s="89" t="s">
        <v>931</v>
      </c>
      <c r="C649" s="98" t="s">
        <v>2220</v>
      </c>
    </row>
    <row r="650" spans="1:3" ht="15">
      <c r="A650" s="90" t="s">
        <v>2128</v>
      </c>
      <c r="B650" s="89" t="s">
        <v>1167</v>
      </c>
      <c r="C650" s="98" t="s">
        <v>2220</v>
      </c>
    </row>
    <row r="651" spans="1:3" ht="15">
      <c r="A651" s="90" t="s">
        <v>2128</v>
      </c>
      <c r="B651" s="89" t="s">
        <v>1094</v>
      </c>
      <c r="C651" s="98" t="s">
        <v>2220</v>
      </c>
    </row>
    <row r="652" spans="1:3" ht="15">
      <c r="A652" s="90" t="s">
        <v>2128</v>
      </c>
      <c r="B652" s="89" t="s">
        <v>1206</v>
      </c>
      <c r="C652" s="98" t="s">
        <v>2220</v>
      </c>
    </row>
    <row r="653" spans="1:3" ht="15">
      <c r="A653" s="90" t="s">
        <v>2128</v>
      </c>
      <c r="B653" s="89" t="s">
        <v>1092</v>
      </c>
      <c r="C653" s="98" t="s">
        <v>2220</v>
      </c>
    </row>
    <row r="654" spans="1:3" ht="15">
      <c r="A654" s="90" t="s">
        <v>2128</v>
      </c>
      <c r="B654" s="89" t="s">
        <v>945</v>
      </c>
      <c r="C654" s="98" t="s">
        <v>2220</v>
      </c>
    </row>
    <row r="655" spans="1:3" ht="15">
      <c r="A655" s="90" t="s">
        <v>2128</v>
      </c>
      <c r="B655" s="89" t="s">
        <v>980</v>
      </c>
      <c r="C655" s="98" t="s">
        <v>2220</v>
      </c>
    </row>
    <row r="656" spans="1:3" ht="15">
      <c r="A656" s="90" t="s">
        <v>2128</v>
      </c>
      <c r="B656" s="89" t="s">
        <v>966</v>
      </c>
      <c r="C656" s="98" t="s">
        <v>2220</v>
      </c>
    </row>
    <row r="657" spans="1:3" ht="15">
      <c r="A657" s="90" t="s">
        <v>2128</v>
      </c>
      <c r="B657" s="89" t="s">
        <v>1198</v>
      </c>
      <c r="C657" s="98" t="s">
        <v>2220</v>
      </c>
    </row>
    <row r="658" spans="1:3" ht="15">
      <c r="A658" s="90" t="s">
        <v>2128</v>
      </c>
      <c r="B658" s="89" t="s">
        <v>2436</v>
      </c>
      <c r="C658" s="98" t="s">
        <v>2220</v>
      </c>
    </row>
    <row r="659" spans="1:3" ht="15">
      <c r="A659" s="90" t="s">
        <v>2128</v>
      </c>
      <c r="B659" s="89" t="s">
        <v>2437</v>
      </c>
      <c r="C659" s="98" t="s">
        <v>2220</v>
      </c>
    </row>
    <row r="660" spans="1:3" ht="15">
      <c r="A660" s="90" t="s">
        <v>2128</v>
      </c>
      <c r="B660" s="89" t="s">
        <v>930</v>
      </c>
      <c r="C660" s="98" t="s">
        <v>2220</v>
      </c>
    </row>
    <row r="661" spans="1:3" ht="15">
      <c r="A661" s="90" t="s">
        <v>2128</v>
      </c>
      <c r="B661" s="89" t="s">
        <v>1132</v>
      </c>
      <c r="C661" s="98" t="s">
        <v>2220</v>
      </c>
    </row>
    <row r="662" spans="1:3" ht="15">
      <c r="A662" s="90" t="s">
        <v>2128</v>
      </c>
      <c r="B662" s="89" t="s">
        <v>2010</v>
      </c>
      <c r="C662" s="98" t="s">
        <v>2220</v>
      </c>
    </row>
    <row r="663" spans="1:3" ht="15">
      <c r="A663" s="90" t="s">
        <v>288</v>
      </c>
      <c r="B663" s="89" t="s">
        <v>1080</v>
      </c>
      <c r="C663" s="98" t="s">
        <v>507</v>
      </c>
    </row>
    <row r="664" spans="1:3" ht="15">
      <c r="A664" s="90" t="s">
        <v>288</v>
      </c>
      <c r="B664" s="89" t="s">
        <v>1081</v>
      </c>
      <c r="C664" s="98" t="s">
        <v>507</v>
      </c>
    </row>
    <row r="665" spans="1:3" ht="15">
      <c r="A665" s="90" t="s">
        <v>288</v>
      </c>
      <c r="B665" s="89" t="s">
        <v>1082</v>
      </c>
      <c r="C665" s="98" t="s">
        <v>507</v>
      </c>
    </row>
    <row r="666" spans="1:3" ht="15">
      <c r="A666" s="90" t="s">
        <v>288</v>
      </c>
      <c r="B666" s="89" t="s">
        <v>930</v>
      </c>
      <c r="C666" s="98" t="s">
        <v>507</v>
      </c>
    </row>
    <row r="667" spans="1:3" ht="15">
      <c r="A667" s="90" t="s">
        <v>288</v>
      </c>
      <c r="B667" s="89" t="s">
        <v>940</v>
      </c>
      <c r="C667" s="98" t="s">
        <v>507</v>
      </c>
    </row>
    <row r="668" spans="1:3" ht="15">
      <c r="A668" s="90" t="s">
        <v>288</v>
      </c>
      <c r="B668" s="89" t="s">
        <v>941</v>
      </c>
      <c r="C668" s="98" t="s">
        <v>507</v>
      </c>
    </row>
    <row r="669" spans="1:3" ht="15">
      <c r="A669" s="90" t="s">
        <v>288</v>
      </c>
      <c r="B669" s="89" t="s">
        <v>1083</v>
      </c>
      <c r="C669" s="98" t="s">
        <v>507</v>
      </c>
    </row>
    <row r="670" spans="1:3" ht="15">
      <c r="A670" s="90" t="s">
        <v>288</v>
      </c>
      <c r="B670" s="89" t="s">
        <v>931</v>
      </c>
      <c r="C670" s="98" t="s">
        <v>507</v>
      </c>
    </row>
    <row r="671" spans="1:3" ht="15">
      <c r="A671" s="90" t="s">
        <v>288</v>
      </c>
      <c r="B671" s="89" t="s">
        <v>1084</v>
      </c>
      <c r="C671" s="98" t="s">
        <v>507</v>
      </c>
    </row>
    <row r="672" spans="1:3" ht="15">
      <c r="A672" s="90" t="s">
        <v>288</v>
      </c>
      <c r="B672" s="89" t="s">
        <v>1085</v>
      </c>
      <c r="C672" s="98" t="s">
        <v>507</v>
      </c>
    </row>
    <row r="673" spans="1:3" ht="15">
      <c r="A673" s="90" t="s">
        <v>288</v>
      </c>
      <c r="B673" s="89" t="s">
        <v>1086</v>
      </c>
      <c r="C673" s="98" t="s">
        <v>507</v>
      </c>
    </row>
    <row r="674" spans="1:3" ht="15">
      <c r="A674" s="90" t="s">
        <v>288</v>
      </c>
      <c r="B674" s="89" t="s">
        <v>942</v>
      </c>
      <c r="C674" s="98" t="s">
        <v>507</v>
      </c>
    </row>
    <row r="675" spans="1:3" ht="15">
      <c r="A675" s="90" t="s">
        <v>288</v>
      </c>
      <c r="B675" s="89" t="s">
        <v>938</v>
      </c>
      <c r="C675" s="98" t="s">
        <v>507</v>
      </c>
    </row>
    <row r="676" spans="1:3" ht="15">
      <c r="A676" s="90" t="s">
        <v>288</v>
      </c>
      <c r="B676" s="89" t="s">
        <v>935</v>
      </c>
      <c r="C676" s="98" t="s">
        <v>507</v>
      </c>
    </row>
    <row r="677" spans="1:3" ht="15">
      <c r="A677" s="90" t="s">
        <v>288</v>
      </c>
      <c r="B677" s="89" t="s">
        <v>934</v>
      </c>
      <c r="C677" s="98" t="s">
        <v>507</v>
      </c>
    </row>
    <row r="678" spans="1:3" ht="15">
      <c r="A678" s="90" t="s">
        <v>288</v>
      </c>
      <c r="B678" s="89" t="s">
        <v>1087</v>
      </c>
      <c r="C678" s="98" t="s">
        <v>507</v>
      </c>
    </row>
    <row r="679" spans="1:3" ht="15">
      <c r="A679" s="90" t="s">
        <v>288</v>
      </c>
      <c r="B679" s="89" t="s">
        <v>1088</v>
      </c>
      <c r="C679" s="98" t="s">
        <v>507</v>
      </c>
    </row>
    <row r="680" spans="1:3" ht="15">
      <c r="A680" s="90" t="s">
        <v>288</v>
      </c>
      <c r="B680" s="89" t="s">
        <v>936</v>
      </c>
      <c r="C680" s="98" t="s">
        <v>507</v>
      </c>
    </row>
    <row r="681" spans="1:3" ht="15">
      <c r="A681" s="90" t="s">
        <v>288</v>
      </c>
      <c r="B681" s="89" t="s">
        <v>1089</v>
      </c>
      <c r="C681" s="98" t="s">
        <v>507</v>
      </c>
    </row>
    <row r="682" spans="1:3" ht="15">
      <c r="A682" s="90" t="s">
        <v>288</v>
      </c>
      <c r="B682" s="89" t="s">
        <v>943</v>
      </c>
      <c r="C682" s="98" t="s">
        <v>507</v>
      </c>
    </row>
    <row r="683" spans="1:3" ht="15">
      <c r="A683" s="90" t="s">
        <v>288</v>
      </c>
      <c r="B683" s="89" t="s">
        <v>1090</v>
      </c>
      <c r="C683" s="98" t="s">
        <v>507</v>
      </c>
    </row>
    <row r="684" spans="1:3" ht="15">
      <c r="A684" s="90" t="s">
        <v>288</v>
      </c>
      <c r="B684" s="89" t="s">
        <v>933</v>
      </c>
      <c r="C684" s="98" t="s">
        <v>507</v>
      </c>
    </row>
    <row r="685" spans="1:3" ht="15">
      <c r="A685" s="90" t="s">
        <v>288</v>
      </c>
      <c r="B685" s="89" t="s">
        <v>338</v>
      </c>
      <c r="C685" s="98" t="s">
        <v>507</v>
      </c>
    </row>
    <row r="686" spans="1:3" ht="15">
      <c r="A686" s="90" t="s">
        <v>288</v>
      </c>
      <c r="B686" s="89" t="s">
        <v>1091</v>
      </c>
      <c r="C686" s="98" t="s">
        <v>507</v>
      </c>
    </row>
    <row r="687" spans="1:3" ht="15">
      <c r="A687" s="90" t="s">
        <v>288</v>
      </c>
      <c r="B687" s="89" t="s">
        <v>299</v>
      </c>
      <c r="C687" s="98" t="s">
        <v>507</v>
      </c>
    </row>
    <row r="688" spans="1:3" ht="15">
      <c r="A688" s="90" t="s">
        <v>287</v>
      </c>
      <c r="B688" s="89" t="s">
        <v>1080</v>
      </c>
      <c r="C688" s="98" t="s">
        <v>506</v>
      </c>
    </row>
    <row r="689" spans="1:3" ht="15">
      <c r="A689" s="90" t="s">
        <v>287</v>
      </c>
      <c r="B689" s="89" t="s">
        <v>1081</v>
      </c>
      <c r="C689" s="98" t="s">
        <v>506</v>
      </c>
    </row>
    <row r="690" spans="1:3" ht="15">
      <c r="A690" s="90" t="s">
        <v>287</v>
      </c>
      <c r="B690" s="89" t="s">
        <v>1082</v>
      </c>
      <c r="C690" s="98" t="s">
        <v>506</v>
      </c>
    </row>
    <row r="691" spans="1:3" ht="15">
      <c r="A691" s="90" t="s">
        <v>287</v>
      </c>
      <c r="B691" s="89" t="s">
        <v>930</v>
      </c>
      <c r="C691" s="98" t="s">
        <v>506</v>
      </c>
    </row>
    <row r="692" spans="1:3" ht="15">
      <c r="A692" s="90" t="s">
        <v>287</v>
      </c>
      <c r="B692" s="89" t="s">
        <v>940</v>
      </c>
      <c r="C692" s="98" t="s">
        <v>506</v>
      </c>
    </row>
    <row r="693" spans="1:3" ht="15">
      <c r="A693" s="90" t="s">
        <v>287</v>
      </c>
      <c r="B693" s="89" t="s">
        <v>941</v>
      </c>
      <c r="C693" s="98" t="s">
        <v>506</v>
      </c>
    </row>
    <row r="694" spans="1:3" ht="15">
      <c r="A694" s="90" t="s">
        <v>287</v>
      </c>
      <c r="B694" s="89" t="s">
        <v>1083</v>
      </c>
      <c r="C694" s="98" t="s">
        <v>506</v>
      </c>
    </row>
    <row r="695" spans="1:3" ht="15">
      <c r="A695" s="90" t="s">
        <v>287</v>
      </c>
      <c r="B695" s="89" t="s">
        <v>931</v>
      </c>
      <c r="C695" s="98" t="s">
        <v>506</v>
      </c>
    </row>
    <row r="696" spans="1:3" ht="15">
      <c r="A696" s="90" t="s">
        <v>287</v>
      </c>
      <c r="B696" s="89" t="s">
        <v>1084</v>
      </c>
      <c r="C696" s="98" t="s">
        <v>506</v>
      </c>
    </row>
    <row r="697" spans="1:3" ht="15">
      <c r="A697" s="90" t="s">
        <v>287</v>
      </c>
      <c r="B697" s="89" t="s">
        <v>1085</v>
      </c>
      <c r="C697" s="98" t="s">
        <v>506</v>
      </c>
    </row>
    <row r="698" spans="1:3" ht="15">
      <c r="A698" s="90" t="s">
        <v>287</v>
      </c>
      <c r="B698" s="89" t="s">
        <v>1086</v>
      </c>
      <c r="C698" s="98" t="s">
        <v>506</v>
      </c>
    </row>
    <row r="699" spans="1:3" ht="15">
      <c r="A699" s="90" t="s">
        <v>287</v>
      </c>
      <c r="B699" s="89" t="s">
        <v>942</v>
      </c>
      <c r="C699" s="98" t="s">
        <v>506</v>
      </c>
    </row>
    <row r="700" spans="1:3" ht="15">
      <c r="A700" s="90" t="s">
        <v>287</v>
      </c>
      <c r="B700" s="89" t="s">
        <v>938</v>
      </c>
      <c r="C700" s="98" t="s">
        <v>506</v>
      </c>
    </row>
    <row r="701" spans="1:3" ht="15">
      <c r="A701" s="90" t="s">
        <v>287</v>
      </c>
      <c r="B701" s="89" t="s">
        <v>935</v>
      </c>
      <c r="C701" s="98" t="s">
        <v>506</v>
      </c>
    </row>
    <row r="702" spans="1:3" ht="15">
      <c r="A702" s="90" t="s">
        <v>287</v>
      </c>
      <c r="B702" s="89" t="s">
        <v>934</v>
      </c>
      <c r="C702" s="98" t="s">
        <v>506</v>
      </c>
    </row>
    <row r="703" spans="1:3" ht="15">
      <c r="A703" s="90" t="s">
        <v>287</v>
      </c>
      <c r="B703" s="89" t="s">
        <v>1087</v>
      </c>
      <c r="C703" s="98" t="s">
        <v>506</v>
      </c>
    </row>
    <row r="704" spans="1:3" ht="15">
      <c r="A704" s="90" t="s">
        <v>287</v>
      </c>
      <c r="B704" s="89" t="s">
        <v>1088</v>
      </c>
      <c r="C704" s="98" t="s">
        <v>506</v>
      </c>
    </row>
    <row r="705" spans="1:3" ht="15">
      <c r="A705" s="90" t="s">
        <v>287</v>
      </c>
      <c r="B705" s="89" t="s">
        <v>936</v>
      </c>
      <c r="C705" s="98" t="s">
        <v>506</v>
      </c>
    </row>
    <row r="706" spans="1:3" ht="15">
      <c r="A706" s="90" t="s">
        <v>287</v>
      </c>
      <c r="B706" s="89" t="s">
        <v>1089</v>
      </c>
      <c r="C706" s="98" t="s">
        <v>506</v>
      </c>
    </row>
    <row r="707" spans="1:3" ht="15">
      <c r="A707" s="90" t="s">
        <v>287</v>
      </c>
      <c r="B707" s="89" t="s">
        <v>943</v>
      </c>
      <c r="C707" s="98" t="s">
        <v>506</v>
      </c>
    </row>
    <row r="708" spans="1:3" ht="15">
      <c r="A708" s="90" t="s">
        <v>287</v>
      </c>
      <c r="B708" s="89" t="s">
        <v>1090</v>
      </c>
      <c r="C708" s="98" t="s">
        <v>506</v>
      </c>
    </row>
    <row r="709" spans="1:3" ht="15">
      <c r="A709" s="90" t="s">
        <v>287</v>
      </c>
      <c r="B709" s="89" t="s">
        <v>933</v>
      </c>
      <c r="C709" s="98" t="s">
        <v>506</v>
      </c>
    </row>
    <row r="710" spans="1:3" ht="15">
      <c r="A710" s="90" t="s">
        <v>287</v>
      </c>
      <c r="B710" s="89" t="s">
        <v>338</v>
      </c>
      <c r="C710" s="98" t="s">
        <v>506</v>
      </c>
    </row>
    <row r="711" spans="1:3" ht="15">
      <c r="A711" s="90" t="s">
        <v>287</v>
      </c>
      <c r="B711" s="89" t="s">
        <v>1091</v>
      </c>
      <c r="C711" s="98" t="s">
        <v>506</v>
      </c>
    </row>
    <row r="712" spans="1:3" ht="15">
      <c r="A712" s="90" t="s">
        <v>287</v>
      </c>
      <c r="B712" s="89" t="s">
        <v>299</v>
      </c>
      <c r="C712" s="98" t="s">
        <v>506</v>
      </c>
    </row>
    <row r="713" spans="1:3" ht="15">
      <c r="A713" s="90" t="s">
        <v>293</v>
      </c>
      <c r="B713" s="89" t="s">
        <v>2446</v>
      </c>
      <c r="C713" s="98" t="s">
        <v>2232</v>
      </c>
    </row>
    <row r="714" spans="1:3" ht="15">
      <c r="A714" s="90" t="s">
        <v>293</v>
      </c>
      <c r="B714" s="89" t="s">
        <v>2420</v>
      </c>
      <c r="C714" s="98" t="s">
        <v>2232</v>
      </c>
    </row>
    <row r="715" spans="1:3" ht="15">
      <c r="A715" s="90" t="s">
        <v>293</v>
      </c>
      <c r="B715" s="89" t="s">
        <v>1094</v>
      </c>
      <c r="C715" s="98" t="s">
        <v>2232</v>
      </c>
    </row>
    <row r="716" spans="1:3" ht="15">
      <c r="A716" s="90" t="s">
        <v>293</v>
      </c>
      <c r="B716" s="89" t="s">
        <v>2421</v>
      </c>
      <c r="C716" s="98" t="s">
        <v>2232</v>
      </c>
    </row>
    <row r="717" spans="1:3" ht="15">
      <c r="A717" s="90" t="s">
        <v>293</v>
      </c>
      <c r="B717" s="89" t="s">
        <v>1544</v>
      </c>
      <c r="C717" s="98" t="s">
        <v>2232</v>
      </c>
    </row>
    <row r="718" spans="1:3" ht="15">
      <c r="A718" s="90" t="s">
        <v>293</v>
      </c>
      <c r="B718" s="89" t="s">
        <v>2391</v>
      </c>
      <c r="C718" s="98" t="s">
        <v>2232</v>
      </c>
    </row>
    <row r="719" spans="1:3" ht="15">
      <c r="A719" s="90" t="s">
        <v>293</v>
      </c>
      <c r="B719" s="89" t="s">
        <v>1880</v>
      </c>
      <c r="C719" s="98" t="s">
        <v>2232</v>
      </c>
    </row>
    <row r="720" spans="1:3" ht="15">
      <c r="A720" s="90" t="s">
        <v>293</v>
      </c>
      <c r="B720" s="89" t="s">
        <v>2422</v>
      </c>
      <c r="C720" s="98" t="s">
        <v>2232</v>
      </c>
    </row>
    <row r="721" spans="1:3" ht="15">
      <c r="A721" s="90" t="s">
        <v>293</v>
      </c>
      <c r="B721" s="89" t="s">
        <v>2447</v>
      </c>
      <c r="C721" s="98" t="s">
        <v>2232</v>
      </c>
    </row>
    <row r="722" spans="1:3" ht="15">
      <c r="A722" s="90" t="s">
        <v>293</v>
      </c>
      <c r="B722" s="89" t="s">
        <v>2423</v>
      </c>
      <c r="C722" s="98" t="s">
        <v>2232</v>
      </c>
    </row>
    <row r="723" spans="1:3" ht="15">
      <c r="A723" s="90" t="s">
        <v>293</v>
      </c>
      <c r="B723" s="89" t="s">
        <v>1824</v>
      </c>
      <c r="C723" s="98" t="s">
        <v>2232</v>
      </c>
    </row>
    <row r="724" spans="1:3" ht="15">
      <c r="A724" s="90" t="s">
        <v>293</v>
      </c>
      <c r="B724" s="89" t="s">
        <v>2465</v>
      </c>
      <c r="C724" s="98" t="s">
        <v>2232</v>
      </c>
    </row>
    <row r="725" spans="1:3" ht="15">
      <c r="A725" s="90" t="s">
        <v>293</v>
      </c>
      <c r="B725" s="89" t="s">
        <v>985</v>
      </c>
      <c r="C725" s="98" t="s">
        <v>2232</v>
      </c>
    </row>
    <row r="726" spans="1:3" ht="15">
      <c r="A726" s="90" t="s">
        <v>293</v>
      </c>
      <c r="B726" s="89" t="s">
        <v>2424</v>
      </c>
      <c r="C726" s="98" t="s">
        <v>2232</v>
      </c>
    </row>
    <row r="727" spans="1:3" ht="15">
      <c r="A727" s="90" t="s">
        <v>293</v>
      </c>
      <c r="B727" s="89" t="s">
        <v>1087</v>
      </c>
      <c r="C727" s="98" t="s">
        <v>2232</v>
      </c>
    </row>
    <row r="728" spans="1:3" ht="15">
      <c r="A728" s="90" t="s">
        <v>293</v>
      </c>
      <c r="B728" s="89" t="s">
        <v>2425</v>
      </c>
      <c r="C728" s="98" t="s">
        <v>2232</v>
      </c>
    </row>
    <row r="729" spans="1:3" ht="15">
      <c r="A729" s="90" t="s">
        <v>293</v>
      </c>
      <c r="B729" s="89" t="s">
        <v>2466</v>
      </c>
      <c r="C729" s="98" t="s">
        <v>2232</v>
      </c>
    </row>
    <row r="730" spans="1:3" ht="15">
      <c r="A730" s="90" t="s">
        <v>293</v>
      </c>
      <c r="B730" s="89" t="s">
        <v>1623</v>
      </c>
      <c r="C730" s="98" t="s">
        <v>2232</v>
      </c>
    </row>
    <row r="731" spans="1:3" ht="15">
      <c r="A731" s="90" t="s">
        <v>293</v>
      </c>
      <c r="B731" s="89" t="s">
        <v>1090</v>
      </c>
      <c r="C731" s="98" t="s">
        <v>2232</v>
      </c>
    </row>
    <row r="732" spans="1:3" ht="15">
      <c r="A732" s="90" t="s">
        <v>293</v>
      </c>
      <c r="B732" s="89" t="s">
        <v>930</v>
      </c>
      <c r="C732" s="98" t="s">
        <v>2232</v>
      </c>
    </row>
    <row r="733" spans="1:3" ht="15">
      <c r="A733" s="90" t="s">
        <v>293</v>
      </c>
      <c r="B733" s="89" t="s">
        <v>933</v>
      </c>
      <c r="C733" s="98" t="s">
        <v>2232</v>
      </c>
    </row>
    <row r="734" spans="1:3" ht="15">
      <c r="A734" s="90" t="s">
        <v>293</v>
      </c>
      <c r="B734" s="89" t="s">
        <v>2405</v>
      </c>
      <c r="C734" s="98" t="s">
        <v>2232</v>
      </c>
    </row>
    <row r="735" spans="1:3" ht="15">
      <c r="A735" s="90" t="s">
        <v>293</v>
      </c>
      <c r="B735" s="89" t="s">
        <v>1104</v>
      </c>
      <c r="C735" s="98" t="s">
        <v>2232</v>
      </c>
    </row>
    <row r="736" spans="1:3" ht="15">
      <c r="A736" s="90" t="s">
        <v>293</v>
      </c>
      <c r="B736" s="89" t="s">
        <v>2426</v>
      </c>
      <c r="C736" s="98" t="s">
        <v>2232</v>
      </c>
    </row>
    <row r="737" spans="1:3" ht="15">
      <c r="A737" s="90" t="s">
        <v>293</v>
      </c>
      <c r="B737" s="89" t="s">
        <v>2427</v>
      </c>
      <c r="C737" s="98" t="s">
        <v>2232</v>
      </c>
    </row>
    <row r="738" spans="1:3" ht="15">
      <c r="A738" s="90" t="s">
        <v>293</v>
      </c>
      <c r="B738" s="89" t="s">
        <v>2428</v>
      </c>
      <c r="C738" s="98" t="s">
        <v>2232</v>
      </c>
    </row>
    <row r="739" spans="1:3" ht="15">
      <c r="A739" s="90" t="s">
        <v>293</v>
      </c>
      <c r="B739" s="89" t="s">
        <v>1097</v>
      </c>
      <c r="C739" s="98" t="s">
        <v>2232</v>
      </c>
    </row>
    <row r="740" spans="1:3" ht="15">
      <c r="A740" s="90" t="s">
        <v>293</v>
      </c>
      <c r="B740" s="89" t="s">
        <v>1127</v>
      </c>
      <c r="C740" s="98" t="s">
        <v>2232</v>
      </c>
    </row>
    <row r="741" spans="1:3" ht="15">
      <c r="A741" s="90" t="s">
        <v>289</v>
      </c>
      <c r="B741" s="89" t="s">
        <v>2446</v>
      </c>
      <c r="C741" s="98" t="s">
        <v>534</v>
      </c>
    </row>
    <row r="742" spans="1:3" ht="15">
      <c r="A742" s="90" t="s">
        <v>289</v>
      </c>
      <c r="B742" s="89" t="s">
        <v>2420</v>
      </c>
      <c r="C742" s="98" t="s">
        <v>534</v>
      </c>
    </row>
    <row r="743" spans="1:3" ht="15">
      <c r="A743" s="90" t="s">
        <v>289</v>
      </c>
      <c r="B743" s="89" t="s">
        <v>1094</v>
      </c>
      <c r="C743" s="98" t="s">
        <v>534</v>
      </c>
    </row>
    <row r="744" spans="1:3" ht="15">
      <c r="A744" s="90" t="s">
        <v>289</v>
      </c>
      <c r="B744" s="89" t="s">
        <v>2421</v>
      </c>
      <c r="C744" s="98" t="s">
        <v>534</v>
      </c>
    </row>
    <row r="745" spans="1:3" ht="15">
      <c r="A745" s="90" t="s">
        <v>289</v>
      </c>
      <c r="B745" s="89" t="s">
        <v>1544</v>
      </c>
      <c r="C745" s="98" t="s">
        <v>534</v>
      </c>
    </row>
    <row r="746" spans="1:3" ht="15">
      <c r="A746" s="90" t="s">
        <v>289</v>
      </c>
      <c r="B746" s="89" t="s">
        <v>2391</v>
      </c>
      <c r="C746" s="98" t="s">
        <v>534</v>
      </c>
    </row>
    <row r="747" spans="1:3" ht="15">
      <c r="A747" s="90" t="s">
        <v>289</v>
      </c>
      <c r="B747" s="89" t="s">
        <v>1880</v>
      </c>
      <c r="C747" s="98" t="s">
        <v>534</v>
      </c>
    </row>
    <row r="748" spans="1:3" ht="15">
      <c r="A748" s="90" t="s">
        <v>289</v>
      </c>
      <c r="B748" s="89" t="s">
        <v>2422</v>
      </c>
      <c r="C748" s="98" t="s">
        <v>534</v>
      </c>
    </row>
    <row r="749" spans="1:3" ht="15">
      <c r="A749" s="90" t="s">
        <v>289</v>
      </c>
      <c r="B749" s="89" t="s">
        <v>2447</v>
      </c>
      <c r="C749" s="98" t="s">
        <v>534</v>
      </c>
    </row>
    <row r="750" spans="1:3" ht="15">
      <c r="A750" s="90" t="s">
        <v>289</v>
      </c>
      <c r="B750" s="89" t="s">
        <v>2423</v>
      </c>
      <c r="C750" s="98" t="s">
        <v>534</v>
      </c>
    </row>
    <row r="751" spans="1:3" ht="15">
      <c r="A751" s="90" t="s">
        <v>289</v>
      </c>
      <c r="B751" s="89" t="s">
        <v>1824</v>
      </c>
      <c r="C751" s="98" t="s">
        <v>534</v>
      </c>
    </row>
    <row r="752" spans="1:3" ht="15">
      <c r="A752" s="90" t="s">
        <v>289</v>
      </c>
      <c r="B752" s="89" t="s">
        <v>2465</v>
      </c>
      <c r="C752" s="98" t="s">
        <v>534</v>
      </c>
    </row>
    <row r="753" spans="1:3" ht="15">
      <c r="A753" s="90" t="s">
        <v>289</v>
      </c>
      <c r="B753" s="89" t="s">
        <v>985</v>
      </c>
      <c r="C753" s="98" t="s">
        <v>534</v>
      </c>
    </row>
    <row r="754" spans="1:3" ht="15">
      <c r="A754" s="90" t="s">
        <v>289</v>
      </c>
      <c r="B754" s="89" t="s">
        <v>2424</v>
      </c>
      <c r="C754" s="98" t="s">
        <v>534</v>
      </c>
    </row>
    <row r="755" spans="1:3" ht="15">
      <c r="A755" s="90" t="s">
        <v>289</v>
      </c>
      <c r="B755" s="89" t="s">
        <v>1087</v>
      </c>
      <c r="C755" s="98" t="s">
        <v>534</v>
      </c>
    </row>
    <row r="756" spans="1:3" ht="15">
      <c r="A756" s="90" t="s">
        <v>289</v>
      </c>
      <c r="B756" s="89" t="s">
        <v>2425</v>
      </c>
      <c r="C756" s="98" t="s">
        <v>534</v>
      </c>
    </row>
    <row r="757" spans="1:3" ht="15">
      <c r="A757" s="90" t="s">
        <v>289</v>
      </c>
      <c r="B757" s="89" t="s">
        <v>2466</v>
      </c>
      <c r="C757" s="98" t="s">
        <v>534</v>
      </c>
    </row>
    <row r="758" spans="1:3" ht="15">
      <c r="A758" s="90" t="s">
        <v>289</v>
      </c>
      <c r="B758" s="89" t="s">
        <v>1623</v>
      </c>
      <c r="C758" s="98" t="s">
        <v>534</v>
      </c>
    </row>
    <row r="759" spans="1:3" ht="15">
      <c r="A759" s="90" t="s">
        <v>289</v>
      </c>
      <c r="B759" s="89" t="s">
        <v>1090</v>
      </c>
      <c r="C759" s="98" t="s">
        <v>534</v>
      </c>
    </row>
    <row r="760" spans="1:3" ht="15">
      <c r="A760" s="90" t="s">
        <v>289</v>
      </c>
      <c r="B760" s="89" t="s">
        <v>930</v>
      </c>
      <c r="C760" s="98" t="s">
        <v>534</v>
      </c>
    </row>
    <row r="761" spans="1:3" ht="15">
      <c r="A761" s="90" t="s">
        <v>289</v>
      </c>
      <c r="B761" s="89" t="s">
        <v>933</v>
      </c>
      <c r="C761" s="98" t="s">
        <v>534</v>
      </c>
    </row>
    <row r="762" spans="1:3" ht="15">
      <c r="A762" s="90" t="s">
        <v>289</v>
      </c>
      <c r="B762" s="89" t="s">
        <v>2405</v>
      </c>
      <c r="C762" s="98" t="s">
        <v>534</v>
      </c>
    </row>
    <row r="763" spans="1:3" ht="15">
      <c r="A763" s="90" t="s">
        <v>289</v>
      </c>
      <c r="B763" s="89" t="s">
        <v>1104</v>
      </c>
      <c r="C763" s="98" t="s">
        <v>534</v>
      </c>
    </row>
    <row r="764" spans="1:3" ht="15">
      <c r="A764" s="90" t="s">
        <v>289</v>
      </c>
      <c r="B764" s="89" t="s">
        <v>2426</v>
      </c>
      <c r="C764" s="98" t="s">
        <v>534</v>
      </c>
    </row>
    <row r="765" spans="1:3" ht="15">
      <c r="A765" s="90" t="s">
        <v>289</v>
      </c>
      <c r="B765" s="89" t="s">
        <v>2427</v>
      </c>
      <c r="C765" s="98" t="s">
        <v>534</v>
      </c>
    </row>
    <row r="766" spans="1:3" ht="15">
      <c r="A766" s="90" t="s">
        <v>289</v>
      </c>
      <c r="B766" s="89" t="s">
        <v>2428</v>
      </c>
      <c r="C766" s="98" t="s">
        <v>534</v>
      </c>
    </row>
    <row r="767" spans="1:3" ht="15">
      <c r="A767" s="90" t="s">
        <v>289</v>
      </c>
      <c r="B767" s="89" t="s">
        <v>1097</v>
      </c>
      <c r="C767" s="98" t="s">
        <v>534</v>
      </c>
    </row>
    <row r="768" spans="1:3" ht="15">
      <c r="A768" s="90" t="s">
        <v>289</v>
      </c>
      <c r="B768" s="89" t="s">
        <v>1127</v>
      </c>
      <c r="C768" s="98" t="s">
        <v>534</v>
      </c>
    </row>
    <row r="769" spans="1:3" ht="15">
      <c r="A769" s="90" t="s">
        <v>2127</v>
      </c>
      <c r="B769" s="89" t="s">
        <v>2446</v>
      </c>
      <c r="C769" s="98" t="s">
        <v>2219</v>
      </c>
    </row>
    <row r="770" spans="1:3" ht="15">
      <c r="A770" s="90" t="s">
        <v>2127</v>
      </c>
      <c r="B770" s="89" t="s">
        <v>2420</v>
      </c>
      <c r="C770" s="98" t="s">
        <v>2219</v>
      </c>
    </row>
    <row r="771" spans="1:3" ht="15">
      <c r="A771" s="90" t="s">
        <v>2127</v>
      </c>
      <c r="B771" s="89" t="s">
        <v>1094</v>
      </c>
      <c r="C771" s="98" t="s">
        <v>2219</v>
      </c>
    </row>
    <row r="772" spans="1:3" ht="15">
      <c r="A772" s="90" t="s">
        <v>2127</v>
      </c>
      <c r="B772" s="89" t="s">
        <v>2421</v>
      </c>
      <c r="C772" s="98" t="s">
        <v>2219</v>
      </c>
    </row>
    <row r="773" spans="1:3" ht="15">
      <c r="A773" s="90" t="s">
        <v>2127</v>
      </c>
      <c r="B773" s="89" t="s">
        <v>1544</v>
      </c>
      <c r="C773" s="98" t="s">
        <v>2219</v>
      </c>
    </row>
    <row r="774" spans="1:3" ht="15">
      <c r="A774" s="90" t="s">
        <v>2127</v>
      </c>
      <c r="B774" s="89" t="s">
        <v>2391</v>
      </c>
      <c r="C774" s="98" t="s">
        <v>2219</v>
      </c>
    </row>
    <row r="775" spans="1:3" ht="15">
      <c r="A775" s="90" t="s">
        <v>2127</v>
      </c>
      <c r="B775" s="89" t="s">
        <v>1880</v>
      </c>
      <c r="C775" s="98" t="s">
        <v>2219</v>
      </c>
    </row>
    <row r="776" spans="1:3" ht="15">
      <c r="A776" s="90" t="s">
        <v>2127</v>
      </c>
      <c r="B776" s="89" t="s">
        <v>2422</v>
      </c>
      <c r="C776" s="98" t="s">
        <v>2219</v>
      </c>
    </row>
    <row r="777" spans="1:3" ht="15">
      <c r="A777" s="90" t="s">
        <v>2127</v>
      </c>
      <c r="B777" s="89" t="s">
        <v>2447</v>
      </c>
      <c r="C777" s="98" t="s">
        <v>2219</v>
      </c>
    </row>
    <row r="778" spans="1:3" ht="15">
      <c r="A778" s="90" t="s">
        <v>2127</v>
      </c>
      <c r="B778" s="89" t="s">
        <v>2423</v>
      </c>
      <c r="C778" s="98" t="s">
        <v>2219</v>
      </c>
    </row>
    <row r="779" spans="1:3" ht="15">
      <c r="A779" s="90" t="s">
        <v>2127</v>
      </c>
      <c r="B779" s="89" t="s">
        <v>1824</v>
      </c>
      <c r="C779" s="98" t="s">
        <v>2219</v>
      </c>
    </row>
    <row r="780" spans="1:3" ht="15">
      <c r="A780" s="90" t="s">
        <v>2127</v>
      </c>
      <c r="B780" s="89" t="s">
        <v>2465</v>
      </c>
      <c r="C780" s="98" t="s">
        <v>2219</v>
      </c>
    </row>
    <row r="781" spans="1:3" ht="15">
      <c r="A781" s="90" t="s">
        <v>2127</v>
      </c>
      <c r="B781" s="89" t="s">
        <v>985</v>
      </c>
      <c r="C781" s="98" t="s">
        <v>2219</v>
      </c>
    </row>
    <row r="782" spans="1:3" ht="15">
      <c r="A782" s="90" t="s">
        <v>2127</v>
      </c>
      <c r="B782" s="89" t="s">
        <v>2424</v>
      </c>
      <c r="C782" s="98" t="s">
        <v>2219</v>
      </c>
    </row>
    <row r="783" spans="1:3" ht="15">
      <c r="A783" s="90" t="s">
        <v>2127</v>
      </c>
      <c r="B783" s="89" t="s">
        <v>1087</v>
      </c>
      <c r="C783" s="98" t="s">
        <v>2219</v>
      </c>
    </row>
    <row r="784" spans="1:3" ht="15">
      <c r="A784" s="90" t="s">
        <v>2127</v>
      </c>
      <c r="B784" s="89" t="s">
        <v>2425</v>
      </c>
      <c r="C784" s="98" t="s">
        <v>2219</v>
      </c>
    </row>
    <row r="785" spans="1:3" ht="15">
      <c r="A785" s="90" t="s">
        <v>2127</v>
      </c>
      <c r="B785" s="89" t="s">
        <v>2466</v>
      </c>
      <c r="C785" s="98" t="s">
        <v>2219</v>
      </c>
    </row>
    <row r="786" spans="1:3" ht="15">
      <c r="A786" s="90" t="s">
        <v>2127</v>
      </c>
      <c r="B786" s="89" t="s">
        <v>1623</v>
      </c>
      <c r="C786" s="98" t="s">
        <v>2219</v>
      </c>
    </row>
    <row r="787" spans="1:3" ht="15">
      <c r="A787" s="90" t="s">
        <v>2127</v>
      </c>
      <c r="B787" s="89" t="s">
        <v>1090</v>
      </c>
      <c r="C787" s="98" t="s">
        <v>2219</v>
      </c>
    </row>
    <row r="788" spans="1:3" ht="15">
      <c r="A788" s="90" t="s">
        <v>2127</v>
      </c>
      <c r="B788" s="89" t="s">
        <v>930</v>
      </c>
      <c r="C788" s="98" t="s">
        <v>2219</v>
      </c>
    </row>
    <row r="789" spans="1:3" ht="15">
      <c r="A789" s="90" t="s">
        <v>2127</v>
      </c>
      <c r="B789" s="89" t="s">
        <v>933</v>
      </c>
      <c r="C789" s="98" t="s">
        <v>2219</v>
      </c>
    </row>
    <row r="790" spans="1:3" ht="15">
      <c r="A790" s="90" t="s">
        <v>2127</v>
      </c>
      <c r="B790" s="89" t="s">
        <v>2405</v>
      </c>
      <c r="C790" s="98" t="s">
        <v>2219</v>
      </c>
    </row>
    <row r="791" spans="1:3" ht="15">
      <c r="A791" s="90" t="s">
        <v>2127</v>
      </c>
      <c r="B791" s="89" t="s">
        <v>1104</v>
      </c>
      <c r="C791" s="98" t="s">
        <v>2219</v>
      </c>
    </row>
    <row r="792" spans="1:3" ht="15">
      <c r="A792" s="90" t="s">
        <v>2127</v>
      </c>
      <c r="B792" s="89" t="s">
        <v>2426</v>
      </c>
      <c r="C792" s="98" t="s">
        <v>2219</v>
      </c>
    </row>
    <row r="793" spans="1:3" ht="15">
      <c r="A793" s="90" t="s">
        <v>2127</v>
      </c>
      <c r="B793" s="89" t="s">
        <v>2427</v>
      </c>
      <c r="C793" s="98" t="s">
        <v>2219</v>
      </c>
    </row>
    <row r="794" spans="1:3" ht="15">
      <c r="A794" s="90" t="s">
        <v>2127</v>
      </c>
      <c r="B794" s="89" t="s">
        <v>2428</v>
      </c>
      <c r="C794" s="98" t="s">
        <v>2219</v>
      </c>
    </row>
    <row r="795" spans="1:3" ht="15">
      <c r="A795" s="90" t="s">
        <v>2127</v>
      </c>
      <c r="B795" s="89" t="s">
        <v>1097</v>
      </c>
      <c r="C795" s="98" t="s">
        <v>2219</v>
      </c>
    </row>
    <row r="796" spans="1:3" ht="15">
      <c r="A796" s="90" t="s">
        <v>2127</v>
      </c>
      <c r="B796" s="89" t="s">
        <v>1127</v>
      </c>
      <c r="C796" s="98" t="s">
        <v>2219</v>
      </c>
    </row>
    <row r="797" spans="1:3" ht="15">
      <c r="A797" s="90" t="s">
        <v>297</v>
      </c>
      <c r="B797" s="89" t="s">
        <v>1098</v>
      </c>
      <c r="C797" s="98" t="s">
        <v>522</v>
      </c>
    </row>
    <row r="798" spans="1:3" ht="15">
      <c r="A798" s="90" t="s">
        <v>297</v>
      </c>
      <c r="B798" s="89" t="s">
        <v>1097</v>
      </c>
      <c r="C798" s="98" t="s">
        <v>522</v>
      </c>
    </row>
    <row r="799" spans="1:3" ht="15">
      <c r="A799" s="90" t="s">
        <v>297</v>
      </c>
      <c r="B799" s="89" t="s">
        <v>967</v>
      </c>
      <c r="C799" s="98" t="s">
        <v>522</v>
      </c>
    </row>
    <row r="800" spans="1:3" ht="15">
      <c r="A800" s="90" t="s">
        <v>297</v>
      </c>
      <c r="B800" s="89" t="s">
        <v>1090</v>
      </c>
      <c r="C800" s="98" t="s">
        <v>522</v>
      </c>
    </row>
    <row r="801" spans="1:3" ht="15">
      <c r="A801" s="90" t="s">
        <v>297</v>
      </c>
      <c r="B801" s="89" t="s">
        <v>930</v>
      </c>
      <c r="C801" s="98" t="s">
        <v>522</v>
      </c>
    </row>
    <row r="802" spans="1:3" ht="15">
      <c r="A802" s="90" t="s">
        <v>297</v>
      </c>
      <c r="B802" s="89" t="s">
        <v>933</v>
      </c>
      <c r="C802" s="98" t="s">
        <v>522</v>
      </c>
    </row>
    <row r="803" spans="1:3" ht="15">
      <c r="A803" s="90" t="s">
        <v>297</v>
      </c>
      <c r="B803" s="89" t="s">
        <v>935</v>
      </c>
      <c r="C803" s="98" t="s">
        <v>522</v>
      </c>
    </row>
    <row r="804" spans="1:3" ht="15">
      <c r="A804" s="90" t="s">
        <v>297</v>
      </c>
      <c r="B804" s="89" t="s">
        <v>1099</v>
      </c>
      <c r="C804" s="98" t="s">
        <v>522</v>
      </c>
    </row>
    <row r="805" spans="1:3" ht="15">
      <c r="A805" s="90" t="s">
        <v>297</v>
      </c>
      <c r="B805" s="89" t="s">
        <v>968</v>
      </c>
      <c r="C805" s="98" t="s">
        <v>522</v>
      </c>
    </row>
    <row r="806" spans="1:3" ht="15">
      <c r="A806" s="90" t="s">
        <v>297</v>
      </c>
      <c r="B806" s="89" t="s">
        <v>1100</v>
      </c>
      <c r="C806" s="98" t="s">
        <v>522</v>
      </c>
    </row>
    <row r="807" spans="1:3" ht="15">
      <c r="A807" s="90" t="s">
        <v>297</v>
      </c>
      <c r="B807" s="89" t="s">
        <v>969</v>
      </c>
      <c r="C807" s="98" t="s">
        <v>522</v>
      </c>
    </row>
    <row r="808" spans="1:3" ht="15">
      <c r="A808" s="90" t="s">
        <v>297</v>
      </c>
      <c r="B808" s="89" t="s">
        <v>1101</v>
      </c>
      <c r="C808" s="98" t="s">
        <v>522</v>
      </c>
    </row>
    <row r="809" spans="1:3" ht="15">
      <c r="A809" s="90" t="s">
        <v>297</v>
      </c>
      <c r="B809" s="89" t="s">
        <v>970</v>
      </c>
      <c r="C809" s="98" t="s">
        <v>522</v>
      </c>
    </row>
    <row r="810" spans="1:3" ht="15">
      <c r="A810" s="90" t="s">
        <v>297</v>
      </c>
      <c r="B810" s="89" t="s">
        <v>1102</v>
      </c>
      <c r="C810" s="98" t="s">
        <v>522</v>
      </c>
    </row>
    <row r="811" spans="1:3" ht="15">
      <c r="A811" s="90" t="s">
        <v>297</v>
      </c>
      <c r="B811" s="89" t="s">
        <v>1103</v>
      </c>
      <c r="C811" s="98" t="s">
        <v>522</v>
      </c>
    </row>
    <row r="812" spans="1:3" ht="15">
      <c r="A812" s="90" t="s">
        <v>297</v>
      </c>
      <c r="B812" s="89" t="s">
        <v>972</v>
      </c>
      <c r="C812" s="98" t="s">
        <v>522</v>
      </c>
    </row>
    <row r="813" spans="1:3" ht="15">
      <c r="A813" s="90" t="s">
        <v>297</v>
      </c>
      <c r="B813" s="89" t="s">
        <v>1104</v>
      </c>
      <c r="C813" s="98" t="s">
        <v>522</v>
      </c>
    </row>
    <row r="814" spans="1:3" ht="15">
      <c r="A814" s="90" t="s">
        <v>297</v>
      </c>
      <c r="B814" s="89" t="s">
        <v>973</v>
      </c>
      <c r="C814" s="98" t="s">
        <v>522</v>
      </c>
    </row>
    <row r="815" spans="1:3" ht="15">
      <c r="A815" s="90" t="s">
        <v>297</v>
      </c>
      <c r="B815" s="89" t="s">
        <v>974</v>
      </c>
      <c r="C815" s="98" t="s">
        <v>522</v>
      </c>
    </row>
    <row r="816" spans="1:3" ht="15">
      <c r="A816" s="90" t="s">
        <v>297</v>
      </c>
      <c r="B816" s="89" t="s">
        <v>975</v>
      </c>
      <c r="C816" s="98" t="s">
        <v>522</v>
      </c>
    </row>
    <row r="817" spans="1:3" ht="15">
      <c r="A817" s="90" t="s">
        <v>297</v>
      </c>
      <c r="B817" s="89" t="s">
        <v>1105</v>
      </c>
      <c r="C817" s="98" t="s">
        <v>522</v>
      </c>
    </row>
    <row r="818" spans="1:3" ht="15">
      <c r="A818" s="90" t="s">
        <v>297</v>
      </c>
      <c r="B818" s="89" t="s">
        <v>977</v>
      </c>
      <c r="C818" s="98" t="s">
        <v>522</v>
      </c>
    </row>
    <row r="819" spans="1:3" ht="15">
      <c r="A819" s="90" t="s">
        <v>297</v>
      </c>
      <c r="B819" s="89" t="s">
        <v>297</v>
      </c>
      <c r="C819" s="98" t="s">
        <v>522</v>
      </c>
    </row>
    <row r="820" spans="1:3" ht="15">
      <c r="A820" s="90" t="s">
        <v>297</v>
      </c>
      <c r="B820" s="89" t="s">
        <v>338</v>
      </c>
      <c r="C820" s="98" t="s">
        <v>522</v>
      </c>
    </row>
    <row r="821" spans="1:3" ht="15">
      <c r="A821" s="90" t="s">
        <v>297</v>
      </c>
      <c r="B821" s="89" t="s">
        <v>971</v>
      </c>
      <c r="C821" s="98" t="s">
        <v>522</v>
      </c>
    </row>
    <row r="822" spans="1:3" ht="15">
      <c r="A822" s="90" t="s">
        <v>296</v>
      </c>
      <c r="B822" s="89" t="s">
        <v>1098</v>
      </c>
      <c r="C822" s="98" t="s">
        <v>521</v>
      </c>
    </row>
    <row r="823" spans="1:3" ht="15">
      <c r="A823" s="90" t="s">
        <v>296</v>
      </c>
      <c r="B823" s="89" t="s">
        <v>1097</v>
      </c>
      <c r="C823" s="98" t="s">
        <v>521</v>
      </c>
    </row>
    <row r="824" spans="1:3" ht="15">
      <c r="A824" s="90" t="s">
        <v>296</v>
      </c>
      <c r="B824" s="89" t="s">
        <v>967</v>
      </c>
      <c r="C824" s="98" t="s">
        <v>521</v>
      </c>
    </row>
    <row r="825" spans="1:3" ht="15">
      <c r="A825" s="90" t="s">
        <v>296</v>
      </c>
      <c r="B825" s="89" t="s">
        <v>1090</v>
      </c>
      <c r="C825" s="98" t="s">
        <v>521</v>
      </c>
    </row>
    <row r="826" spans="1:3" ht="15">
      <c r="A826" s="90" t="s">
        <v>296</v>
      </c>
      <c r="B826" s="89" t="s">
        <v>930</v>
      </c>
      <c r="C826" s="98" t="s">
        <v>521</v>
      </c>
    </row>
    <row r="827" spans="1:3" ht="15">
      <c r="A827" s="90" t="s">
        <v>296</v>
      </c>
      <c r="B827" s="89" t="s">
        <v>933</v>
      </c>
      <c r="C827" s="98" t="s">
        <v>521</v>
      </c>
    </row>
    <row r="828" spans="1:3" ht="15">
      <c r="A828" s="90" t="s">
        <v>296</v>
      </c>
      <c r="B828" s="89" t="s">
        <v>935</v>
      </c>
      <c r="C828" s="98" t="s">
        <v>521</v>
      </c>
    </row>
    <row r="829" spans="1:3" ht="15">
      <c r="A829" s="90" t="s">
        <v>296</v>
      </c>
      <c r="B829" s="89" t="s">
        <v>1099</v>
      </c>
      <c r="C829" s="98" t="s">
        <v>521</v>
      </c>
    </row>
    <row r="830" spans="1:3" ht="15">
      <c r="A830" s="90" t="s">
        <v>296</v>
      </c>
      <c r="B830" s="89" t="s">
        <v>968</v>
      </c>
      <c r="C830" s="98" t="s">
        <v>521</v>
      </c>
    </row>
    <row r="831" spans="1:3" ht="15">
      <c r="A831" s="90" t="s">
        <v>296</v>
      </c>
      <c r="B831" s="89" t="s">
        <v>1100</v>
      </c>
      <c r="C831" s="98" t="s">
        <v>521</v>
      </c>
    </row>
    <row r="832" spans="1:3" ht="15">
      <c r="A832" s="90" t="s">
        <v>296</v>
      </c>
      <c r="B832" s="89" t="s">
        <v>969</v>
      </c>
      <c r="C832" s="98" t="s">
        <v>521</v>
      </c>
    </row>
    <row r="833" spans="1:3" ht="15">
      <c r="A833" s="90" t="s">
        <v>296</v>
      </c>
      <c r="B833" s="89" t="s">
        <v>1101</v>
      </c>
      <c r="C833" s="98" t="s">
        <v>521</v>
      </c>
    </row>
    <row r="834" spans="1:3" ht="15">
      <c r="A834" s="90" t="s">
        <v>296</v>
      </c>
      <c r="B834" s="89" t="s">
        <v>970</v>
      </c>
      <c r="C834" s="98" t="s">
        <v>521</v>
      </c>
    </row>
    <row r="835" spans="1:3" ht="15">
      <c r="A835" s="90" t="s">
        <v>296</v>
      </c>
      <c r="B835" s="89" t="s">
        <v>1102</v>
      </c>
      <c r="C835" s="98" t="s">
        <v>521</v>
      </c>
    </row>
    <row r="836" spans="1:3" ht="15">
      <c r="A836" s="90" t="s">
        <v>296</v>
      </c>
      <c r="B836" s="89" t="s">
        <v>1103</v>
      </c>
      <c r="C836" s="98" t="s">
        <v>521</v>
      </c>
    </row>
    <row r="837" spans="1:3" ht="15">
      <c r="A837" s="90" t="s">
        <v>296</v>
      </c>
      <c r="B837" s="89" t="s">
        <v>972</v>
      </c>
      <c r="C837" s="98" t="s">
        <v>521</v>
      </c>
    </row>
    <row r="838" spans="1:3" ht="15">
      <c r="A838" s="90" t="s">
        <v>296</v>
      </c>
      <c r="B838" s="89" t="s">
        <v>1104</v>
      </c>
      <c r="C838" s="98" t="s">
        <v>521</v>
      </c>
    </row>
    <row r="839" spans="1:3" ht="15">
      <c r="A839" s="90" t="s">
        <v>296</v>
      </c>
      <c r="B839" s="89" t="s">
        <v>973</v>
      </c>
      <c r="C839" s="98" t="s">
        <v>521</v>
      </c>
    </row>
    <row r="840" spans="1:3" ht="15">
      <c r="A840" s="90" t="s">
        <v>296</v>
      </c>
      <c r="B840" s="89" t="s">
        <v>974</v>
      </c>
      <c r="C840" s="98" t="s">
        <v>521</v>
      </c>
    </row>
    <row r="841" spans="1:3" ht="15">
      <c r="A841" s="90" t="s">
        <v>296</v>
      </c>
      <c r="B841" s="89" t="s">
        <v>975</v>
      </c>
      <c r="C841" s="98" t="s">
        <v>521</v>
      </c>
    </row>
    <row r="842" spans="1:3" ht="15">
      <c r="A842" s="90" t="s">
        <v>296</v>
      </c>
      <c r="B842" s="89" t="s">
        <v>1105</v>
      </c>
      <c r="C842" s="98" t="s">
        <v>521</v>
      </c>
    </row>
    <row r="843" spans="1:3" ht="15">
      <c r="A843" s="90" t="s">
        <v>296</v>
      </c>
      <c r="B843" s="89" t="s">
        <v>977</v>
      </c>
      <c r="C843" s="98" t="s">
        <v>521</v>
      </c>
    </row>
    <row r="844" spans="1:3" ht="15">
      <c r="A844" s="90" t="s">
        <v>296</v>
      </c>
      <c r="B844" s="89" t="s">
        <v>297</v>
      </c>
      <c r="C844" s="98" t="s">
        <v>521</v>
      </c>
    </row>
    <row r="845" spans="1:3" ht="15">
      <c r="A845" s="90" t="s">
        <v>296</v>
      </c>
      <c r="B845" s="89" t="s">
        <v>338</v>
      </c>
      <c r="C845" s="98" t="s">
        <v>521</v>
      </c>
    </row>
    <row r="846" spans="1:3" ht="15">
      <c r="A846" s="90" t="s">
        <v>296</v>
      </c>
      <c r="B846" s="89" t="s">
        <v>971</v>
      </c>
      <c r="C846" s="98" t="s">
        <v>521</v>
      </c>
    </row>
    <row r="847" spans="1:3" ht="15">
      <c r="A847" s="90" t="s">
        <v>296</v>
      </c>
      <c r="B847" s="89" t="s">
        <v>1090</v>
      </c>
      <c r="C847" s="98" t="s">
        <v>523</v>
      </c>
    </row>
    <row r="848" spans="1:3" ht="15">
      <c r="A848" s="90" t="s">
        <v>296</v>
      </c>
      <c r="B848" s="89" t="s">
        <v>959</v>
      </c>
      <c r="C848" s="98" t="s">
        <v>523</v>
      </c>
    </row>
    <row r="849" spans="1:3" ht="15">
      <c r="A849" s="90" t="s">
        <v>296</v>
      </c>
      <c r="B849" s="89" t="s">
        <v>960</v>
      </c>
      <c r="C849" s="98" t="s">
        <v>523</v>
      </c>
    </row>
    <row r="850" spans="1:3" ht="15">
      <c r="A850" s="90" t="s">
        <v>296</v>
      </c>
      <c r="B850" s="89" t="s">
        <v>961</v>
      </c>
      <c r="C850" s="98" t="s">
        <v>523</v>
      </c>
    </row>
    <row r="851" spans="1:3" ht="15">
      <c r="A851" s="90" t="s">
        <v>296</v>
      </c>
      <c r="B851" s="89" t="s">
        <v>1123</v>
      </c>
      <c r="C851" s="98" t="s">
        <v>523</v>
      </c>
    </row>
    <row r="852" spans="1:3" ht="15">
      <c r="A852" s="90" t="s">
        <v>296</v>
      </c>
      <c r="B852" s="89" t="s">
        <v>962</v>
      </c>
      <c r="C852" s="98" t="s">
        <v>523</v>
      </c>
    </row>
    <row r="853" spans="1:3" ht="15">
      <c r="A853" s="90" t="s">
        <v>296</v>
      </c>
      <c r="B853" s="89" t="s">
        <v>963</v>
      </c>
      <c r="C853" s="98" t="s">
        <v>523</v>
      </c>
    </row>
    <row r="854" spans="1:3" ht="15">
      <c r="A854" s="90" t="s">
        <v>296</v>
      </c>
      <c r="B854" s="89" t="s">
        <v>964</v>
      </c>
      <c r="C854" s="98" t="s">
        <v>523</v>
      </c>
    </row>
    <row r="855" spans="1:3" ht="15">
      <c r="A855" s="90" t="s">
        <v>296</v>
      </c>
      <c r="B855" s="89" t="s">
        <v>1087</v>
      </c>
      <c r="C855" s="98" t="s">
        <v>523</v>
      </c>
    </row>
    <row r="856" spans="1:3" ht="15">
      <c r="A856" s="90" t="s">
        <v>296</v>
      </c>
      <c r="B856" s="89" t="s">
        <v>1124</v>
      </c>
      <c r="C856" s="98" t="s">
        <v>523</v>
      </c>
    </row>
    <row r="857" spans="1:3" ht="15">
      <c r="A857" s="90" t="s">
        <v>296</v>
      </c>
      <c r="B857" s="89" t="s">
        <v>930</v>
      </c>
      <c r="C857" s="98" t="s">
        <v>523</v>
      </c>
    </row>
    <row r="858" spans="1:3" ht="15">
      <c r="A858" s="90" t="s">
        <v>296</v>
      </c>
      <c r="B858" s="89" t="s">
        <v>1024</v>
      </c>
      <c r="C858" s="98" t="s">
        <v>523</v>
      </c>
    </row>
    <row r="859" spans="1:3" ht="15">
      <c r="A859" s="90" t="s">
        <v>296</v>
      </c>
      <c r="B859" s="89" t="s">
        <v>1025</v>
      </c>
      <c r="C859" s="98" t="s">
        <v>523</v>
      </c>
    </row>
    <row r="860" spans="1:3" ht="15">
      <c r="A860" s="90" t="s">
        <v>296</v>
      </c>
      <c r="B860" s="89" t="s">
        <v>1026</v>
      </c>
      <c r="C860" s="98" t="s">
        <v>523</v>
      </c>
    </row>
    <row r="861" spans="1:3" ht="15">
      <c r="A861" s="90" t="s">
        <v>296</v>
      </c>
      <c r="B861" s="89" t="s">
        <v>1098</v>
      </c>
      <c r="C861" s="98" t="s">
        <v>523</v>
      </c>
    </row>
    <row r="862" spans="1:3" ht="15">
      <c r="A862" s="90" t="s">
        <v>296</v>
      </c>
      <c r="B862" s="89" t="s">
        <v>1027</v>
      </c>
      <c r="C862" s="98" t="s">
        <v>523</v>
      </c>
    </row>
    <row r="863" spans="1:3" ht="15">
      <c r="A863" s="90" t="s">
        <v>296</v>
      </c>
      <c r="B863" s="89" t="s">
        <v>1125</v>
      </c>
      <c r="C863" s="98" t="s">
        <v>523</v>
      </c>
    </row>
    <row r="864" spans="1:3" ht="15">
      <c r="A864" s="90" t="s">
        <v>296</v>
      </c>
      <c r="B864" s="89" t="s">
        <v>949</v>
      </c>
      <c r="C864" s="98" t="s">
        <v>523</v>
      </c>
    </row>
    <row r="865" spans="1:3" ht="15">
      <c r="A865" s="90" t="s">
        <v>296</v>
      </c>
      <c r="B865" s="89" t="s">
        <v>1029</v>
      </c>
      <c r="C865" s="98" t="s">
        <v>523</v>
      </c>
    </row>
    <row r="866" spans="1:3" ht="15">
      <c r="A866" s="90" t="s">
        <v>296</v>
      </c>
      <c r="B866" s="89" t="s">
        <v>1126</v>
      </c>
      <c r="C866" s="98" t="s">
        <v>523</v>
      </c>
    </row>
    <row r="867" spans="1:3" ht="15">
      <c r="A867" s="90" t="s">
        <v>296</v>
      </c>
      <c r="B867" s="89" t="s">
        <v>1030</v>
      </c>
      <c r="C867" s="98" t="s">
        <v>523</v>
      </c>
    </row>
    <row r="868" spans="1:3" ht="15">
      <c r="A868" s="90" t="s">
        <v>296</v>
      </c>
      <c r="B868" s="89" t="s">
        <v>1031</v>
      </c>
      <c r="C868" s="98" t="s">
        <v>523</v>
      </c>
    </row>
    <row r="869" spans="1:3" ht="15">
      <c r="A869" s="90" t="s">
        <v>296</v>
      </c>
      <c r="B869" s="89" t="s">
        <v>338</v>
      </c>
      <c r="C869" s="98" t="s">
        <v>523</v>
      </c>
    </row>
    <row r="870" spans="1:3" ht="15">
      <c r="A870" s="90" t="s">
        <v>296</v>
      </c>
      <c r="B870" s="89" t="s">
        <v>1127</v>
      </c>
      <c r="C870" s="98" t="s">
        <v>523</v>
      </c>
    </row>
    <row r="871" spans="1:3" ht="15">
      <c r="A871" s="90" t="s">
        <v>295</v>
      </c>
      <c r="B871" s="89" t="s">
        <v>1090</v>
      </c>
      <c r="C871" s="98" t="s">
        <v>520</v>
      </c>
    </row>
    <row r="872" spans="1:3" ht="15">
      <c r="A872" s="90" t="s">
        <v>295</v>
      </c>
      <c r="B872" s="89" t="s">
        <v>959</v>
      </c>
      <c r="C872" s="98" t="s">
        <v>520</v>
      </c>
    </row>
    <row r="873" spans="1:3" ht="15">
      <c r="A873" s="90" t="s">
        <v>295</v>
      </c>
      <c r="B873" s="89" t="s">
        <v>960</v>
      </c>
      <c r="C873" s="98" t="s">
        <v>520</v>
      </c>
    </row>
    <row r="874" spans="1:3" ht="15">
      <c r="A874" s="90" t="s">
        <v>295</v>
      </c>
      <c r="B874" s="89" t="s">
        <v>961</v>
      </c>
      <c r="C874" s="98" t="s">
        <v>520</v>
      </c>
    </row>
    <row r="875" spans="1:3" ht="15">
      <c r="A875" s="90" t="s">
        <v>295</v>
      </c>
      <c r="B875" s="89" t="s">
        <v>1123</v>
      </c>
      <c r="C875" s="98" t="s">
        <v>520</v>
      </c>
    </row>
    <row r="876" spans="1:3" ht="15">
      <c r="A876" s="90" t="s">
        <v>295</v>
      </c>
      <c r="B876" s="89" t="s">
        <v>962</v>
      </c>
      <c r="C876" s="98" t="s">
        <v>520</v>
      </c>
    </row>
    <row r="877" spans="1:3" ht="15">
      <c r="A877" s="90" t="s">
        <v>295</v>
      </c>
      <c r="B877" s="89" t="s">
        <v>963</v>
      </c>
      <c r="C877" s="98" t="s">
        <v>520</v>
      </c>
    </row>
    <row r="878" spans="1:3" ht="15">
      <c r="A878" s="90" t="s">
        <v>295</v>
      </c>
      <c r="B878" s="89" t="s">
        <v>964</v>
      </c>
      <c r="C878" s="98" t="s">
        <v>520</v>
      </c>
    </row>
    <row r="879" spans="1:3" ht="15">
      <c r="A879" s="90" t="s">
        <v>295</v>
      </c>
      <c r="B879" s="89" t="s">
        <v>1087</v>
      </c>
      <c r="C879" s="98" t="s">
        <v>520</v>
      </c>
    </row>
    <row r="880" spans="1:3" ht="15">
      <c r="A880" s="90" t="s">
        <v>295</v>
      </c>
      <c r="B880" s="89" t="s">
        <v>1124</v>
      </c>
      <c r="C880" s="98" t="s">
        <v>520</v>
      </c>
    </row>
    <row r="881" spans="1:3" ht="15">
      <c r="A881" s="90" t="s">
        <v>295</v>
      </c>
      <c r="B881" s="89" t="s">
        <v>930</v>
      </c>
      <c r="C881" s="98" t="s">
        <v>520</v>
      </c>
    </row>
    <row r="882" spans="1:3" ht="15">
      <c r="A882" s="90" t="s">
        <v>295</v>
      </c>
      <c r="B882" s="89" t="s">
        <v>1024</v>
      </c>
      <c r="C882" s="98" t="s">
        <v>520</v>
      </c>
    </row>
    <row r="883" spans="1:3" ht="15">
      <c r="A883" s="90" t="s">
        <v>295</v>
      </c>
      <c r="B883" s="89" t="s">
        <v>1025</v>
      </c>
      <c r="C883" s="98" t="s">
        <v>520</v>
      </c>
    </row>
    <row r="884" spans="1:3" ht="15">
      <c r="A884" s="90" t="s">
        <v>295</v>
      </c>
      <c r="B884" s="89" t="s">
        <v>1026</v>
      </c>
      <c r="C884" s="98" t="s">
        <v>520</v>
      </c>
    </row>
    <row r="885" spans="1:3" ht="15">
      <c r="A885" s="90" t="s">
        <v>295</v>
      </c>
      <c r="B885" s="89" t="s">
        <v>1098</v>
      </c>
      <c r="C885" s="98" t="s">
        <v>520</v>
      </c>
    </row>
    <row r="886" spans="1:3" ht="15">
      <c r="A886" s="90" t="s">
        <v>295</v>
      </c>
      <c r="B886" s="89" t="s">
        <v>1027</v>
      </c>
      <c r="C886" s="98" t="s">
        <v>520</v>
      </c>
    </row>
    <row r="887" spans="1:3" ht="15">
      <c r="A887" s="90" t="s">
        <v>295</v>
      </c>
      <c r="B887" s="89" t="s">
        <v>1125</v>
      </c>
      <c r="C887" s="98" t="s">
        <v>520</v>
      </c>
    </row>
    <row r="888" spans="1:3" ht="15">
      <c r="A888" s="90" t="s">
        <v>295</v>
      </c>
      <c r="B888" s="89" t="s">
        <v>949</v>
      </c>
      <c r="C888" s="98" t="s">
        <v>520</v>
      </c>
    </row>
    <row r="889" spans="1:3" ht="15">
      <c r="A889" s="90" t="s">
        <v>295</v>
      </c>
      <c r="B889" s="89" t="s">
        <v>1029</v>
      </c>
      <c r="C889" s="98" t="s">
        <v>520</v>
      </c>
    </row>
    <row r="890" spans="1:3" ht="15">
      <c r="A890" s="90" t="s">
        <v>295</v>
      </c>
      <c r="B890" s="89" t="s">
        <v>1126</v>
      </c>
      <c r="C890" s="98" t="s">
        <v>520</v>
      </c>
    </row>
    <row r="891" spans="1:3" ht="15">
      <c r="A891" s="90" t="s">
        <v>295</v>
      </c>
      <c r="B891" s="89" t="s">
        <v>1030</v>
      </c>
      <c r="C891" s="98" t="s">
        <v>520</v>
      </c>
    </row>
    <row r="892" spans="1:3" ht="15">
      <c r="A892" s="90" t="s">
        <v>295</v>
      </c>
      <c r="B892" s="89" t="s">
        <v>1031</v>
      </c>
      <c r="C892" s="98" t="s">
        <v>520</v>
      </c>
    </row>
    <row r="893" spans="1:3" ht="15">
      <c r="A893" s="90" t="s">
        <v>295</v>
      </c>
      <c r="B893" s="89" t="s">
        <v>338</v>
      </c>
      <c r="C893" s="98" t="s">
        <v>520</v>
      </c>
    </row>
    <row r="894" spans="1:3" ht="15">
      <c r="A894" s="90" t="s">
        <v>295</v>
      </c>
      <c r="B894" s="89" t="s">
        <v>1127</v>
      </c>
      <c r="C894" s="98" t="s">
        <v>520</v>
      </c>
    </row>
    <row r="895" spans="1:3" ht="15">
      <c r="A895" s="90" t="s">
        <v>286</v>
      </c>
      <c r="B895" s="89" t="s">
        <v>1098</v>
      </c>
      <c r="C895" s="98" t="s">
        <v>505</v>
      </c>
    </row>
    <row r="896" spans="1:3" ht="15">
      <c r="A896" s="90" t="s">
        <v>286</v>
      </c>
      <c r="B896" s="89" t="s">
        <v>1097</v>
      </c>
      <c r="C896" s="98" t="s">
        <v>505</v>
      </c>
    </row>
    <row r="897" spans="1:3" ht="15">
      <c r="A897" s="90" t="s">
        <v>286</v>
      </c>
      <c r="B897" s="89" t="s">
        <v>967</v>
      </c>
      <c r="C897" s="98" t="s">
        <v>505</v>
      </c>
    </row>
    <row r="898" spans="1:3" ht="15">
      <c r="A898" s="90" t="s">
        <v>286</v>
      </c>
      <c r="B898" s="89" t="s">
        <v>1090</v>
      </c>
      <c r="C898" s="98" t="s">
        <v>505</v>
      </c>
    </row>
    <row r="899" spans="1:3" ht="15">
      <c r="A899" s="90" t="s">
        <v>286</v>
      </c>
      <c r="B899" s="89" t="s">
        <v>930</v>
      </c>
      <c r="C899" s="98" t="s">
        <v>505</v>
      </c>
    </row>
    <row r="900" spans="1:3" ht="15">
      <c r="A900" s="90" t="s">
        <v>286</v>
      </c>
      <c r="B900" s="89" t="s">
        <v>933</v>
      </c>
      <c r="C900" s="98" t="s">
        <v>505</v>
      </c>
    </row>
    <row r="901" spans="1:3" ht="15">
      <c r="A901" s="90" t="s">
        <v>286</v>
      </c>
      <c r="B901" s="89" t="s">
        <v>935</v>
      </c>
      <c r="C901" s="98" t="s">
        <v>505</v>
      </c>
    </row>
    <row r="902" spans="1:3" ht="15">
      <c r="A902" s="90" t="s">
        <v>286</v>
      </c>
      <c r="B902" s="89" t="s">
        <v>1099</v>
      </c>
      <c r="C902" s="98" t="s">
        <v>505</v>
      </c>
    </row>
    <row r="903" spans="1:3" ht="15">
      <c r="A903" s="90" t="s">
        <v>286</v>
      </c>
      <c r="B903" s="89" t="s">
        <v>968</v>
      </c>
      <c r="C903" s="98" t="s">
        <v>505</v>
      </c>
    </row>
    <row r="904" spans="1:3" ht="15">
      <c r="A904" s="90" t="s">
        <v>286</v>
      </c>
      <c r="B904" s="89" t="s">
        <v>1100</v>
      </c>
      <c r="C904" s="98" t="s">
        <v>505</v>
      </c>
    </row>
    <row r="905" spans="1:3" ht="15">
      <c r="A905" s="90" t="s">
        <v>286</v>
      </c>
      <c r="B905" s="89" t="s">
        <v>969</v>
      </c>
      <c r="C905" s="98" t="s">
        <v>505</v>
      </c>
    </row>
    <row r="906" spans="1:3" ht="15">
      <c r="A906" s="90" t="s">
        <v>286</v>
      </c>
      <c r="B906" s="89" t="s">
        <v>1101</v>
      </c>
      <c r="C906" s="98" t="s">
        <v>505</v>
      </c>
    </row>
    <row r="907" spans="1:3" ht="15">
      <c r="A907" s="90" t="s">
        <v>286</v>
      </c>
      <c r="B907" s="89" t="s">
        <v>970</v>
      </c>
      <c r="C907" s="98" t="s">
        <v>505</v>
      </c>
    </row>
    <row r="908" spans="1:3" ht="15">
      <c r="A908" s="90" t="s">
        <v>286</v>
      </c>
      <c r="B908" s="89" t="s">
        <v>1102</v>
      </c>
      <c r="C908" s="98" t="s">
        <v>505</v>
      </c>
    </row>
    <row r="909" spans="1:3" ht="15">
      <c r="A909" s="90" t="s">
        <v>286</v>
      </c>
      <c r="B909" s="89" t="s">
        <v>1103</v>
      </c>
      <c r="C909" s="98" t="s">
        <v>505</v>
      </c>
    </row>
    <row r="910" spans="1:3" ht="15">
      <c r="A910" s="90" t="s">
        <v>286</v>
      </c>
      <c r="B910" s="89" t="s">
        <v>972</v>
      </c>
      <c r="C910" s="98" t="s">
        <v>505</v>
      </c>
    </row>
    <row r="911" spans="1:3" ht="15">
      <c r="A911" s="90" t="s">
        <v>286</v>
      </c>
      <c r="B911" s="89" t="s">
        <v>1104</v>
      </c>
      <c r="C911" s="98" t="s">
        <v>505</v>
      </c>
    </row>
    <row r="912" spans="1:3" ht="15">
      <c r="A912" s="90" t="s">
        <v>286</v>
      </c>
      <c r="B912" s="89" t="s">
        <v>973</v>
      </c>
      <c r="C912" s="98" t="s">
        <v>505</v>
      </c>
    </row>
    <row r="913" spans="1:3" ht="15">
      <c r="A913" s="90" t="s">
        <v>286</v>
      </c>
      <c r="B913" s="89" t="s">
        <v>974</v>
      </c>
      <c r="C913" s="98" t="s">
        <v>505</v>
      </c>
    </row>
    <row r="914" spans="1:3" ht="15">
      <c r="A914" s="90" t="s">
        <v>286</v>
      </c>
      <c r="B914" s="89" t="s">
        <v>975</v>
      </c>
      <c r="C914" s="98" t="s">
        <v>505</v>
      </c>
    </row>
    <row r="915" spans="1:3" ht="15">
      <c r="A915" s="90" t="s">
        <v>286</v>
      </c>
      <c r="B915" s="89" t="s">
        <v>1105</v>
      </c>
      <c r="C915" s="98" t="s">
        <v>505</v>
      </c>
    </row>
    <row r="916" spans="1:3" ht="15">
      <c r="A916" s="90" t="s">
        <v>286</v>
      </c>
      <c r="B916" s="89" t="s">
        <v>977</v>
      </c>
      <c r="C916" s="98" t="s">
        <v>505</v>
      </c>
    </row>
    <row r="917" spans="1:3" ht="15">
      <c r="A917" s="90" t="s">
        <v>286</v>
      </c>
      <c r="B917" s="89" t="s">
        <v>297</v>
      </c>
      <c r="C917" s="98" t="s">
        <v>505</v>
      </c>
    </row>
    <row r="918" spans="1:3" ht="15">
      <c r="A918" s="90" t="s">
        <v>286</v>
      </c>
      <c r="B918" s="89" t="s">
        <v>338</v>
      </c>
      <c r="C918" s="98" t="s">
        <v>505</v>
      </c>
    </row>
    <row r="919" spans="1:3" ht="15">
      <c r="A919" s="90" t="s">
        <v>286</v>
      </c>
      <c r="B919" s="89" t="s">
        <v>971</v>
      </c>
      <c r="C919" s="98" t="s">
        <v>505</v>
      </c>
    </row>
    <row r="920" spans="1:3" ht="15">
      <c r="A920" s="90" t="s">
        <v>286</v>
      </c>
      <c r="B920" s="89" t="s">
        <v>2445</v>
      </c>
      <c r="C920" s="98" t="s">
        <v>2218</v>
      </c>
    </row>
    <row r="921" spans="1:3" ht="15">
      <c r="A921" s="90" t="s">
        <v>286</v>
      </c>
      <c r="B921" s="89" t="s">
        <v>2446</v>
      </c>
      <c r="C921" s="98" t="s">
        <v>2218</v>
      </c>
    </row>
    <row r="922" spans="1:3" ht="15">
      <c r="A922" s="90" t="s">
        <v>286</v>
      </c>
      <c r="B922" s="89" t="s">
        <v>2367</v>
      </c>
      <c r="C922" s="98" t="s">
        <v>2218</v>
      </c>
    </row>
    <row r="923" spans="1:3" ht="15">
      <c r="A923" s="90" t="s">
        <v>286</v>
      </c>
      <c r="B923" s="89" t="s">
        <v>1094</v>
      </c>
      <c r="C923" s="98" t="s">
        <v>2218</v>
      </c>
    </row>
    <row r="924" spans="1:3" ht="15">
      <c r="A924" s="90" t="s">
        <v>286</v>
      </c>
      <c r="B924" s="89" t="s">
        <v>1219</v>
      </c>
      <c r="C924" s="98" t="s">
        <v>2218</v>
      </c>
    </row>
    <row r="925" spans="1:3" ht="15">
      <c r="A925" s="90" t="s">
        <v>286</v>
      </c>
      <c r="B925" s="89" t="s">
        <v>2368</v>
      </c>
      <c r="C925" s="98" t="s">
        <v>2218</v>
      </c>
    </row>
    <row r="926" spans="1:3" ht="15">
      <c r="A926" s="90" t="s">
        <v>286</v>
      </c>
      <c r="B926" s="89" t="s">
        <v>2447</v>
      </c>
      <c r="C926" s="98" t="s">
        <v>2218</v>
      </c>
    </row>
    <row r="927" spans="1:3" ht="15">
      <c r="A927" s="90" t="s">
        <v>286</v>
      </c>
      <c r="B927" s="89" t="s">
        <v>2369</v>
      </c>
      <c r="C927" s="98" t="s">
        <v>2218</v>
      </c>
    </row>
    <row r="928" spans="1:3" ht="15">
      <c r="A928" s="90" t="s">
        <v>286</v>
      </c>
      <c r="B928" s="89" t="s">
        <v>2370</v>
      </c>
      <c r="C928" s="98" t="s">
        <v>2218</v>
      </c>
    </row>
    <row r="929" spans="1:3" ht="15">
      <c r="A929" s="90" t="s">
        <v>286</v>
      </c>
      <c r="B929" s="89" t="s">
        <v>1578</v>
      </c>
      <c r="C929" s="98" t="s">
        <v>2218</v>
      </c>
    </row>
    <row r="930" spans="1:3" ht="15">
      <c r="A930" s="90" t="s">
        <v>286</v>
      </c>
      <c r="B930" s="89" t="s">
        <v>2371</v>
      </c>
      <c r="C930" s="98" t="s">
        <v>2218</v>
      </c>
    </row>
    <row r="931" spans="1:3" ht="15">
      <c r="A931" s="90" t="s">
        <v>286</v>
      </c>
      <c r="B931" s="89" t="s">
        <v>1087</v>
      </c>
      <c r="C931" s="98" t="s">
        <v>2218</v>
      </c>
    </row>
    <row r="932" spans="1:3" ht="15">
      <c r="A932" s="90" t="s">
        <v>286</v>
      </c>
      <c r="B932" s="89" t="s">
        <v>2372</v>
      </c>
      <c r="C932" s="98" t="s">
        <v>2218</v>
      </c>
    </row>
    <row r="933" spans="1:3" ht="15">
      <c r="A933" s="90" t="s">
        <v>286</v>
      </c>
      <c r="B933" s="89" t="s">
        <v>1167</v>
      </c>
      <c r="C933" s="98" t="s">
        <v>2218</v>
      </c>
    </row>
    <row r="934" spans="1:3" ht="15">
      <c r="A934" s="90" t="s">
        <v>286</v>
      </c>
      <c r="B934" s="89" t="s">
        <v>1575</v>
      </c>
      <c r="C934" s="98" t="s">
        <v>2218</v>
      </c>
    </row>
    <row r="935" spans="1:3" ht="15">
      <c r="A935" s="90" t="s">
        <v>286</v>
      </c>
      <c r="B935" s="89" t="s">
        <v>2373</v>
      </c>
      <c r="C935" s="98" t="s">
        <v>2218</v>
      </c>
    </row>
    <row r="936" spans="1:3" ht="15">
      <c r="A936" s="90" t="s">
        <v>286</v>
      </c>
      <c r="B936" s="89" t="s">
        <v>2374</v>
      </c>
      <c r="C936" s="98" t="s">
        <v>2218</v>
      </c>
    </row>
    <row r="937" spans="1:3" ht="15">
      <c r="A937" s="90" t="s">
        <v>286</v>
      </c>
      <c r="B937" s="89" t="s">
        <v>2375</v>
      </c>
      <c r="C937" s="98" t="s">
        <v>2218</v>
      </c>
    </row>
    <row r="938" spans="1:3" ht="15">
      <c r="A938" s="90" t="s">
        <v>286</v>
      </c>
      <c r="B938" s="89" t="s">
        <v>2376</v>
      </c>
      <c r="C938" s="98" t="s">
        <v>2218</v>
      </c>
    </row>
    <row r="939" spans="1:3" ht="15">
      <c r="A939" s="90" t="s">
        <v>286</v>
      </c>
      <c r="B939" s="89" t="s">
        <v>1097</v>
      </c>
      <c r="C939" s="98" t="s">
        <v>2218</v>
      </c>
    </row>
    <row r="940" spans="1:3" ht="15">
      <c r="A940" s="90" t="s">
        <v>286</v>
      </c>
      <c r="B940" s="89" t="s">
        <v>1155</v>
      </c>
      <c r="C940" s="98" t="s">
        <v>2218</v>
      </c>
    </row>
    <row r="941" spans="1:3" ht="15">
      <c r="A941" s="90" t="s">
        <v>286</v>
      </c>
      <c r="B941" s="89" t="s">
        <v>1101</v>
      </c>
      <c r="C941" s="98" t="s">
        <v>2218</v>
      </c>
    </row>
    <row r="942" spans="1:3" ht="15">
      <c r="A942" s="90" t="s">
        <v>286</v>
      </c>
      <c r="B942" s="89" t="s">
        <v>252</v>
      </c>
      <c r="C942" s="98" t="s">
        <v>2218</v>
      </c>
    </row>
    <row r="943" spans="1:3" ht="15">
      <c r="A943" s="90" t="s">
        <v>286</v>
      </c>
      <c r="B943" s="89" t="s">
        <v>2448</v>
      </c>
      <c r="C943" s="98" t="s">
        <v>2218</v>
      </c>
    </row>
    <row r="944" spans="1:3" ht="15">
      <c r="A944" s="90" t="s">
        <v>286</v>
      </c>
      <c r="B944" s="89" t="s">
        <v>1796</v>
      </c>
      <c r="C944" s="98" t="s">
        <v>2218</v>
      </c>
    </row>
    <row r="945" spans="1:3" ht="15">
      <c r="A945" s="90" t="s">
        <v>286</v>
      </c>
      <c r="B945" s="89" t="s">
        <v>996</v>
      </c>
      <c r="C945" s="98" t="s">
        <v>2218</v>
      </c>
    </row>
    <row r="946" spans="1:3" ht="15">
      <c r="A946" s="90" t="s">
        <v>286</v>
      </c>
      <c r="B946" s="89" t="s">
        <v>997</v>
      </c>
      <c r="C946" s="98" t="s">
        <v>2218</v>
      </c>
    </row>
    <row r="947" spans="1:3" ht="15">
      <c r="A947" s="90" t="s">
        <v>286</v>
      </c>
      <c r="B947" s="89" t="s">
        <v>998</v>
      </c>
      <c r="C947" s="98" t="s">
        <v>2218</v>
      </c>
    </row>
    <row r="948" spans="1:3" ht="15">
      <c r="A948" s="90" t="s">
        <v>286</v>
      </c>
      <c r="B948" s="89" t="s">
        <v>2449</v>
      </c>
      <c r="C948" s="98" t="s">
        <v>2218</v>
      </c>
    </row>
    <row r="949" spans="1:3" ht="15">
      <c r="A949" s="90" t="s">
        <v>285</v>
      </c>
      <c r="B949" s="89" t="s">
        <v>1080</v>
      </c>
      <c r="C949" s="98" t="s">
        <v>504</v>
      </c>
    </row>
    <row r="950" spans="1:3" ht="15">
      <c r="A950" s="90" t="s">
        <v>285</v>
      </c>
      <c r="B950" s="89" t="s">
        <v>1081</v>
      </c>
      <c r="C950" s="98" t="s">
        <v>504</v>
      </c>
    </row>
    <row r="951" spans="1:3" ht="15">
      <c r="A951" s="90" t="s">
        <v>285</v>
      </c>
      <c r="B951" s="89" t="s">
        <v>1082</v>
      </c>
      <c r="C951" s="98" t="s">
        <v>504</v>
      </c>
    </row>
    <row r="952" spans="1:3" ht="15">
      <c r="A952" s="90" t="s">
        <v>285</v>
      </c>
      <c r="B952" s="89" t="s">
        <v>930</v>
      </c>
      <c r="C952" s="98" t="s">
        <v>504</v>
      </c>
    </row>
    <row r="953" spans="1:3" ht="15">
      <c r="A953" s="90" t="s">
        <v>285</v>
      </c>
      <c r="B953" s="89" t="s">
        <v>940</v>
      </c>
      <c r="C953" s="98" t="s">
        <v>504</v>
      </c>
    </row>
    <row r="954" spans="1:3" ht="15">
      <c r="A954" s="90" t="s">
        <v>285</v>
      </c>
      <c r="B954" s="89" t="s">
        <v>941</v>
      </c>
      <c r="C954" s="98" t="s">
        <v>504</v>
      </c>
    </row>
    <row r="955" spans="1:3" ht="15">
      <c r="A955" s="90" t="s">
        <v>285</v>
      </c>
      <c r="B955" s="89" t="s">
        <v>1083</v>
      </c>
      <c r="C955" s="98" t="s">
        <v>504</v>
      </c>
    </row>
    <row r="956" spans="1:3" ht="15">
      <c r="A956" s="90" t="s">
        <v>285</v>
      </c>
      <c r="B956" s="89" t="s">
        <v>931</v>
      </c>
      <c r="C956" s="98" t="s">
        <v>504</v>
      </c>
    </row>
    <row r="957" spans="1:3" ht="15">
      <c r="A957" s="90" t="s">
        <v>285</v>
      </c>
      <c r="B957" s="89" t="s">
        <v>1084</v>
      </c>
      <c r="C957" s="98" t="s">
        <v>504</v>
      </c>
    </row>
    <row r="958" spans="1:3" ht="15">
      <c r="A958" s="90" t="s">
        <v>285</v>
      </c>
      <c r="B958" s="89" t="s">
        <v>1085</v>
      </c>
      <c r="C958" s="98" t="s">
        <v>504</v>
      </c>
    </row>
    <row r="959" spans="1:3" ht="15">
      <c r="A959" s="90" t="s">
        <v>285</v>
      </c>
      <c r="B959" s="89" t="s">
        <v>1086</v>
      </c>
      <c r="C959" s="98" t="s">
        <v>504</v>
      </c>
    </row>
    <row r="960" spans="1:3" ht="15">
      <c r="A960" s="90" t="s">
        <v>285</v>
      </c>
      <c r="B960" s="89" t="s">
        <v>942</v>
      </c>
      <c r="C960" s="98" t="s">
        <v>504</v>
      </c>
    </row>
    <row r="961" spans="1:3" ht="15">
      <c r="A961" s="90" t="s">
        <v>285</v>
      </c>
      <c r="B961" s="89" t="s">
        <v>938</v>
      </c>
      <c r="C961" s="98" t="s">
        <v>504</v>
      </c>
    </row>
    <row r="962" spans="1:3" ht="15">
      <c r="A962" s="90" t="s">
        <v>285</v>
      </c>
      <c r="B962" s="89" t="s">
        <v>935</v>
      </c>
      <c r="C962" s="98" t="s">
        <v>504</v>
      </c>
    </row>
    <row r="963" spans="1:3" ht="15">
      <c r="A963" s="90" t="s">
        <v>285</v>
      </c>
      <c r="B963" s="89" t="s">
        <v>934</v>
      </c>
      <c r="C963" s="98" t="s">
        <v>504</v>
      </c>
    </row>
    <row r="964" spans="1:3" ht="15">
      <c r="A964" s="90" t="s">
        <v>285</v>
      </c>
      <c r="B964" s="89" t="s">
        <v>1087</v>
      </c>
      <c r="C964" s="98" t="s">
        <v>504</v>
      </c>
    </row>
    <row r="965" spans="1:3" ht="15">
      <c r="A965" s="90" t="s">
        <v>285</v>
      </c>
      <c r="B965" s="89" t="s">
        <v>1088</v>
      </c>
      <c r="C965" s="98" t="s">
        <v>504</v>
      </c>
    </row>
    <row r="966" spans="1:3" ht="15">
      <c r="A966" s="90" t="s">
        <v>285</v>
      </c>
      <c r="B966" s="89" t="s">
        <v>936</v>
      </c>
      <c r="C966" s="98" t="s">
        <v>504</v>
      </c>
    </row>
    <row r="967" spans="1:3" ht="15">
      <c r="A967" s="90" t="s">
        <v>285</v>
      </c>
      <c r="B967" s="89" t="s">
        <v>1089</v>
      </c>
      <c r="C967" s="98" t="s">
        <v>504</v>
      </c>
    </row>
    <row r="968" spans="1:3" ht="15">
      <c r="A968" s="90" t="s">
        <v>285</v>
      </c>
      <c r="B968" s="89" t="s">
        <v>943</v>
      </c>
      <c r="C968" s="98" t="s">
        <v>504</v>
      </c>
    </row>
    <row r="969" spans="1:3" ht="15">
      <c r="A969" s="90" t="s">
        <v>285</v>
      </c>
      <c r="B969" s="89" t="s">
        <v>1090</v>
      </c>
      <c r="C969" s="98" t="s">
        <v>504</v>
      </c>
    </row>
    <row r="970" spans="1:3" ht="15">
      <c r="A970" s="90" t="s">
        <v>285</v>
      </c>
      <c r="B970" s="89" t="s">
        <v>933</v>
      </c>
      <c r="C970" s="98" t="s">
        <v>504</v>
      </c>
    </row>
    <row r="971" spans="1:3" ht="15">
      <c r="A971" s="90" t="s">
        <v>285</v>
      </c>
      <c r="B971" s="89" t="s">
        <v>338</v>
      </c>
      <c r="C971" s="98" t="s">
        <v>504</v>
      </c>
    </row>
    <row r="972" spans="1:3" ht="15">
      <c r="A972" s="90" t="s">
        <v>285</v>
      </c>
      <c r="B972" s="89" t="s">
        <v>1091</v>
      </c>
      <c r="C972" s="98" t="s">
        <v>504</v>
      </c>
    </row>
    <row r="973" spans="1:3" ht="15">
      <c r="A973" s="90" t="s">
        <v>285</v>
      </c>
      <c r="B973" s="89" t="s">
        <v>299</v>
      </c>
      <c r="C973" s="98" t="s">
        <v>504</v>
      </c>
    </row>
    <row r="974" spans="1:3" ht="15">
      <c r="A974" s="90" t="s">
        <v>284</v>
      </c>
      <c r="B974" s="89" t="s">
        <v>1128</v>
      </c>
      <c r="C974" s="98" t="s">
        <v>503</v>
      </c>
    </row>
    <row r="975" spans="1:3" ht="15">
      <c r="A975" s="90" t="s">
        <v>284</v>
      </c>
      <c r="B975" s="89" t="s">
        <v>987</v>
      </c>
      <c r="C975" s="98" t="s">
        <v>503</v>
      </c>
    </row>
    <row r="976" spans="1:3" ht="15">
      <c r="A976" s="90" t="s">
        <v>284</v>
      </c>
      <c r="B976" s="89" t="s">
        <v>988</v>
      </c>
      <c r="C976" s="98" t="s">
        <v>503</v>
      </c>
    </row>
    <row r="977" spans="1:3" ht="15">
      <c r="A977" s="90" t="s">
        <v>284</v>
      </c>
      <c r="B977" s="89" t="s">
        <v>338</v>
      </c>
      <c r="C977" s="98" t="s">
        <v>503</v>
      </c>
    </row>
    <row r="978" spans="1:3" ht="15">
      <c r="A978" s="90" t="s">
        <v>284</v>
      </c>
      <c r="B978" s="89" t="s">
        <v>1094</v>
      </c>
      <c r="C978" s="98" t="s">
        <v>503</v>
      </c>
    </row>
    <row r="979" spans="1:3" ht="15">
      <c r="A979" s="90" t="s">
        <v>284</v>
      </c>
      <c r="B979" s="89" t="s">
        <v>1129</v>
      </c>
      <c r="C979" s="98" t="s">
        <v>503</v>
      </c>
    </row>
    <row r="980" spans="1:3" ht="15">
      <c r="A980" s="90" t="s">
        <v>284</v>
      </c>
      <c r="B980" s="89" t="s">
        <v>1130</v>
      </c>
      <c r="C980" s="98" t="s">
        <v>503</v>
      </c>
    </row>
    <row r="981" spans="1:3" ht="15">
      <c r="A981" s="90" t="s">
        <v>284</v>
      </c>
      <c r="B981" s="89" t="s">
        <v>1131</v>
      </c>
      <c r="C981" s="98" t="s">
        <v>503</v>
      </c>
    </row>
    <row r="982" spans="1:3" ht="15">
      <c r="A982" s="90" t="s">
        <v>284</v>
      </c>
      <c r="B982" s="89" t="s">
        <v>989</v>
      </c>
      <c r="C982" s="98" t="s">
        <v>503</v>
      </c>
    </row>
    <row r="983" spans="1:3" ht="15">
      <c r="A983" s="90" t="s">
        <v>284</v>
      </c>
      <c r="B983" s="89" t="s">
        <v>990</v>
      </c>
      <c r="C983" s="98" t="s">
        <v>503</v>
      </c>
    </row>
    <row r="984" spans="1:3" ht="15">
      <c r="A984" s="90" t="s">
        <v>284</v>
      </c>
      <c r="B984" s="89" t="s">
        <v>1132</v>
      </c>
      <c r="C984" s="98" t="s">
        <v>503</v>
      </c>
    </row>
    <row r="985" spans="1:3" ht="15">
      <c r="A985" s="90" t="s">
        <v>284</v>
      </c>
      <c r="B985" s="89" t="s">
        <v>1133</v>
      </c>
      <c r="C985" s="98" t="s">
        <v>503</v>
      </c>
    </row>
    <row r="986" spans="1:3" ht="15">
      <c r="A986" s="90" t="s">
        <v>284</v>
      </c>
      <c r="B986" s="89" t="s">
        <v>1134</v>
      </c>
      <c r="C986" s="98" t="s">
        <v>503</v>
      </c>
    </row>
    <row r="987" spans="1:3" ht="15">
      <c r="A987" s="90" t="s">
        <v>284</v>
      </c>
      <c r="B987" s="89" t="s">
        <v>1135</v>
      </c>
      <c r="C987" s="98" t="s">
        <v>503</v>
      </c>
    </row>
    <row r="988" spans="1:3" ht="15">
      <c r="A988" s="90" t="s">
        <v>284</v>
      </c>
      <c r="B988" s="89" t="s">
        <v>993</v>
      </c>
      <c r="C988" s="98" t="s">
        <v>503</v>
      </c>
    </row>
    <row r="989" spans="1:3" ht="15">
      <c r="A989" s="90" t="s">
        <v>284</v>
      </c>
      <c r="B989" s="89" t="s">
        <v>1136</v>
      </c>
      <c r="C989" s="98" t="s">
        <v>503</v>
      </c>
    </row>
    <row r="990" spans="1:3" ht="15">
      <c r="A990" s="90" t="s">
        <v>284</v>
      </c>
      <c r="B990" s="89" t="s">
        <v>994</v>
      </c>
      <c r="C990" s="98" t="s">
        <v>503</v>
      </c>
    </row>
    <row r="991" spans="1:3" ht="15">
      <c r="A991" s="90" t="s">
        <v>284</v>
      </c>
      <c r="B991" s="89" t="s">
        <v>995</v>
      </c>
      <c r="C991" s="98" t="s">
        <v>503</v>
      </c>
    </row>
    <row r="992" spans="1:3" ht="15">
      <c r="A992" s="90" t="s">
        <v>284</v>
      </c>
      <c r="B992" s="89" t="s">
        <v>996</v>
      </c>
      <c r="C992" s="98" t="s">
        <v>503</v>
      </c>
    </row>
    <row r="993" spans="1:3" ht="15">
      <c r="A993" s="90" t="s">
        <v>284</v>
      </c>
      <c r="B993" s="89" t="s">
        <v>997</v>
      </c>
      <c r="C993" s="98" t="s">
        <v>503</v>
      </c>
    </row>
    <row r="994" spans="1:3" ht="15">
      <c r="A994" s="90" t="s">
        <v>284</v>
      </c>
      <c r="B994" s="89" t="s">
        <v>998</v>
      </c>
      <c r="C994" s="98" t="s">
        <v>503</v>
      </c>
    </row>
    <row r="995" spans="1:3" ht="15">
      <c r="A995" s="90" t="s">
        <v>284</v>
      </c>
      <c r="B995" s="89" t="s">
        <v>1137</v>
      </c>
      <c r="C995" s="98" t="s">
        <v>503</v>
      </c>
    </row>
    <row r="996" spans="1:3" ht="15">
      <c r="A996" s="90" t="s">
        <v>284</v>
      </c>
      <c r="B996" s="89" t="s">
        <v>1121</v>
      </c>
      <c r="C996" s="98" t="s">
        <v>502</v>
      </c>
    </row>
    <row r="997" spans="1:3" ht="15">
      <c r="A997" s="90" t="s">
        <v>284</v>
      </c>
      <c r="B997" s="89" t="s">
        <v>303</v>
      </c>
      <c r="C997" s="98" t="s">
        <v>502</v>
      </c>
    </row>
    <row r="998" spans="1:3" ht="15">
      <c r="A998" s="90" t="s">
        <v>284</v>
      </c>
      <c r="B998" s="89" t="s">
        <v>951</v>
      </c>
      <c r="C998" s="98" t="s">
        <v>502</v>
      </c>
    </row>
    <row r="999" spans="1:3" ht="15">
      <c r="A999" s="90" t="s">
        <v>284</v>
      </c>
      <c r="B999" s="89">
        <v>12</v>
      </c>
      <c r="C999" s="98" t="s">
        <v>502</v>
      </c>
    </row>
    <row r="1000" spans="1:3" ht="15">
      <c r="A1000" s="90" t="s">
        <v>284</v>
      </c>
      <c r="B1000" s="89">
        <v>18</v>
      </c>
      <c r="C1000" s="98" t="s">
        <v>502</v>
      </c>
    </row>
    <row r="1001" spans="1:3" ht="15">
      <c r="A1001" s="90" t="s">
        <v>284</v>
      </c>
      <c r="B1001" s="89" t="s">
        <v>954</v>
      </c>
      <c r="C1001" s="98" t="s">
        <v>502</v>
      </c>
    </row>
    <row r="1002" spans="1:3" ht="15">
      <c r="A1002" s="90" t="s">
        <v>284</v>
      </c>
      <c r="B1002" s="89" t="s">
        <v>1122</v>
      </c>
      <c r="C1002" s="98" t="s">
        <v>502</v>
      </c>
    </row>
    <row r="1003" spans="1:3" ht="15">
      <c r="A1003" s="90" t="s">
        <v>284</v>
      </c>
      <c r="B1003" s="89" t="s">
        <v>944</v>
      </c>
      <c r="C1003" s="98" t="s">
        <v>502</v>
      </c>
    </row>
    <row r="1004" spans="1:3" ht="15">
      <c r="A1004" s="90" t="s">
        <v>284</v>
      </c>
      <c r="B1004" s="89" t="s">
        <v>955</v>
      </c>
      <c r="C1004" s="98" t="s">
        <v>502</v>
      </c>
    </row>
    <row r="1005" spans="1:3" ht="15">
      <c r="A1005" s="90" t="s">
        <v>284</v>
      </c>
      <c r="B1005" s="89" t="s">
        <v>956</v>
      </c>
      <c r="C1005" s="98" t="s">
        <v>502</v>
      </c>
    </row>
    <row r="1006" spans="1:3" ht="15">
      <c r="A1006" s="90" t="s">
        <v>284</v>
      </c>
      <c r="B1006" s="89" t="s">
        <v>957</v>
      </c>
      <c r="C1006" s="98" t="s">
        <v>502</v>
      </c>
    </row>
    <row r="1007" spans="1:3" ht="15">
      <c r="A1007" s="90" t="s">
        <v>284</v>
      </c>
      <c r="B1007" s="89" t="s">
        <v>1116</v>
      </c>
      <c r="C1007" s="98" t="s">
        <v>502</v>
      </c>
    </row>
    <row r="1008" spans="1:3" ht="15">
      <c r="A1008" s="90" t="s">
        <v>284</v>
      </c>
      <c r="B1008" s="89" t="s">
        <v>1117</v>
      </c>
      <c r="C1008" s="98" t="s">
        <v>502</v>
      </c>
    </row>
    <row r="1009" spans="1:3" ht="15">
      <c r="A1009" s="90" t="s">
        <v>284</v>
      </c>
      <c r="B1009" s="89" t="s">
        <v>948</v>
      </c>
      <c r="C1009" s="98" t="s">
        <v>502</v>
      </c>
    </row>
    <row r="1010" spans="1:3" ht="15">
      <c r="A1010" s="90" t="s">
        <v>284</v>
      </c>
      <c r="B1010" s="89" t="s">
        <v>958</v>
      </c>
      <c r="C1010" s="98" t="s">
        <v>502</v>
      </c>
    </row>
    <row r="1011" spans="1:3" ht="15">
      <c r="A1011" s="90" t="s">
        <v>284</v>
      </c>
      <c r="B1011" s="89" t="s">
        <v>338</v>
      </c>
      <c r="C1011" s="98" t="s">
        <v>502</v>
      </c>
    </row>
    <row r="1012" spans="1:3" ht="15">
      <c r="A1012" s="90" t="s">
        <v>284</v>
      </c>
      <c r="B1012" s="89" t="s">
        <v>2445</v>
      </c>
      <c r="C1012" s="98" t="s">
        <v>2217</v>
      </c>
    </row>
    <row r="1013" spans="1:3" ht="15">
      <c r="A1013" s="90" t="s">
        <v>284</v>
      </c>
      <c r="B1013" s="89" t="s">
        <v>2446</v>
      </c>
      <c r="C1013" s="98" t="s">
        <v>2217</v>
      </c>
    </row>
    <row r="1014" spans="1:3" ht="15">
      <c r="A1014" s="90" t="s">
        <v>284</v>
      </c>
      <c r="B1014" s="89" t="s">
        <v>2367</v>
      </c>
      <c r="C1014" s="98" t="s">
        <v>2217</v>
      </c>
    </row>
    <row r="1015" spans="1:3" ht="15">
      <c r="A1015" s="90" t="s">
        <v>284</v>
      </c>
      <c r="B1015" s="89" t="s">
        <v>1094</v>
      </c>
      <c r="C1015" s="98" t="s">
        <v>2217</v>
      </c>
    </row>
    <row r="1016" spans="1:3" ht="15">
      <c r="A1016" s="90" t="s">
        <v>284</v>
      </c>
      <c r="B1016" s="89" t="s">
        <v>1219</v>
      </c>
      <c r="C1016" s="98" t="s">
        <v>2217</v>
      </c>
    </row>
    <row r="1017" spans="1:3" ht="15">
      <c r="A1017" s="90" t="s">
        <v>284</v>
      </c>
      <c r="B1017" s="89" t="s">
        <v>2368</v>
      </c>
      <c r="C1017" s="98" t="s">
        <v>2217</v>
      </c>
    </row>
    <row r="1018" spans="1:3" ht="15">
      <c r="A1018" s="90" t="s">
        <v>284</v>
      </c>
      <c r="B1018" s="89" t="s">
        <v>2447</v>
      </c>
      <c r="C1018" s="98" t="s">
        <v>2217</v>
      </c>
    </row>
    <row r="1019" spans="1:3" ht="15">
      <c r="A1019" s="90" t="s">
        <v>284</v>
      </c>
      <c r="B1019" s="89" t="s">
        <v>2369</v>
      </c>
      <c r="C1019" s="98" t="s">
        <v>2217</v>
      </c>
    </row>
    <row r="1020" spans="1:3" ht="15">
      <c r="A1020" s="90" t="s">
        <v>284</v>
      </c>
      <c r="B1020" s="89" t="s">
        <v>2370</v>
      </c>
      <c r="C1020" s="98" t="s">
        <v>2217</v>
      </c>
    </row>
    <row r="1021" spans="1:3" ht="15">
      <c r="A1021" s="90" t="s">
        <v>284</v>
      </c>
      <c r="B1021" s="89" t="s">
        <v>1578</v>
      </c>
      <c r="C1021" s="98" t="s">
        <v>2217</v>
      </c>
    </row>
    <row r="1022" spans="1:3" ht="15">
      <c r="A1022" s="90" t="s">
        <v>284</v>
      </c>
      <c r="B1022" s="89" t="s">
        <v>2371</v>
      </c>
      <c r="C1022" s="98" t="s">
        <v>2217</v>
      </c>
    </row>
    <row r="1023" spans="1:3" ht="15">
      <c r="A1023" s="90" t="s">
        <v>284</v>
      </c>
      <c r="B1023" s="89" t="s">
        <v>1087</v>
      </c>
      <c r="C1023" s="98" t="s">
        <v>2217</v>
      </c>
    </row>
    <row r="1024" spans="1:3" ht="15">
      <c r="A1024" s="90" t="s">
        <v>284</v>
      </c>
      <c r="B1024" s="89" t="s">
        <v>2372</v>
      </c>
      <c r="C1024" s="98" t="s">
        <v>2217</v>
      </c>
    </row>
    <row r="1025" spans="1:3" ht="15">
      <c r="A1025" s="90" t="s">
        <v>284</v>
      </c>
      <c r="B1025" s="89" t="s">
        <v>1167</v>
      </c>
      <c r="C1025" s="98" t="s">
        <v>2217</v>
      </c>
    </row>
    <row r="1026" spans="1:3" ht="15">
      <c r="A1026" s="90" t="s">
        <v>284</v>
      </c>
      <c r="B1026" s="89" t="s">
        <v>1575</v>
      </c>
      <c r="C1026" s="98" t="s">
        <v>2217</v>
      </c>
    </row>
    <row r="1027" spans="1:3" ht="15">
      <c r="A1027" s="90" t="s">
        <v>284</v>
      </c>
      <c r="B1027" s="89" t="s">
        <v>2373</v>
      </c>
      <c r="C1027" s="98" t="s">
        <v>2217</v>
      </c>
    </row>
    <row r="1028" spans="1:3" ht="15">
      <c r="A1028" s="90" t="s">
        <v>284</v>
      </c>
      <c r="B1028" s="89" t="s">
        <v>2374</v>
      </c>
      <c r="C1028" s="98" t="s">
        <v>2217</v>
      </c>
    </row>
    <row r="1029" spans="1:3" ht="15">
      <c r="A1029" s="90" t="s">
        <v>284</v>
      </c>
      <c r="B1029" s="89" t="s">
        <v>2375</v>
      </c>
      <c r="C1029" s="98" t="s">
        <v>2217</v>
      </c>
    </row>
    <row r="1030" spans="1:3" ht="15">
      <c r="A1030" s="90" t="s">
        <v>284</v>
      </c>
      <c r="B1030" s="89" t="s">
        <v>2376</v>
      </c>
      <c r="C1030" s="98" t="s">
        <v>2217</v>
      </c>
    </row>
    <row r="1031" spans="1:3" ht="15">
      <c r="A1031" s="90" t="s">
        <v>284</v>
      </c>
      <c r="B1031" s="89" t="s">
        <v>1097</v>
      </c>
      <c r="C1031" s="98" t="s">
        <v>2217</v>
      </c>
    </row>
    <row r="1032" spans="1:3" ht="15">
      <c r="A1032" s="90" t="s">
        <v>284</v>
      </c>
      <c r="B1032" s="89" t="s">
        <v>1155</v>
      </c>
      <c r="C1032" s="98" t="s">
        <v>2217</v>
      </c>
    </row>
    <row r="1033" spans="1:3" ht="15">
      <c r="A1033" s="90" t="s">
        <v>284</v>
      </c>
      <c r="B1033" s="89" t="s">
        <v>1101</v>
      </c>
      <c r="C1033" s="98" t="s">
        <v>2217</v>
      </c>
    </row>
    <row r="1034" spans="1:3" ht="15">
      <c r="A1034" s="90" t="s">
        <v>284</v>
      </c>
      <c r="B1034" s="89" t="s">
        <v>252</v>
      </c>
      <c r="C1034" s="98" t="s">
        <v>2217</v>
      </c>
    </row>
    <row r="1035" spans="1:3" ht="15">
      <c r="A1035" s="90" t="s">
        <v>284</v>
      </c>
      <c r="B1035" s="89" t="s">
        <v>2448</v>
      </c>
      <c r="C1035" s="98" t="s">
        <v>2217</v>
      </c>
    </row>
    <row r="1036" spans="1:3" ht="15">
      <c r="A1036" s="90" t="s">
        <v>284</v>
      </c>
      <c r="B1036" s="89" t="s">
        <v>1796</v>
      </c>
      <c r="C1036" s="98" t="s">
        <v>2217</v>
      </c>
    </row>
    <row r="1037" spans="1:3" ht="15">
      <c r="A1037" s="90" t="s">
        <v>284</v>
      </c>
      <c r="B1037" s="89" t="s">
        <v>996</v>
      </c>
      <c r="C1037" s="98" t="s">
        <v>2217</v>
      </c>
    </row>
    <row r="1038" spans="1:3" ht="15">
      <c r="A1038" s="90" t="s">
        <v>284</v>
      </c>
      <c r="B1038" s="89" t="s">
        <v>997</v>
      </c>
      <c r="C1038" s="98" t="s">
        <v>2217</v>
      </c>
    </row>
    <row r="1039" spans="1:3" ht="15">
      <c r="A1039" s="90" t="s">
        <v>284</v>
      </c>
      <c r="B1039" s="89" t="s">
        <v>998</v>
      </c>
      <c r="C1039" s="98" t="s">
        <v>2217</v>
      </c>
    </row>
    <row r="1040" spans="1:3" ht="15">
      <c r="A1040" s="90" t="s">
        <v>284</v>
      </c>
      <c r="B1040" s="89" t="s">
        <v>2449</v>
      </c>
      <c r="C1040" s="98" t="s">
        <v>2217</v>
      </c>
    </row>
    <row r="1041" spans="1:3" ht="15">
      <c r="A1041" s="90" t="s">
        <v>284</v>
      </c>
      <c r="B1041" s="89" t="s">
        <v>2468</v>
      </c>
      <c r="C1041" s="98" t="s">
        <v>2216</v>
      </c>
    </row>
    <row r="1042" spans="1:3" ht="15">
      <c r="A1042" s="90" t="s">
        <v>284</v>
      </c>
      <c r="B1042" s="89" t="s">
        <v>1861</v>
      </c>
      <c r="C1042" s="98" t="s">
        <v>2216</v>
      </c>
    </row>
    <row r="1043" spans="1:3" ht="15">
      <c r="A1043" s="90" t="s">
        <v>284</v>
      </c>
      <c r="B1043" s="89" t="s">
        <v>2365</v>
      </c>
      <c r="C1043" s="98" t="s">
        <v>2216</v>
      </c>
    </row>
    <row r="1044" spans="1:3" ht="15">
      <c r="A1044" s="90" t="s">
        <v>284</v>
      </c>
      <c r="B1044" s="89" t="s">
        <v>2392</v>
      </c>
      <c r="C1044" s="98" t="s">
        <v>2216</v>
      </c>
    </row>
    <row r="1045" spans="1:3" ht="15">
      <c r="A1045" s="90" t="s">
        <v>284</v>
      </c>
      <c r="B1045" s="89" t="s">
        <v>2393</v>
      </c>
      <c r="C1045" s="98" t="s">
        <v>2216</v>
      </c>
    </row>
    <row r="1046" spans="1:3" ht="15">
      <c r="A1046" s="90" t="s">
        <v>284</v>
      </c>
      <c r="B1046" s="89" t="s">
        <v>2469</v>
      </c>
      <c r="C1046" s="98" t="s">
        <v>2216</v>
      </c>
    </row>
    <row r="1047" spans="1:3" ht="15">
      <c r="A1047" s="90" t="s">
        <v>284</v>
      </c>
      <c r="B1047" s="89" t="s">
        <v>338</v>
      </c>
      <c r="C1047" s="98" t="s">
        <v>2216</v>
      </c>
    </row>
    <row r="1048" spans="1:3" ht="15">
      <c r="A1048" s="90" t="s">
        <v>284</v>
      </c>
      <c r="B1048" s="89" t="s">
        <v>1579</v>
      </c>
      <c r="C1048" s="98" t="s">
        <v>2216</v>
      </c>
    </row>
    <row r="1049" spans="1:3" ht="15">
      <c r="A1049" s="90" t="s">
        <v>284</v>
      </c>
      <c r="B1049" s="89" t="s">
        <v>1092</v>
      </c>
      <c r="C1049" s="98" t="s">
        <v>2216</v>
      </c>
    </row>
    <row r="1050" spans="1:3" ht="15">
      <c r="A1050" s="90" t="s">
        <v>284</v>
      </c>
      <c r="B1050" s="89" t="s">
        <v>1097</v>
      </c>
      <c r="C1050" s="98" t="s">
        <v>2216</v>
      </c>
    </row>
    <row r="1051" spans="1:3" ht="15">
      <c r="A1051" s="90" t="s">
        <v>284</v>
      </c>
      <c r="B1051" s="89" t="s">
        <v>1091</v>
      </c>
      <c r="C1051" s="98" t="s">
        <v>2216</v>
      </c>
    </row>
    <row r="1052" spans="1:3" ht="15">
      <c r="A1052" s="90" t="s">
        <v>284</v>
      </c>
      <c r="B1052" s="89" t="s">
        <v>299</v>
      </c>
      <c r="C1052" s="98" t="s">
        <v>2216</v>
      </c>
    </row>
    <row r="1053" spans="1:3" ht="15">
      <c r="A1053" s="90" t="s">
        <v>284</v>
      </c>
      <c r="B1053" s="89" t="s">
        <v>1080</v>
      </c>
      <c r="C1053" s="98" t="s">
        <v>501</v>
      </c>
    </row>
    <row r="1054" spans="1:3" ht="15">
      <c r="A1054" s="90" t="s">
        <v>284</v>
      </c>
      <c r="B1054" s="89" t="s">
        <v>1081</v>
      </c>
      <c r="C1054" s="98" t="s">
        <v>501</v>
      </c>
    </row>
    <row r="1055" spans="1:3" ht="15">
      <c r="A1055" s="90" t="s">
        <v>284</v>
      </c>
      <c r="B1055" s="89" t="s">
        <v>1082</v>
      </c>
      <c r="C1055" s="98" t="s">
        <v>501</v>
      </c>
    </row>
    <row r="1056" spans="1:3" ht="15">
      <c r="A1056" s="90" t="s">
        <v>284</v>
      </c>
      <c r="B1056" s="89" t="s">
        <v>930</v>
      </c>
      <c r="C1056" s="98" t="s">
        <v>501</v>
      </c>
    </row>
    <row r="1057" spans="1:3" ht="15">
      <c r="A1057" s="90" t="s">
        <v>284</v>
      </c>
      <c r="B1057" s="89" t="s">
        <v>940</v>
      </c>
      <c r="C1057" s="98" t="s">
        <v>501</v>
      </c>
    </row>
    <row r="1058" spans="1:3" ht="15">
      <c r="A1058" s="90" t="s">
        <v>284</v>
      </c>
      <c r="B1058" s="89" t="s">
        <v>941</v>
      </c>
      <c r="C1058" s="98" t="s">
        <v>501</v>
      </c>
    </row>
    <row r="1059" spans="1:3" ht="15">
      <c r="A1059" s="90" t="s">
        <v>284</v>
      </c>
      <c r="B1059" s="89" t="s">
        <v>1083</v>
      </c>
      <c r="C1059" s="98" t="s">
        <v>501</v>
      </c>
    </row>
    <row r="1060" spans="1:3" ht="15">
      <c r="A1060" s="90" t="s">
        <v>284</v>
      </c>
      <c r="B1060" s="89" t="s">
        <v>931</v>
      </c>
      <c r="C1060" s="98" t="s">
        <v>501</v>
      </c>
    </row>
    <row r="1061" spans="1:3" ht="15">
      <c r="A1061" s="90" t="s">
        <v>284</v>
      </c>
      <c r="B1061" s="89" t="s">
        <v>1084</v>
      </c>
      <c r="C1061" s="98" t="s">
        <v>501</v>
      </c>
    </row>
    <row r="1062" spans="1:3" ht="15">
      <c r="A1062" s="90" t="s">
        <v>284</v>
      </c>
      <c r="B1062" s="89" t="s">
        <v>1085</v>
      </c>
      <c r="C1062" s="98" t="s">
        <v>501</v>
      </c>
    </row>
    <row r="1063" spans="1:3" ht="15">
      <c r="A1063" s="90" t="s">
        <v>284</v>
      </c>
      <c r="B1063" s="89" t="s">
        <v>1086</v>
      </c>
      <c r="C1063" s="98" t="s">
        <v>501</v>
      </c>
    </row>
    <row r="1064" spans="1:3" ht="15">
      <c r="A1064" s="90" t="s">
        <v>284</v>
      </c>
      <c r="B1064" s="89" t="s">
        <v>942</v>
      </c>
      <c r="C1064" s="98" t="s">
        <v>501</v>
      </c>
    </row>
    <row r="1065" spans="1:3" ht="15">
      <c r="A1065" s="90" t="s">
        <v>284</v>
      </c>
      <c r="B1065" s="89" t="s">
        <v>938</v>
      </c>
      <c r="C1065" s="98" t="s">
        <v>501</v>
      </c>
    </row>
    <row r="1066" spans="1:3" ht="15">
      <c r="A1066" s="90" t="s">
        <v>284</v>
      </c>
      <c r="B1066" s="89" t="s">
        <v>935</v>
      </c>
      <c r="C1066" s="98" t="s">
        <v>501</v>
      </c>
    </row>
    <row r="1067" spans="1:3" ht="15">
      <c r="A1067" s="90" t="s">
        <v>284</v>
      </c>
      <c r="B1067" s="89" t="s">
        <v>934</v>
      </c>
      <c r="C1067" s="98" t="s">
        <v>501</v>
      </c>
    </row>
    <row r="1068" spans="1:3" ht="15">
      <c r="A1068" s="90" t="s">
        <v>284</v>
      </c>
      <c r="B1068" s="89" t="s">
        <v>1087</v>
      </c>
      <c r="C1068" s="98" t="s">
        <v>501</v>
      </c>
    </row>
    <row r="1069" spans="1:3" ht="15">
      <c r="A1069" s="90" t="s">
        <v>284</v>
      </c>
      <c r="B1069" s="89" t="s">
        <v>1088</v>
      </c>
      <c r="C1069" s="98" t="s">
        <v>501</v>
      </c>
    </row>
    <row r="1070" spans="1:3" ht="15">
      <c r="A1070" s="90" t="s">
        <v>284</v>
      </c>
      <c r="B1070" s="89" t="s">
        <v>936</v>
      </c>
      <c r="C1070" s="98" t="s">
        <v>501</v>
      </c>
    </row>
    <row r="1071" spans="1:3" ht="15">
      <c r="A1071" s="90" t="s">
        <v>284</v>
      </c>
      <c r="B1071" s="89" t="s">
        <v>1089</v>
      </c>
      <c r="C1071" s="98" t="s">
        <v>501</v>
      </c>
    </row>
    <row r="1072" spans="1:3" ht="15">
      <c r="A1072" s="90" t="s">
        <v>284</v>
      </c>
      <c r="B1072" s="89" t="s">
        <v>943</v>
      </c>
      <c r="C1072" s="98" t="s">
        <v>501</v>
      </c>
    </row>
    <row r="1073" spans="1:3" ht="15">
      <c r="A1073" s="90" t="s">
        <v>284</v>
      </c>
      <c r="B1073" s="89" t="s">
        <v>1090</v>
      </c>
      <c r="C1073" s="98" t="s">
        <v>501</v>
      </c>
    </row>
    <row r="1074" spans="1:3" ht="15">
      <c r="A1074" s="90" t="s">
        <v>284</v>
      </c>
      <c r="B1074" s="89" t="s">
        <v>933</v>
      </c>
      <c r="C1074" s="98" t="s">
        <v>501</v>
      </c>
    </row>
    <row r="1075" spans="1:3" ht="15">
      <c r="A1075" s="90" t="s">
        <v>284</v>
      </c>
      <c r="B1075" s="89" t="s">
        <v>338</v>
      </c>
      <c r="C1075" s="98" t="s">
        <v>501</v>
      </c>
    </row>
    <row r="1076" spans="1:3" ht="15">
      <c r="A1076" s="90" t="s">
        <v>284</v>
      </c>
      <c r="B1076" s="89" t="s">
        <v>1091</v>
      </c>
      <c r="C1076" s="98" t="s">
        <v>501</v>
      </c>
    </row>
    <row r="1077" spans="1:3" ht="15">
      <c r="A1077" s="90" t="s">
        <v>284</v>
      </c>
      <c r="B1077" s="89" t="s">
        <v>299</v>
      </c>
      <c r="C1077" s="98" t="s">
        <v>501</v>
      </c>
    </row>
    <row r="1078" spans="1:3" ht="15">
      <c r="A1078" s="90" t="s">
        <v>284</v>
      </c>
      <c r="B1078" s="89" t="s">
        <v>2443</v>
      </c>
      <c r="C1078" s="98" t="s">
        <v>2215</v>
      </c>
    </row>
    <row r="1079" spans="1:3" ht="15">
      <c r="A1079" s="90" t="s">
        <v>284</v>
      </c>
      <c r="B1079" s="89" t="s">
        <v>1048</v>
      </c>
      <c r="C1079" s="98" t="s">
        <v>2215</v>
      </c>
    </row>
    <row r="1080" spans="1:3" ht="15">
      <c r="A1080" s="90" t="s">
        <v>284</v>
      </c>
      <c r="B1080" s="89" t="s">
        <v>2380</v>
      </c>
      <c r="C1080" s="98" t="s">
        <v>2215</v>
      </c>
    </row>
    <row r="1081" spans="1:3" ht="15">
      <c r="A1081" s="90" t="s">
        <v>284</v>
      </c>
      <c r="B1081" s="89" t="s">
        <v>1087</v>
      </c>
      <c r="C1081" s="98" t="s">
        <v>2215</v>
      </c>
    </row>
    <row r="1082" spans="1:3" ht="15">
      <c r="A1082" s="90" t="s">
        <v>284</v>
      </c>
      <c r="B1082" s="89" t="s">
        <v>2381</v>
      </c>
      <c r="C1082" s="98" t="s">
        <v>2215</v>
      </c>
    </row>
    <row r="1083" spans="1:3" ht="15">
      <c r="A1083" s="90" t="s">
        <v>284</v>
      </c>
      <c r="B1083" s="89" t="s">
        <v>2382</v>
      </c>
      <c r="C1083" s="98" t="s">
        <v>2215</v>
      </c>
    </row>
    <row r="1084" spans="1:3" ht="15">
      <c r="A1084" s="90" t="s">
        <v>284</v>
      </c>
      <c r="B1084" s="89" t="s">
        <v>2383</v>
      </c>
      <c r="C1084" s="98" t="s">
        <v>2215</v>
      </c>
    </row>
    <row r="1085" spans="1:3" ht="15">
      <c r="A1085" s="90" t="s">
        <v>284</v>
      </c>
      <c r="B1085" s="89" t="s">
        <v>1200</v>
      </c>
      <c r="C1085" s="98" t="s">
        <v>2215</v>
      </c>
    </row>
    <row r="1086" spans="1:3" ht="15">
      <c r="A1086" s="90" t="s">
        <v>284</v>
      </c>
      <c r="B1086" s="89" t="s">
        <v>2384</v>
      </c>
      <c r="C1086" s="98" t="s">
        <v>2215</v>
      </c>
    </row>
    <row r="1087" spans="1:3" ht="15">
      <c r="A1087" s="90" t="s">
        <v>284</v>
      </c>
      <c r="B1087" s="89" t="s">
        <v>2385</v>
      </c>
      <c r="C1087" s="98" t="s">
        <v>2215</v>
      </c>
    </row>
    <row r="1088" spans="1:3" ht="15">
      <c r="A1088" s="90" t="s">
        <v>284</v>
      </c>
      <c r="B1088" s="89" t="s">
        <v>949</v>
      </c>
      <c r="C1088" s="98" t="s">
        <v>2215</v>
      </c>
    </row>
    <row r="1089" spans="1:3" ht="15">
      <c r="A1089" s="90" t="s">
        <v>284</v>
      </c>
      <c r="B1089" s="89" t="s">
        <v>2386</v>
      </c>
      <c r="C1089" s="98" t="s">
        <v>2215</v>
      </c>
    </row>
    <row r="1090" spans="1:3" ht="15">
      <c r="A1090" s="90" t="s">
        <v>284</v>
      </c>
      <c r="B1090" s="89" t="s">
        <v>2387</v>
      </c>
      <c r="C1090" s="98" t="s">
        <v>2215</v>
      </c>
    </row>
    <row r="1091" spans="1:3" ht="15">
      <c r="A1091" s="90" t="s">
        <v>284</v>
      </c>
      <c r="B1091" s="89" t="s">
        <v>2444</v>
      </c>
      <c r="C1091" s="98" t="s">
        <v>2215</v>
      </c>
    </row>
    <row r="1092" spans="1:3" ht="15">
      <c r="A1092" s="90" t="s">
        <v>284</v>
      </c>
      <c r="B1092" s="89" t="s">
        <v>2389</v>
      </c>
      <c r="C1092" s="98" t="s">
        <v>2215</v>
      </c>
    </row>
    <row r="1093" spans="1:3" ht="15">
      <c r="A1093" s="90" t="s">
        <v>284</v>
      </c>
      <c r="B1093" s="89" t="s">
        <v>2390</v>
      </c>
      <c r="C1093" s="98" t="s">
        <v>2215</v>
      </c>
    </row>
    <row r="1094" spans="1:3" ht="15">
      <c r="A1094" s="90" t="s">
        <v>284</v>
      </c>
      <c r="B1094" s="89" t="s">
        <v>1568</v>
      </c>
      <c r="C1094" s="98" t="s">
        <v>2215</v>
      </c>
    </row>
    <row r="1095" spans="1:3" ht="15">
      <c r="A1095" s="90" t="s">
        <v>284</v>
      </c>
      <c r="B1095" s="89" t="s">
        <v>1153</v>
      </c>
      <c r="C1095" s="98" t="s">
        <v>2215</v>
      </c>
    </row>
    <row r="1096" spans="1:3" ht="15">
      <c r="A1096" s="90" t="s">
        <v>284</v>
      </c>
      <c r="B1096" s="89" t="s">
        <v>1097</v>
      </c>
      <c r="C1096" s="98" t="s">
        <v>2215</v>
      </c>
    </row>
    <row r="1097" spans="1:3" ht="15">
      <c r="A1097" s="90" t="s">
        <v>284</v>
      </c>
      <c r="B1097" s="89" t="s">
        <v>299</v>
      </c>
      <c r="C1097" s="98" t="s">
        <v>2215</v>
      </c>
    </row>
    <row r="1098" spans="1:3" ht="15">
      <c r="A1098" s="90" t="s">
        <v>284</v>
      </c>
      <c r="B1098" s="89" t="s">
        <v>1155</v>
      </c>
      <c r="C1098" s="98" t="s">
        <v>2215</v>
      </c>
    </row>
    <row r="1099" spans="1:3" ht="15">
      <c r="A1099" s="90" t="s">
        <v>284</v>
      </c>
      <c r="B1099" s="89" t="s">
        <v>1101</v>
      </c>
      <c r="C1099" s="98" t="s">
        <v>2215</v>
      </c>
    </row>
    <row r="1100" spans="1:3" ht="15">
      <c r="A1100" s="90" t="s">
        <v>283</v>
      </c>
      <c r="B1100" s="89" t="s">
        <v>1080</v>
      </c>
      <c r="C1100" s="98" t="s">
        <v>500</v>
      </c>
    </row>
    <row r="1101" spans="1:3" ht="15">
      <c r="A1101" s="90" t="s">
        <v>283</v>
      </c>
      <c r="B1101" s="89" t="s">
        <v>1081</v>
      </c>
      <c r="C1101" s="98" t="s">
        <v>500</v>
      </c>
    </row>
    <row r="1102" spans="1:3" ht="15">
      <c r="A1102" s="90" t="s">
        <v>283</v>
      </c>
      <c r="B1102" s="89" t="s">
        <v>1082</v>
      </c>
      <c r="C1102" s="98" t="s">
        <v>500</v>
      </c>
    </row>
    <row r="1103" spans="1:3" ht="15">
      <c r="A1103" s="90" t="s">
        <v>283</v>
      </c>
      <c r="B1103" s="89" t="s">
        <v>930</v>
      </c>
      <c r="C1103" s="98" t="s">
        <v>500</v>
      </c>
    </row>
    <row r="1104" spans="1:3" ht="15">
      <c r="A1104" s="90" t="s">
        <v>283</v>
      </c>
      <c r="B1104" s="89" t="s">
        <v>940</v>
      </c>
      <c r="C1104" s="98" t="s">
        <v>500</v>
      </c>
    </row>
    <row r="1105" spans="1:3" ht="15">
      <c r="A1105" s="90" t="s">
        <v>283</v>
      </c>
      <c r="B1105" s="89" t="s">
        <v>941</v>
      </c>
      <c r="C1105" s="98" t="s">
        <v>500</v>
      </c>
    </row>
    <row r="1106" spans="1:3" ht="15">
      <c r="A1106" s="90" t="s">
        <v>283</v>
      </c>
      <c r="B1106" s="89" t="s">
        <v>1083</v>
      </c>
      <c r="C1106" s="98" t="s">
        <v>500</v>
      </c>
    </row>
    <row r="1107" spans="1:3" ht="15">
      <c r="A1107" s="90" t="s">
        <v>283</v>
      </c>
      <c r="B1107" s="89" t="s">
        <v>931</v>
      </c>
      <c r="C1107" s="98" t="s">
        <v>500</v>
      </c>
    </row>
    <row r="1108" spans="1:3" ht="15">
      <c r="A1108" s="90" t="s">
        <v>283</v>
      </c>
      <c r="B1108" s="89" t="s">
        <v>1084</v>
      </c>
      <c r="C1108" s="98" t="s">
        <v>500</v>
      </c>
    </row>
    <row r="1109" spans="1:3" ht="15">
      <c r="A1109" s="90" t="s">
        <v>283</v>
      </c>
      <c r="B1109" s="89" t="s">
        <v>1085</v>
      </c>
      <c r="C1109" s="98" t="s">
        <v>500</v>
      </c>
    </row>
    <row r="1110" spans="1:3" ht="15">
      <c r="A1110" s="90" t="s">
        <v>283</v>
      </c>
      <c r="B1110" s="89" t="s">
        <v>1086</v>
      </c>
      <c r="C1110" s="98" t="s">
        <v>500</v>
      </c>
    </row>
    <row r="1111" spans="1:3" ht="15">
      <c r="A1111" s="90" t="s">
        <v>283</v>
      </c>
      <c r="B1111" s="89" t="s">
        <v>942</v>
      </c>
      <c r="C1111" s="98" t="s">
        <v>500</v>
      </c>
    </row>
    <row r="1112" spans="1:3" ht="15">
      <c r="A1112" s="90" t="s">
        <v>283</v>
      </c>
      <c r="B1112" s="89" t="s">
        <v>938</v>
      </c>
      <c r="C1112" s="98" t="s">
        <v>500</v>
      </c>
    </row>
    <row r="1113" spans="1:3" ht="15">
      <c r="A1113" s="90" t="s">
        <v>283</v>
      </c>
      <c r="B1113" s="89" t="s">
        <v>935</v>
      </c>
      <c r="C1113" s="98" t="s">
        <v>500</v>
      </c>
    </row>
    <row r="1114" spans="1:3" ht="15">
      <c r="A1114" s="90" t="s">
        <v>283</v>
      </c>
      <c r="B1114" s="89" t="s">
        <v>934</v>
      </c>
      <c r="C1114" s="98" t="s">
        <v>500</v>
      </c>
    </row>
    <row r="1115" spans="1:3" ht="15">
      <c r="A1115" s="90" t="s">
        <v>283</v>
      </c>
      <c r="B1115" s="89" t="s">
        <v>1087</v>
      </c>
      <c r="C1115" s="98" t="s">
        <v>500</v>
      </c>
    </row>
    <row r="1116" spans="1:3" ht="15">
      <c r="A1116" s="90" t="s">
        <v>283</v>
      </c>
      <c r="B1116" s="89" t="s">
        <v>1088</v>
      </c>
      <c r="C1116" s="98" t="s">
        <v>500</v>
      </c>
    </row>
    <row r="1117" spans="1:3" ht="15">
      <c r="A1117" s="90" t="s">
        <v>283</v>
      </c>
      <c r="B1117" s="89" t="s">
        <v>936</v>
      </c>
      <c r="C1117" s="98" t="s">
        <v>500</v>
      </c>
    </row>
    <row r="1118" spans="1:3" ht="15">
      <c r="A1118" s="90" t="s">
        <v>283</v>
      </c>
      <c r="B1118" s="89" t="s">
        <v>1089</v>
      </c>
      <c r="C1118" s="98" t="s">
        <v>500</v>
      </c>
    </row>
    <row r="1119" spans="1:3" ht="15">
      <c r="A1119" s="90" t="s">
        <v>283</v>
      </c>
      <c r="B1119" s="89" t="s">
        <v>943</v>
      </c>
      <c r="C1119" s="98" t="s">
        <v>500</v>
      </c>
    </row>
    <row r="1120" spans="1:3" ht="15">
      <c r="A1120" s="90" t="s">
        <v>283</v>
      </c>
      <c r="B1120" s="89" t="s">
        <v>1090</v>
      </c>
      <c r="C1120" s="98" t="s">
        <v>500</v>
      </c>
    </row>
    <row r="1121" spans="1:3" ht="15">
      <c r="A1121" s="90" t="s">
        <v>283</v>
      </c>
      <c r="B1121" s="89" t="s">
        <v>933</v>
      </c>
      <c r="C1121" s="98" t="s">
        <v>500</v>
      </c>
    </row>
    <row r="1122" spans="1:3" ht="15">
      <c r="A1122" s="90" t="s">
        <v>283</v>
      </c>
      <c r="B1122" s="89" t="s">
        <v>338</v>
      </c>
      <c r="C1122" s="98" t="s">
        <v>500</v>
      </c>
    </row>
    <row r="1123" spans="1:3" ht="15">
      <c r="A1123" s="90" t="s">
        <v>283</v>
      </c>
      <c r="B1123" s="89" t="s">
        <v>1091</v>
      </c>
      <c r="C1123" s="98" t="s">
        <v>500</v>
      </c>
    </row>
    <row r="1124" spans="1:3" ht="15">
      <c r="A1124" s="90" t="s">
        <v>283</v>
      </c>
      <c r="B1124" s="89" t="s">
        <v>299</v>
      </c>
      <c r="C1124" s="98" t="s">
        <v>500</v>
      </c>
    </row>
    <row r="1125" spans="1:3" ht="15">
      <c r="A1125" s="90" t="s">
        <v>282</v>
      </c>
      <c r="B1125" s="89" t="s">
        <v>1128</v>
      </c>
      <c r="C1125" s="98" t="s">
        <v>499</v>
      </c>
    </row>
    <row r="1126" spans="1:3" ht="15">
      <c r="A1126" s="90" t="s">
        <v>282</v>
      </c>
      <c r="B1126" s="89" t="s">
        <v>987</v>
      </c>
      <c r="C1126" s="98" t="s">
        <v>499</v>
      </c>
    </row>
    <row r="1127" spans="1:3" ht="15">
      <c r="A1127" s="90" t="s">
        <v>282</v>
      </c>
      <c r="B1127" s="89" t="s">
        <v>988</v>
      </c>
      <c r="C1127" s="98" t="s">
        <v>499</v>
      </c>
    </row>
    <row r="1128" spans="1:3" ht="15">
      <c r="A1128" s="90" t="s">
        <v>282</v>
      </c>
      <c r="B1128" s="89" t="s">
        <v>338</v>
      </c>
      <c r="C1128" s="98" t="s">
        <v>499</v>
      </c>
    </row>
    <row r="1129" spans="1:3" ht="15">
      <c r="A1129" s="90" t="s">
        <v>282</v>
      </c>
      <c r="B1129" s="89" t="s">
        <v>1094</v>
      </c>
      <c r="C1129" s="98" t="s">
        <v>499</v>
      </c>
    </row>
    <row r="1130" spans="1:3" ht="15">
      <c r="A1130" s="90" t="s">
        <v>282</v>
      </c>
      <c r="B1130" s="89" t="s">
        <v>1129</v>
      </c>
      <c r="C1130" s="98" t="s">
        <v>499</v>
      </c>
    </row>
    <row r="1131" spans="1:3" ht="15">
      <c r="A1131" s="90" t="s">
        <v>282</v>
      </c>
      <c r="B1131" s="89" t="s">
        <v>1130</v>
      </c>
      <c r="C1131" s="98" t="s">
        <v>499</v>
      </c>
    </row>
    <row r="1132" spans="1:3" ht="15">
      <c r="A1132" s="90" t="s">
        <v>282</v>
      </c>
      <c r="B1132" s="89" t="s">
        <v>1131</v>
      </c>
      <c r="C1132" s="98" t="s">
        <v>499</v>
      </c>
    </row>
    <row r="1133" spans="1:3" ht="15">
      <c r="A1133" s="90" t="s">
        <v>282</v>
      </c>
      <c r="B1133" s="89" t="s">
        <v>989</v>
      </c>
      <c r="C1133" s="98" t="s">
        <v>499</v>
      </c>
    </row>
    <row r="1134" spans="1:3" ht="15">
      <c r="A1134" s="90" t="s">
        <v>282</v>
      </c>
      <c r="B1134" s="89" t="s">
        <v>990</v>
      </c>
      <c r="C1134" s="98" t="s">
        <v>499</v>
      </c>
    </row>
    <row r="1135" spans="1:3" ht="15">
      <c r="A1135" s="90" t="s">
        <v>282</v>
      </c>
      <c r="B1135" s="89" t="s">
        <v>1132</v>
      </c>
      <c r="C1135" s="98" t="s">
        <v>499</v>
      </c>
    </row>
    <row r="1136" spans="1:3" ht="15">
      <c r="A1136" s="90" t="s">
        <v>282</v>
      </c>
      <c r="B1136" s="89" t="s">
        <v>1133</v>
      </c>
      <c r="C1136" s="98" t="s">
        <v>499</v>
      </c>
    </row>
    <row r="1137" spans="1:3" ht="15">
      <c r="A1137" s="90" t="s">
        <v>282</v>
      </c>
      <c r="B1137" s="89" t="s">
        <v>1134</v>
      </c>
      <c r="C1137" s="98" t="s">
        <v>499</v>
      </c>
    </row>
    <row r="1138" spans="1:3" ht="15">
      <c r="A1138" s="90" t="s">
        <v>282</v>
      </c>
      <c r="B1138" s="89" t="s">
        <v>1135</v>
      </c>
      <c r="C1138" s="98" t="s">
        <v>499</v>
      </c>
    </row>
    <row r="1139" spans="1:3" ht="15">
      <c r="A1139" s="90" t="s">
        <v>282</v>
      </c>
      <c r="B1139" s="89" t="s">
        <v>993</v>
      </c>
      <c r="C1139" s="98" t="s">
        <v>499</v>
      </c>
    </row>
    <row r="1140" spans="1:3" ht="15">
      <c r="A1140" s="90" t="s">
        <v>282</v>
      </c>
      <c r="B1140" s="89" t="s">
        <v>1136</v>
      </c>
      <c r="C1140" s="98" t="s">
        <v>499</v>
      </c>
    </row>
    <row r="1141" spans="1:3" ht="15">
      <c r="A1141" s="90" t="s">
        <v>282</v>
      </c>
      <c r="B1141" s="89" t="s">
        <v>994</v>
      </c>
      <c r="C1141" s="98" t="s">
        <v>499</v>
      </c>
    </row>
    <row r="1142" spans="1:3" ht="15">
      <c r="A1142" s="90" t="s">
        <v>282</v>
      </c>
      <c r="B1142" s="89" t="s">
        <v>995</v>
      </c>
      <c r="C1142" s="98" t="s">
        <v>499</v>
      </c>
    </row>
    <row r="1143" spans="1:3" ht="15">
      <c r="A1143" s="90" t="s">
        <v>282</v>
      </c>
      <c r="B1143" s="89" t="s">
        <v>996</v>
      </c>
      <c r="C1143" s="98" t="s">
        <v>499</v>
      </c>
    </row>
    <row r="1144" spans="1:3" ht="15">
      <c r="A1144" s="90" t="s">
        <v>282</v>
      </c>
      <c r="B1144" s="89" t="s">
        <v>997</v>
      </c>
      <c r="C1144" s="98" t="s">
        <v>499</v>
      </c>
    </row>
    <row r="1145" spans="1:3" ht="15">
      <c r="A1145" s="90" t="s">
        <v>282</v>
      </c>
      <c r="B1145" s="89" t="s">
        <v>998</v>
      </c>
      <c r="C1145" s="98" t="s">
        <v>499</v>
      </c>
    </row>
    <row r="1146" spans="1:3" ht="15">
      <c r="A1146" s="90" t="s">
        <v>282</v>
      </c>
      <c r="B1146" s="89" t="s">
        <v>1137</v>
      </c>
      <c r="C1146" s="98" t="s">
        <v>499</v>
      </c>
    </row>
    <row r="1147" spans="1:3" ht="15">
      <c r="A1147" s="90" t="s">
        <v>2126</v>
      </c>
      <c r="B1147" s="89" t="s">
        <v>1090</v>
      </c>
      <c r="C1147" s="98" t="s">
        <v>2214</v>
      </c>
    </row>
    <row r="1148" spans="1:3" ht="15">
      <c r="A1148" s="90" t="s">
        <v>2126</v>
      </c>
      <c r="B1148" s="89" t="s">
        <v>930</v>
      </c>
      <c r="C1148" s="98" t="s">
        <v>2214</v>
      </c>
    </row>
    <row r="1149" spans="1:3" ht="15">
      <c r="A1149" s="90" t="s">
        <v>2126</v>
      </c>
      <c r="B1149" s="89" t="s">
        <v>933</v>
      </c>
      <c r="C1149" s="98" t="s">
        <v>2214</v>
      </c>
    </row>
    <row r="1150" spans="1:3" ht="15">
      <c r="A1150" s="90" t="s">
        <v>2126</v>
      </c>
      <c r="B1150" s="89" t="s">
        <v>966</v>
      </c>
      <c r="C1150" s="98" t="s">
        <v>2214</v>
      </c>
    </row>
    <row r="1151" spans="1:3" ht="15">
      <c r="A1151" s="90" t="s">
        <v>2126</v>
      </c>
      <c r="B1151" s="89" t="s">
        <v>948</v>
      </c>
      <c r="C1151" s="98" t="s">
        <v>2214</v>
      </c>
    </row>
    <row r="1152" spans="1:3" ht="15">
      <c r="A1152" s="90" t="s">
        <v>2126</v>
      </c>
      <c r="B1152" s="89" t="s">
        <v>1148</v>
      </c>
      <c r="C1152" s="98" t="s">
        <v>2214</v>
      </c>
    </row>
    <row r="1153" spans="1:3" ht="15">
      <c r="A1153" s="90" t="s">
        <v>2126</v>
      </c>
      <c r="B1153" s="89" t="s">
        <v>1123</v>
      </c>
      <c r="C1153" s="98" t="s">
        <v>2214</v>
      </c>
    </row>
    <row r="1154" spans="1:3" ht="15">
      <c r="A1154" s="90" t="s">
        <v>2126</v>
      </c>
      <c r="B1154" s="89" t="s">
        <v>959</v>
      </c>
      <c r="C1154" s="98" t="s">
        <v>2214</v>
      </c>
    </row>
    <row r="1155" spans="1:3" ht="15">
      <c r="A1155" s="90" t="s">
        <v>2126</v>
      </c>
      <c r="B1155" s="89" t="s">
        <v>960</v>
      </c>
      <c r="C1155" s="98" t="s">
        <v>2214</v>
      </c>
    </row>
    <row r="1156" spans="1:3" ht="15">
      <c r="A1156" s="90" t="s">
        <v>2126</v>
      </c>
      <c r="B1156" s="89" t="s">
        <v>961</v>
      </c>
      <c r="C1156" s="98" t="s">
        <v>2214</v>
      </c>
    </row>
    <row r="1157" spans="1:3" ht="15">
      <c r="A1157" s="90" t="s">
        <v>2126</v>
      </c>
      <c r="B1157" s="89" t="s">
        <v>962</v>
      </c>
      <c r="C1157" s="98" t="s">
        <v>2214</v>
      </c>
    </row>
    <row r="1158" spans="1:3" ht="15">
      <c r="A1158" s="90" t="s">
        <v>2126</v>
      </c>
      <c r="B1158" s="89" t="s">
        <v>963</v>
      </c>
      <c r="C1158" s="98" t="s">
        <v>2214</v>
      </c>
    </row>
    <row r="1159" spans="1:3" ht="15">
      <c r="A1159" s="90" t="s">
        <v>2126</v>
      </c>
      <c r="B1159" s="89" t="s">
        <v>964</v>
      </c>
      <c r="C1159" s="98" t="s">
        <v>2214</v>
      </c>
    </row>
    <row r="1160" spans="1:3" ht="15">
      <c r="A1160" s="90" t="s">
        <v>2126</v>
      </c>
      <c r="B1160" s="89" t="s">
        <v>1087</v>
      </c>
      <c r="C1160" s="98" t="s">
        <v>2214</v>
      </c>
    </row>
    <row r="1161" spans="1:3" ht="15">
      <c r="A1161" s="90" t="s">
        <v>2126</v>
      </c>
      <c r="B1161" s="89" t="s">
        <v>965</v>
      </c>
      <c r="C1161" s="98" t="s">
        <v>2214</v>
      </c>
    </row>
    <row r="1162" spans="1:3" ht="15">
      <c r="A1162" s="90" t="s">
        <v>2126</v>
      </c>
      <c r="B1162" s="89" t="s">
        <v>1149</v>
      </c>
      <c r="C1162" s="98" t="s">
        <v>2214</v>
      </c>
    </row>
    <row r="1163" spans="1:3" ht="15">
      <c r="A1163" s="90" t="s">
        <v>2126</v>
      </c>
      <c r="B1163" s="89" t="s">
        <v>981</v>
      </c>
      <c r="C1163" s="98" t="s">
        <v>2214</v>
      </c>
    </row>
    <row r="1164" spans="1:3" ht="15">
      <c r="A1164" s="90" t="s">
        <v>2126</v>
      </c>
      <c r="B1164" s="89" t="s">
        <v>982</v>
      </c>
      <c r="C1164" s="98" t="s">
        <v>2214</v>
      </c>
    </row>
    <row r="1165" spans="1:3" ht="15">
      <c r="A1165" s="90" t="s">
        <v>2126</v>
      </c>
      <c r="B1165" s="89" t="s">
        <v>1150</v>
      </c>
      <c r="C1165" s="98" t="s">
        <v>2214</v>
      </c>
    </row>
    <row r="1166" spans="1:3" ht="15">
      <c r="A1166" s="90" t="s">
        <v>2126</v>
      </c>
      <c r="B1166" s="89" t="s">
        <v>1151</v>
      </c>
      <c r="C1166" s="98" t="s">
        <v>2214</v>
      </c>
    </row>
    <row r="1167" spans="1:3" ht="15">
      <c r="A1167" s="90" t="s">
        <v>2126</v>
      </c>
      <c r="B1167" s="89" t="s">
        <v>983</v>
      </c>
      <c r="C1167" s="98" t="s">
        <v>2214</v>
      </c>
    </row>
    <row r="1168" spans="1:3" ht="15">
      <c r="A1168" s="90" t="s">
        <v>2125</v>
      </c>
      <c r="B1168" s="89" t="s">
        <v>1090</v>
      </c>
      <c r="C1168" s="98" t="s">
        <v>2213</v>
      </c>
    </row>
    <row r="1169" spans="1:3" ht="15">
      <c r="A1169" s="90" t="s">
        <v>2125</v>
      </c>
      <c r="B1169" s="89" t="s">
        <v>930</v>
      </c>
      <c r="C1169" s="98" t="s">
        <v>2213</v>
      </c>
    </row>
    <row r="1170" spans="1:3" ht="15">
      <c r="A1170" s="90" t="s">
        <v>2125</v>
      </c>
      <c r="B1170" s="89" t="s">
        <v>933</v>
      </c>
      <c r="C1170" s="98" t="s">
        <v>2213</v>
      </c>
    </row>
    <row r="1171" spans="1:3" ht="15">
      <c r="A1171" s="90" t="s">
        <v>2125</v>
      </c>
      <c r="B1171" s="89" t="s">
        <v>966</v>
      </c>
      <c r="C1171" s="98" t="s">
        <v>2213</v>
      </c>
    </row>
    <row r="1172" spans="1:3" ht="15">
      <c r="A1172" s="90" t="s">
        <v>2125</v>
      </c>
      <c r="B1172" s="89" t="s">
        <v>948</v>
      </c>
      <c r="C1172" s="98" t="s">
        <v>2213</v>
      </c>
    </row>
    <row r="1173" spans="1:3" ht="15">
      <c r="A1173" s="90" t="s">
        <v>2125</v>
      </c>
      <c r="B1173" s="89" t="s">
        <v>1148</v>
      </c>
      <c r="C1173" s="98" t="s">
        <v>2213</v>
      </c>
    </row>
    <row r="1174" spans="1:3" ht="15">
      <c r="A1174" s="90" t="s">
        <v>2125</v>
      </c>
      <c r="B1174" s="89" t="s">
        <v>1123</v>
      </c>
      <c r="C1174" s="98" t="s">
        <v>2213</v>
      </c>
    </row>
    <row r="1175" spans="1:3" ht="15">
      <c r="A1175" s="90" t="s">
        <v>2125</v>
      </c>
      <c r="B1175" s="89" t="s">
        <v>959</v>
      </c>
      <c r="C1175" s="98" t="s">
        <v>2213</v>
      </c>
    </row>
    <row r="1176" spans="1:3" ht="15">
      <c r="A1176" s="90" t="s">
        <v>2125</v>
      </c>
      <c r="B1176" s="89" t="s">
        <v>960</v>
      </c>
      <c r="C1176" s="98" t="s">
        <v>2213</v>
      </c>
    </row>
    <row r="1177" spans="1:3" ht="15">
      <c r="A1177" s="90" t="s">
        <v>2125</v>
      </c>
      <c r="B1177" s="89" t="s">
        <v>961</v>
      </c>
      <c r="C1177" s="98" t="s">
        <v>2213</v>
      </c>
    </row>
    <row r="1178" spans="1:3" ht="15">
      <c r="A1178" s="90" t="s">
        <v>2125</v>
      </c>
      <c r="B1178" s="89" t="s">
        <v>962</v>
      </c>
      <c r="C1178" s="98" t="s">
        <v>2213</v>
      </c>
    </row>
    <row r="1179" spans="1:3" ht="15">
      <c r="A1179" s="90" t="s">
        <v>2125</v>
      </c>
      <c r="B1179" s="89" t="s">
        <v>963</v>
      </c>
      <c r="C1179" s="98" t="s">
        <v>2213</v>
      </c>
    </row>
    <row r="1180" spans="1:3" ht="15">
      <c r="A1180" s="90" t="s">
        <v>2125</v>
      </c>
      <c r="B1180" s="89" t="s">
        <v>964</v>
      </c>
      <c r="C1180" s="98" t="s">
        <v>2213</v>
      </c>
    </row>
    <row r="1181" spans="1:3" ht="15">
      <c r="A1181" s="90" t="s">
        <v>2125</v>
      </c>
      <c r="B1181" s="89" t="s">
        <v>1087</v>
      </c>
      <c r="C1181" s="98" t="s">
        <v>2213</v>
      </c>
    </row>
    <row r="1182" spans="1:3" ht="15">
      <c r="A1182" s="90" t="s">
        <v>2125</v>
      </c>
      <c r="B1182" s="89" t="s">
        <v>965</v>
      </c>
      <c r="C1182" s="98" t="s">
        <v>2213</v>
      </c>
    </row>
    <row r="1183" spans="1:3" ht="15">
      <c r="A1183" s="90" t="s">
        <v>2125</v>
      </c>
      <c r="B1183" s="89" t="s">
        <v>1149</v>
      </c>
      <c r="C1183" s="98" t="s">
        <v>2213</v>
      </c>
    </row>
    <row r="1184" spans="1:3" ht="15">
      <c r="A1184" s="90" t="s">
        <v>2125</v>
      </c>
      <c r="B1184" s="89" t="s">
        <v>981</v>
      </c>
      <c r="C1184" s="98" t="s">
        <v>2213</v>
      </c>
    </row>
    <row r="1185" spans="1:3" ht="15">
      <c r="A1185" s="90" t="s">
        <v>2125</v>
      </c>
      <c r="B1185" s="89" t="s">
        <v>982</v>
      </c>
      <c r="C1185" s="98" t="s">
        <v>2213</v>
      </c>
    </row>
    <row r="1186" spans="1:3" ht="15">
      <c r="A1186" s="90" t="s">
        <v>2125</v>
      </c>
      <c r="B1186" s="89" t="s">
        <v>1150</v>
      </c>
      <c r="C1186" s="98" t="s">
        <v>2213</v>
      </c>
    </row>
    <row r="1187" spans="1:3" ht="15">
      <c r="A1187" s="90" t="s">
        <v>2125</v>
      </c>
      <c r="B1187" s="89" t="s">
        <v>1151</v>
      </c>
      <c r="C1187" s="98" t="s">
        <v>2213</v>
      </c>
    </row>
    <row r="1188" spans="1:3" ht="15">
      <c r="A1188" s="90" t="s">
        <v>2125</v>
      </c>
      <c r="B1188" s="89" t="s">
        <v>983</v>
      </c>
      <c r="C1188" s="98" t="s">
        <v>2213</v>
      </c>
    </row>
    <row r="1189" spans="1:3" ht="15">
      <c r="A1189" s="90" t="s">
        <v>281</v>
      </c>
      <c r="B1189" s="89" t="s">
        <v>1080</v>
      </c>
      <c r="C1189" s="98" t="s">
        <v>498</v>
      </c>
    </row>
    <row r="1190" spans="1:3" ht="15">
      <c r="A1190" s="90" t="s">
        <v>281</v>
      </c>
      <c r="B1190" s="89" t="s">
        <v>1081</v>
      </c>
      <c r="C1190" s="98" t="s">
        <v>498</v>
      </c>
    </row>
    <row r="1191" spans="1:3" ht="15">
      <c r="A1191" s="90" t="s">
        <v>281</v>
      </c>
      <c r="B1191" s="89" t="s">
        <v>1082</v>
      </c>
      <c r="C1191" s="98" t="s">
        <v>498</v>
      </c>
    </row>
    <row r="1192" spans="1:3" ht="15">
      <c r="A1192" s="90" t="s">
        <v>281</v>
      </c>
      <c r="B1192" s="89" t="s">
        <v>930</v>
      </c>
      <c r="C1192" s="98" t="s">
        <v>498</v>
      </c>
    </row>
    <row r="1193" spans="1:3" ht="15">
      <c r="A1193" s="90" t="s">
        <v>281</v>
      </c>
      <c r="B1193" s="89" t="s">
        <v>940</v>
      </c>
      <c r="C1193" s="98" t="s">
        <v>498</v>
      </c>
    </row>
    <row r="1194" spans="1:3" ht="15">
      <c r="A1194" s="90" t="s">
        <v>281</v>
      </c>
      <c r="B1194" s="89" t="s">
        <v>941</v>
      </c>
      <c r="C1194" s="98" t="s">
        <v>498</v>
      </c>
    </row>
    <row r="1195" spans="1:3" ht="15">
      <c r="A1195" s="90" t="s">
        <v>281</v>
      </c>
      <c r="B1195" s="89" t="s">
        <v>1083</v>
      </c>
      <c r="C1195" s="98" t="s">
        <v>498</v>
      </c>
    </row>
    <row r="1196" spans="1:3" ht="15">
      <c r="A1196" s="90" t="s">
        <v>281</v>
      </c>
      <c r="B1196" s="89" t="s">
        <v>931</v>
      </c>
      <c r="C1196" s="98" t="s">
        <v>498</v>
      </c>
    </row>
    <row r="1197" spans="1:3" ht="15">
      <c r="A1197" s="90" t="s">
        <v>281</v>
      </c>
      <c r="B1197" s="89" t="s">
        <v>1084</v>
      </c>
      <c r="C1197" s="98" t="s">
        <v>498</v>
      </c>
    </row>
    <row r="1198" spans="1:3" ht="15">
      <c r="A1198" s="90" t="s">
        <v>281</v>
      </c>
      <c r="B1198" s="89" t="s">
        <v>1085</v>
      </c>
      <c r="C1198" s="98" t="s">
        <v>498</v>
      </c>
    </row>
    <row r="1199" spans="1:3" ht="15">
      <c r="A1199" s="90" t="s">
        <v>281</v>
      </c>
      <c r="B1199" s="89" t="s">
        <v>1086</v>
      </c>
      <c r="C1199" s="98" t="s">
        <v>498</v>
      </c>
    </row>
    <row r="1200" spans="1:3" ht="15">
      <c r="A1200" s="90" t="s">
        <v>281</v>
      </c>
      <c r="B1200" s="89" t="s">
        <v>942</v>
      </c>
      <c r="C1200" s="98" t="s">
        <v>498</v>
      </c>
    </row>
    <row r="1201" spans="1:3" ht="15">
      <c r="A1201" s="90" t="s">
        <v>281</v>
      </c>
      <c r="B1201" s="89" t="s">
        <v>938</v>
      </c>
      <c r="C1201" s="98" t="s">
        <v>498</v>
      </c>
    </row>
    <row r="1202" spans="1:3" ht="15">
      <c r="A1202" s="90" t="s">
        <v>281</v>
      </c>
      <c r="B1202" s="89" t="s">
        <v>935</v>
      </c>
      <c r="C1202" s="98" t="s">
        <v>498</v>
      </c>
    </row>
    <row r="1203" spans="1:3" ht="15">
      <c r="A1203" s="90" t="s">
        <v>281</v>
      </c>
      <c r="B1203" s="89" t="s">
        <v>934</v>
      </c>
      <c r="C1203" s="98" t="s">
        <v>498</v>
      </c>
    </row>
    <row r="1204" spans="1:3" ht="15">
      <c r="A1204" s="90" t="s">
        <v>281</v>
      </c>
      <c r="B1204" s="89" t="s">
        <v>1087</v>
      </c>
      <c r="C1204" s="98" t="s">
        <v>498</v>
      </c>
    </row>
    <row r="1205" spans="1:3" ht="15">
      <c r="A1205" s="90" t="s">
        <v>281</v>
      </c>
      <c r="B1205" s="89" t="s">
        <v>1088</v>
      </c>
      <c r="C1205" s="98" t="s">
        <v>498</v>
      </c>
    </row>
    <row r="1206" spans="1:3" ht="15">
      <c r="A1206" s="90" t="s">
        <v>281</v>
      </c>
      <c r="B1206" s="89" t="s">
        <v>936</v>
      </c>
      <c r="C1206" s="98" t="s">
        <v>498</v>
      </c>
    </row>
    <row r="1207" spans="1:3" ht="15">
      <c r="A1207" s="90" t="s">
        <v>281</v>
      </c>
      <c r="B1207" s="89" t="s">
        <v>1089</v>
      </c>
      <c r="C1207" s="98" t="s">
        <v>498</v>
      </c>
    </row>
    <row r="1208" spans="1:3" ht="15">
      <c r="A1208" s="90" t="s">
        <v>281</v>
      </c>
      <c r="B1208" s="89" t="s">
        <v>943</v>
      </c>
      <c r="C1208" s="98" t="s">
        <v>498</v>
      </c>
    </row>
    <row r="1209" spans="1:3" ht="15">
      <c r="A1209" s="90" t="s">
        <v>281</v>
      </c>
      <c r="B1209" s="89" t="s">
        <v>1090</v>
      </c>
      <c r="C1209" s="98" t="s">
        <v>498</v>
      </c>
    </row>
    <row r="1210" spans="1:3" ht="15">
      <c r="A1210" s="90" t="s">
        <v>281</v>
      </c>
      <c r="B1210" s="89" t="s">
        <v>933</v>
      </c>
      <c r="C1210" s="98" t="s">
        <v>498</v>
      </c>
    </row>
    <row r="1211" spans="1:3" ht="15">
      <c r="A1211" s="90" t="s">
        <v>281</v>
      </c>
      <c r="B1211" s="89" t="s">
        <v>338</v>
      </c>
      <c r="C1211" s="98" t="s">
        <v>498</v>
      </c>
    </row>
    <row r="1212" spans="1:3" ht="15">
      <c r="A1212" s="90" t="s">
        <v>281</v>
      </c>
      <c r="B1212" s="89" t="s">
        <v>1091</v>
      </c>
      <c r="C1212" s="98" t="s">
        <v>498</v>
      </c>
    </row>
    <row r="1213" spans="1:3" ht="15">
      <c r="A1213" s="90" t="s">
        <v>281</v>
      </c>
      <c r="B1213" s="89" t="s">
        <v>299</v>
      </c>
      <c r="C1213" s="98" t="s">
        <v>498</v>
      </c>
    </row>
    <row r="1214" spans="1:3" ht="15">
      <c r="A1214" s="90" t="s">
        <v>280</v>
      </c>
      <c r="B1214" s="89" t="s">
        <v>1080</v>
      </c>
      <c r="C1214" s="98" t="s">
        <v>497</v>
      </c>
    </row>
    <row r="1215" spans="1:3" ht="15">
      <c r="A1215" s="90" t="s">
        <v>280</v>
      </c>
      <c r="B1215" s="89" t="s">
        <v>1081</v>
      </c>
      <c r="C1215" s="98" t="s">
        <v>497</v>
      </c>
    </row>
    <row r="1216" spans="1:3" ht="15">
      <c r="A1216" s="90" t="s">
        <v>280</v>
      </c>
      <c r="B1216" s="89" t="s">
        <v>1082</v>
      </c>
      <c r="C1216" s="98" t="s">
        <v>497</v>
      </c>
    </row>
    <row r="1217" spans="1:3" ht="15">
      <c r="A1217" s="90" t="s">
        <v>280</v>
      </c>
      <c r="B1217" s="89" t="s">
        <v>930</v>
      </c>
      <c r="C1217" s="98" t="s">
        <v>497</v>
      </c>
    </row>
    <row r="1218" spans="1:3" ht="15">
      <c r="A1218" s="90" t="s">
        <v>280</v>
      </c>
      <c r="B1218" s="89" t="s">
        <v>940</v>
      </c>
      <c r="C1218" s="98" t="s">
        <v>497</v>
      </c>
    </row>
    <row r="1219" spans="1:3" ht="15">
      <c r="A1219" s="90" t="s">
        <v>280</v>
      </c>
      <c r="B1219" s="89" t="s">
        <v>941</v>
      </c>
      <c r="C1219" s="98" t="s">
        <v>497</v>
      </c>
    </row>
    <row r="1220" spans="1:3" ht="15">
      <c r="A1220" s="90" t="s">
        <v>280</v>
      </c>
      <c r="B1220" s="89" t="s">
        <v>1083</v>
      </c>
      <c r="C1220" s="98" t="s">
        <v>497</v>
      </c>
    </row>
    <row r="1221" spans="1:3" ht="15">
      <c r="A1221" s="90" t="s">
        <v>280</v>
      </c>
      <c r="B1221" s="89" t="s">
        <v>931</v>
      </c>
      <c r="C1221" s="98" t="s">
        <v>497</v>
      </c>
    </row>
    <row r="1222" spans="1:3" ht="15">
      <c r="A1222" s="90" t="s">
        <v>280</v>
      </c>
      <c r="B1222" s="89" t="s">
        <v>1084</v>
      </c>
      <c r="C1222" s="98" t="s">
        <v>497</v>
      </c>
    </row>
    <row r="1223" spans="1:3" ht="15">
      <c r="A1223" s="90" t="s">
        <v>280</v>
      </c>
      <c r="B1223" s="89" t="s">
        <v>1085</v>
      </c>
      <c r="C1223" s="98" t="s">
        <v>497</v>
      </c>
    </row>
    <row r="1224" spans="1:3" ht="15">
      <c r="A1224" s="90" t="s">
        <v>280</v>
      </c>
      <c r="B1224" s="89" t="s">
        <v>1086</v>
      </c>
      <c r="C1224" s="98" t="s">
        <v>497</v>
      </c>
    </row>
    <row r="1225" spans="1:3" ht="15">
      <c r="A1225" s="90" t="s">
        <v>280</v>
      </c>
      <c r="B1225" s="89" t="s">
        <v>942</v>
      </c>
      <c r="C1225" s="98" t="s">
        <v>497</v>
      </c>
    </row>
    <row r="1226" spans="1:3" ht="15">
      <c r="A1226" s="90" t="s">
        <v>280</v>
      </c>
      <c r="B1226" s="89" t="s">
        <v>938</v>
      </c>
      <c r="C1226" s="98" t="s">
        <v>497</v>
      </c>
    </row>
    <row r="1227" spans="1:3" ht="15">
      <c r="A1227" s="90" t="s">
        <v>280</v>
      </c>
      <c r="B1227" s="89" t="s">
        <v>935</v>
      </c>
      <c r="C1227" s="98" t="s">
        <v>497</v>
      </c>
    </row>
    <row r="1228" spans="1:3" ht="15">
      <c r="A1228" s="90" t="s">
        <v>280</v>
      </c>
      <c r="B1228" s="89" t="s">
        <v>934</v>
      </c>
      <c r="C1228" s="98" t="s">
        <v>497</v>
      </c>
    </row>
    <row r="1229" spans="1:3" ht="15">
      <c r="A1229" s="90" t="s">
        <v>280</v>
      </c>
      <c r="B1229" s="89" t="s">
        <v>1087</v>
      </c>
      <c r="C1229" s="98" t="s">
        <v>497</v>
      </c>
    </row>
    <row r="1230" spans="1:3" ht="15">
      <c r="A1230" s="90" t="s">
        <v>280</v>
      </c>
      <c r="B1230" s="89" t="s">
        <v>1088</v>
      </c>
      <c r="C1230" s="98" t="s">
        <v>497</v>
      </c>
    </row>
    <row r="1231" spans="1:3" ht="15">
      <c r="A1231" s="90" t="s">
        <v>280</v>
      </c>
      <c r="B1231" s="89" t="s">
        <v>936</v>
      </c>
      <c r="C1231" s="98" t="s">
        <v>497</v>
      </c>
    </row>
    <row r="1232" spans="1:3" ht="15">
      <c r="A1232" s="90" t="s">
        <v>280</v>
      </c>
      <c r="B1232" s="89" t="s">
        <v>1089</v>
      </c>
      <c r="C1232" s="98" t="s">
        <v>497</v>
      </c>
    </row>
    <row r="1233" spans="1:3" ht="15">
      <c r="A1233" s="90" t="s">
        <v>280</v>
      </c>
      <c r="B1233" s="89" t="s">
        <v>943</v>
      </c>
      <c r="C1233" s="98" t="s">
        <v>497</v>
      </c>
    </row>
    <row r="1234" spans="1:3" ht="15">
      <c r="A1234" s="90" t="s">
        <v>280</v>
      </c>
      <c r="B1234" s="89" t="s">
        <v>1090</v>
      </c>
      <c r="C1234" s="98" t="s">
        <v>497</v>
      </c>
    </row>
    <row r="1235" spans="1:3" ht="15">
      <c r="A1235" s="90" t="s">
        <v>280</v>
      </c>
      <c r="B1235" s="89" t="s">
        <v>933</v>
      </c>
      <c r="C1235" s="98" t="s">
        <v>497</v>
      </c>
    </row>
    <row r="1236" spans="1:3" ht="15">
      <c r="A1236" s="90" t="s">
        <v>280</v>
      </c>
      <c r="B1236" s="89" t="s">
        <v>338</v>
      </c>
      <c r="C1236" s="98" t="s">
        <v>497</v>
      </c>
    </row>
    <row r="1237" spans="1:3" ht="15">
      <c r="A1237" s="90" t="s">
        <v>280</v>
      </c>
      <c r="B1237" s="89" t="s">
        <v>1091</v>
      </c>
      <c r="C1237" s="98" t="s">
        <v>497</v>
      </c>
    </row>
    <row r="1238" spans="1:3" ht="15">
      <c r="A1238" s="90" t="s">
        <v>280</v>
      </c>
      <c r="B1238" s="89" t="s">
        <v>299</v>
      </c>
      <c r="C1238" s="98" t="s">
        <v>497</v>
      </c>
    </row>
    <row r="1239" spans="1:3" ht="15">
      <c r="A1239" s="90" t="s">
        <v>279</v>
      </c>
      <c r="B1239" s="89" t="s">
        <v>1138</v>
      </c>
      <c r="C1239" s="98" t="s">
        <v>496</v>
      </c>
    </row>
    <row r="1240" spans="1:3" ht="15">
      <c r="A1240" s="90" t="s">
        <v>279</v>
      </c>
      <c r="B1240" s="89" t="s">
        <v>1139</v>
      </c>
      <c r="C1240" s="98" t="s">
        <v>496</v>
      </c>
    </row>
    <row r="1241" spans="1:3" ht="15">
      <c r="A1241" s="90" t="s">
        <v>279</v>
      </c>
      <c r="B1241" s="89" t="s">
        <v>1140</v>
      </c>
      <c r="C1241" s="98" t="s">
        <v>496</v>
      </c>
    </row>
    <row r="1242" spans="1:3" ht="15">
      <c r="A1242" s="90" t="s">
        <v>279</v>
      </c>
      <c r="B1242" s="89" t="s">
        <v>1141</v>
      </c>
      <c r="C1242" s="98" t="s">
        <v>496</v>
      </c>
    </row>
    <row r="1243" spans="1:3" ht="15">
      <c r="A1243" s="90" t="s">
        <v>279</v>
      </c>
      <c r="B1243" s="89" t="s">
        <v>1142</v>
      </c>
      <c r="C1243" s="98" t="s">
        <v>496</v>
      </c>
    </row>
    <row r="1244" spans="1:3" ht="15">
      <c r="A1244" s="90" t="s">
        <v>279</v>
      </c>
      <c r="B1244" s="89" t="s">
        <v>1143</v>
      </c>
      <c r="C1244" s="98" t="s">
        <v>496</v>
      </c>
    </row>
    <row r="1245" spans="1:3" ht="15">
      <c r="A1245" s="90" t="s">
        <v>279</v>
      </c>
      <c r="B1245" s="89" t="s">
        <v>1144</v>
      </c>
      <c r="C1245" s="98" t="s">
        <v>496</v>
      </c>
    </row>
    <row r="1246" spans="1:3" ht="15">
      <c r="A1246" s="90" t="s">
        <v>279</v>
      </c>
      <c r="B1246" s="89" t="s">
        <v>1145</v>
      </c>
      <c r="C1246" s="98" t="s">
        <v>496</v>
      </c>
    </row>
    <row r="1247" spans="1:3" ht="15">
      <c r="A1247" s="90" t="s">
        <v>279</v>
      </c>
      <c r="B1247" s="89" t="s">
        <v>338</v>
      </c>
      <c r="C1247" s="98" t="s">
        <v>496</v>
      </c>
    </row>
    <row r="1248" spans="1:3" ht="15">
      <c r="A1248" s="90" t="s">
        <v>279</v>
      </c>
      <c r="B1248" s="89" t="s">
        <v>1091</v>
      </c>
      <c r="C1248" s="98" t="s">
        <v>496</v>
      </c>
    </row>
    <row r="1249" spans="1:3" ht="15">
      <c r="A1249" s="90" t="s">
        <v>279</v>
      </c>
      <c r="B1249" s="89" t="s">
        <v>299</v>
      </c>
      <c r="C1249" s="98" t="s">
        <v>496</v>
      </c>
    </row>
    <row r="1250" spans="1:3" ht="15">
      <c r="A1250" s="90" t="s">
        <v>293</v>
      </c>
      <c r="B1250" s="89" t="s">
        <v>1146</v>
      </c>
      <c r="C1250" s="98" t="s">
        <v>519</v>
      </c>
    </row>
    <row r="1251" spans="1:3" ht="15">
      <c r="A1251" s="90" t="s">
        <v>293</v>
      </c>
      <c r="B1251" s="89" t="s">
        <v>945</v>
      </c>
      <c r="C1251" s="98" t="s">
        <v>519</v>
      </c>
    </row>
    <row r="1252" spans="1:3" ht="15">
      <c r="A1252" s="90" t="s">
        <v>293</v>
      </c>
      <c r="B1252" s="89" t="s">
        <v>966</v>
      </c>
      <c r="C1252" s="98" t="s">
        <v>519</v>
      </c>
    </row>
    <row r="1253" spans="1:3" ht="15">
      <c r="A1253" s="90" t="s">
        <v>293</v>
      </c>
      <c r="B1253" s="89" t="s">
        <v>934</v>
      </c>
      <c r="C1253" s="98" t="s">
        <v>519</v>
      </c>
    </row>
    <row r="1254" spans="1:3" ht="15">
      <c r="A1254" s="90" t="s">
        <v>293</v>
      </c>
      <c r="B1254" s="89" t="s">
        <v>1087</v>
      </c>
      <c r="C1254" s="98" t="s">
        <v>519</v>
      </c>
    </row>
    <row r="1255" spans="1:3" ht="15">
      <c r="A1255" s="90" t="s">
        <v>293</v>
      </c>
      <c r="B1255" s="89" t="s">
        <v>1088</v>
      </c>
      <c r="C1255" s="98" t="s">
        <v>519</v>
      </c>
    </row>
    <row r="1256" spans="1:3" ht="15">
      <c r="A1256" s="90" t="s">
        <v>293</v>
      </c>
      <c r="B1256" s="89" t="s">
        <v>936</v>
      </c>
      <c r="C1256" s="98" t="s">
        <v>519</v>
      </c>
    </row>
    <row r="1257" spans="1:3" ht="15">
      <c r="A1257" s="90" t="s">
        <v>293</v>
      </c>
      <c r="B1257" s="89" t="s">
        <v>931</v>
      </c>
      <c r="C1257" s="98" t="s">
        <v>519</v>
      </c>
    </row>
    <row r="1258" spans="1:3" ht="15">
      <c r="A1258" s="90" t="s">
        <v>293</v>
      </c>
      <c r="B1258" s="89" t="s">
        <v>338</v>
      </c>
      <c r="C1258" s="98" t="s">
        <v>519</v>
      </c>
    </row>
    <row r="1259" spans="1:3" ht="15">
      <c r="A1259" s="90" t="s">
        <v>293</v>
      </c>
      <c r="B1259" s="89" t="s">
        <v>1091</v>
      </c>
      <c r="C1259" s="98" t="s">
        <v>519</v>
      </c>
    </row>
    <row r="1260" spans="1:3" ht="15">
      <c r="A1260" s="90" t="s">
        <v>293</v>
      </c>
      <c r="B1260" s="89" t="s">
        <v>299</v>
      </c>
      <c r="C1260" s="98" t="s">
        <v>519</v>
      </c>
    </row>
    <row r="1261" spans="1:3" ht="15">
      <c r="A1261" s="90" t="s">
        <v>293</v>
      </c>
      <c r="B1261" s="89" t="s">
        <v>1090</v>
      </c>
      <c r="C1261" s="98" t="s">
        <v>519</v>
      </c>
    </row>
    <row r="1262" spans="1:3" ht="15">
      <c r="A1262" s="90" t="s">
        <v>293</v>
      </c>
      <c r="B1262" s="89" t="s">
        <v>930</v>
      </c>
      <c r="C1262" s="98" t="s">
        <v>519</v>
      </c>
    </row>
    <row r="1263" spans="1:3" ht="15">
      <c r="A1263" s="90" t="s">
        <v>293</v>
      </c>
      <c r="B1263" s="89" t="s">
        <v>933</v>
      </c>
      <c r="C1263" s="98" t="s">
        <v>519</v>
      </c>
    </row>
    <row r="1264" spans="1:3" ht="15">
      <c r="A1264" s="90" t="s">
        <v>294</v>
      </c>
      <c r="B1264" s="89" t="s">
        <v>1146</v>
      </c>
      <c r="C1264" s="98" t="s">
        <v>518</v>
      </c>
    </row>
    <row r="1265" spans="1:3" ht="15">
      <c r="A1265" s="90" t="s">
        <v>294</v>
      </c>
      <c r="B1265" s="89" t="s">
        <v>945</v>
      </c>
      <c r="C1265" s="98" t="s">
        <v>518</v>
      </c>
    </row>
    <row r="1266" spans="1:3" ht="15">
      <c r="A1266" s="90" t="s">
        <v>294</v>
      </c>
      <c r="B1266" s="89" t="s">
        <v>966</v>
      </c>
      <c r="C1266" s="98" t="s">
        <v>518</v>
      </c>
    </row>
    <row r="1267" spans="1:3" ht="15">
      <c r="A1267" s="90" t="s">
        <v>294</v>
      </c>
      <c r="B1267" s="89" t="s">
        <v>934</v>
      </c>
      <c r="C1267" s="98" t="s">
        <v>518</v>
      </c>
    </row>
    <row r="1268" spans="1:3" ht="15">
      <c r="A1268" s="90" t="s">
        <v>294</v>
      </c>
      <c r="B1268" s="89" t="s">
        <v>1087</v>
      </c>
      <c r="C1268" s="98" t="s">
        <v>518</v>
      </c>
    </row>
    <row r="1269" spans="1:3" ht="15">
      <c r="A1269" s="90" t="s">
        <v>294</v>
      </c>
      <c r="B1269" s="89" t="s">
        <v>1088</v>
      </c>
      <c r="C1269" s="98" t="s">
        <v>518</v>
      </c>
    </row>
    <row r="1270" spans="1:3" ht="15">
      <c r="A1270" s="90" t="s">
        <v>294</v>
      </c>
      <c r="B1270" s="89" t="s">
        <v>936</v>
      </c>
      <c r="C1270" s="98" t="s">
        <v>518</v>
      </c>
    </row>
    <row r="1271" spans="1:3" ht="15">
      <c r="A1271" s="90" t="s">
        <v>294</v>
      </c>
      <c r="B1271" s="89" t="s">
        <v>931</v>
      </c>
      <c r="C1271" s="98" t="s">
        <v>518</v>
      </c>
    </row>
    <row r="1272" spans="1:3" ht="15">
      <c r="A1272" s="90" t="s">
        <v>294</v>
      </c>
      <c r="B1272" s="89" t="s">
        <v>338</v>
      </c>
      <c r="C1272" s="98" t="s">
        <v>518</v>
      </c>
    </row>
    <row r="1273" spans="1:3" ht="15">
      <c r="A1273" s="90" t="s">
        <v>294</v>
      </c>
      <c r="B1273" s="89" t="s">
        <v>1091</v>
      </c>
      <c r="C1273" s="98" t="s">
        <v>518</v>
      </c>
    </row>
    <row r="1274" spans="1:3" ht="15">
      <c r="A1274" s="90" t="s">
        <v>294</v>
      </c>
      <c r="B1274" s="89" t="s">
        <v>299</v>
      </c>
      <c r="C1274" s="98" t="s">
        <v>518</v>
      </c>
    </row>
    <row r="1275" spans="1:3" ht="15">
      <c r="A1275" s="90" t="s">
        <v>294</v>
      </c>
      <c r="B1275" s="89" t="s">
        <v>1090</v>
      </c>
      <c r="C1275" s="98" t="s">
        <v>518</v>
      </c>
    </row>
    <row r="1276" spans="1:3" ht="15">
      <c r="A1276" s="90" t="s">
        <v>294</v>
      </c>
      <c r="B1276" s="89" t="s">
        <v>930</v>
      </c>
      <c r="C1276" s="98" t="s">
        <v>518</v>
      </c>
    </row>
    <row r="1277" spans="1:3" ht="15">
      <c r="A1277" s="90" t="s">
        <v>294</v>
      </c>
      <c r="B1277" s="89" t="s">
        <v>933</v>
      </c>
      <c r="C1277" s="98" t="s">
        <v>518</v>
      </c>
    </row>
    <row r="1278" spans="1:3" ht="15">
      <c r="A1278" s="90" t="s">
        <v>278</v>
      </c>
      <c r="B1278" s="89" t="s">
        <v>1146</v>
      </c>
      <c r="C1278" s="98" t="s">
        <v>495</v>
      </c>
    </row>
    <row r="1279" spans="1:3" ht="15">
      <c r="A1279" s="90" t="s">
        <v>278</v>
      </c>
      <c r="B1279" s="89" t="s">
        <v>945</v>
      </c>
      <c r="C1279" s="98" t="s">
        <v>495</v>
      </c>
    </row>
    <row r="1280" spans="1:3" ht="15">
      <c r="A1280" s="90" t="s">
        <v>278</v>
      </c>
      <c r="B1280" s="89" t="s">
        <v>966</v>
      </c>
      <c r="C1280" s="98" t="s">
        <v>495</v>
      </c>
    </row>
    <row r="1281" spans="1:3" ht="15">
      <c r="A1281" s="90" t="s">
        <v>278</v>
      </c>
      <c r="B1281" s="89" t="s">
        <v>934</v>
      </c>
      <c r="C1281" s="98" t="s">
        <v>495</v>
      </c>
    </row>
    <row r="1282" spans="1:3" ht="15">
      <c r="A1282" s="90" t="s">
        <v>278</v>
      </c>
      <c r="B1282" s="89" t="s">
        <v>1087</v>
      </c>
      <c r="C1282" s="98" t="s">
        <v>495</v>
      </c>
    </row>
    <row r="1283" spans="1:3" ht="15">
      <c r="A1283" s="90" t="s">
        <v>278</v>
      </c>
      <c r="B1283" s="89" t="s">
        <v>1088</v>
      </c>
      <c r="C1283" s="98" t="s">
        <v>495</v>
      </c>
    </row>
    <row r="1284" spans="1:3" ht="15">
      <c r="A1284" s="90" t="s">
        <v>278</v>
      </c>
      <c r="B1284" s="89" t="s">
        <v>936</v>
      </c>
      <c r="C1284" s="98" t="s">
        <v>495</v>
      </c>
    </row>
    <row r="1285" spans="1:3" ht="15">
      <c r="A1285" s="90" t="s">
        <v>278</v>
      </c>
      <c r="B1285" s="89" t="s">
        <v>931</v>
      </c>
      <c r="C1285" s="98" t="s">
        <v>495</v>
      </c>
    </row>
    <row r="1286" spans="1:3" ht="15">
      <c r="A1286" s="90" t="s">
        <v>278</v>
      </c>
      <c r="B1286" s="89" t="s">
        <v>338</v>
      </c>
      <c r="C1286" s="98" t="s">
        <v>495</v>
      </c>
    </row>
    <row r="1287" spans="1:3" ht="15">
      <c r="A1287" s="90" t="s">
        <v>278</v>
      </c>
      <c r="B1287" s="89" t="s">
        <v>1091</v>
      </c>
      <c r="C1287" s="98" t="s">
        <v>495</v>
      </c>
    </row>
    <row r="1288" spans="1:3" ht="15">
      <c r="A1288" s="90" t="s">
        <v>278</v>
      </c>
      <c r="B1288" s="89" t="s">
        <v>299</v>
      </c>
      <c r="C1288" s="98" t="s">
        <v>495</v>
      </c>
    </row>
    <row r="1289" spans="1:3" ht="15">
      <c r="A1289" s="90" t="s">
        <v>278</v>
      </c>
      <c r="B1289" s="89" t="s">
        <v>1090</v>
      </c>
      <c r="C1289" s="98" t="s">
        <v>495</v>
      </c>
    </row>
    <row r="1290" spans="1:3" ht="15">
      <c r="A1290" s="90" t="s">
        <v>278</v>
      </c>
      <c r="B1290" s="89" t="s">
        <v>930</v>
      </c>
      <c r="C1290" s="98" t="s">
        <v>495</v>
      </c>
    </row>
    <row r="1291" spans="1:3" ht="15">
      <c r="A1291" s="90" t="s">
        <v>278</v>
      </c>
      <c r="B1291" s="89" t="s">
        <v>933</v>
      </c>
      <c r="C1291" s="98" t="s">
        <v>495</v>
      </c>
    </row>
    <row r="1292" spans="1:3" ht="15">
      <c r="A1292" s="90" t="s">
        <v>277</v>
      </c>
      <c r="B1292" s="89" t="s">
        <v>1080</v>
      </c>
      <c r="C1292" s="98" t="s">
        <v>494</v>
      </c>
    </row>
    <row r="1293" spans="1:3" ht="15">
      <c r="A1293" s="90" t="s">
        <v>277</v>
      </c>
      <c r="B1293" s="89" t="s">
        <v>1081</v>
      </c>
      <c r="C1293" s="98" t="s">
        <v>494</v>
      </c>
    </row>
    <row r="1294" spans="1:3" ht="15">
      <c r="A1294" s="90" t="s">
        <v>277</v>
      </c>
      <c r="B1294" s="89" t="s">
        <v>1082</v>
      </c>
      <c r="C1294" s="98" t="s">
        <v>494</v>
      </c>
    </row>
    <row r="1295" spans="1:3" ht="15">
      <c r="A1295" s="90" t="s">
        <v>277</v>
      </c>
      <c r="B1295" s="89" t="s">
        <v>930</v>
      </c>
      <c r="C1295" s="98" t="s">
        <v>494</v>
      </c>
    </row>
    <row r="1296" spans="1:3" ht="15">
      <c r="A1296" s="90" t="s">
        <v>277</v>
      </c>
      <c r="B1296" s="89" t="s">
        <v>940</v>
      </c>
      <c r="C1296" s="98" t="s">
        <v>494</v>
      </c>
    </row>
    <row r="1297" spans="1:3" ht="15">
      <c r="A1297" s="90" t="s">
        <v>277</v>
      </c>
      <c r="B1297" s="89" t="s">
        <v>941</v>
      </c>
      <c r="C1297" s="98" t="s">
        <v>494</v>
      </c>
    </row>
    <row r="1298" spans="1:3" ht="15">
      <c r="A1298" s="90" t="s">
        <v>277</v>
      </c>
      <c r="B1298" s="89" t="s">
        <v>1083</v>
      </c>
      <c r="C1298" s="98" t="s">
        <v>494</v>
      </c>
    </row>
    <row r="1299" spans="1:3" ht="15">
      <c r="A1299" s="90" t="s">
        <v>277</v>
      </c>
      <c r="B1299" s="89" t="s">
        <v>931</v>
      </c>
      <c r="C1299" s="98" t="s">
        <v>494</v>
      </c>
    </row>
    <row r="1300" spans="1:3" ht="15">
      <c r="A1300" s="90" t="s">
        <v>277</v>
      </c>
      <c r="B1300" s="89" t="s">
        <v>1084</v>
      </c>
      <c r="C1300" s="98" t="s">
        <v>494</v>
      </c>
    </row>
    <row r="1301" spans="1:3" ht="15">
      <c r="A1301" s="90" t="s">
        <v>277</v>
      </c>
      <c r="B1301" s="89" t="s">
        <v>1085</v>
      </c>
      <c r="C1301" s="98" t="s">
        <v>494</v>
      </c>
    </row>
    <row r="1302" spans="1:3" ht="15">
      <c r="A1302" s="90" t="s">
        <v>277</v>
      </c>
      <c r="B1302" s="89" t="s">
        <v>1086</v>
      </c>
      <c r="C1302" s="98" t="s">
        <v>494</v>
      </c>
    </row>
    <row r="1303" spans="1:3" ht="15">
      <c r="A1303" s="90" t="s">
        <v>277</v>
      </c>
      <c r="B1303" s="89" t="s">
        <v>942</v>
      </c>
      <c r="C1303" s="98" t="s">
        <v>494</v>
      </c>
    </row>
    <row r="1304" spans="1:3" ht="15">
      <c r="A1304" s="90" t="s">
        <v>277</v>
      </c>
      <c r="B1304" s="89" t="s">
        <v>938</v>
      </c>
      <c r="C1304" s="98" t="s">
        <v>494</v>
      </c>
    </row>
    <row r="1305" spans="1:3" ht="15">
      <c r="A1305" s="90" t="s">
        <v>277</v>
      </c>
      <c r="B1305" s="89" t="s">
        <v>935</v>
      </c>
      <c r="C1305" s="98" t="s">
        <v>494</v>
      </c>
    </row>
    <row r="1306" spans="1:3" ht="15">
      <c r="A1306" s="90" t="s">
        <v>277</v>
      </c>
      <c r="B1306" s="89" t="s">
        <v>934</v>
      </c>
      <c r="C1306" s="98" t="s">
        <v>494</v>
      </c>
    </row>
    <row r="1307" spans="1:3" ht="15">
      <c r="A1307" s="90" t="s">
        <v>277</v>
      </c>
      <c r="B1307" s="89" t="s">
        <v>1087</v>
      </c>
      <c r="C1307" s="98" t="s">
        <v>494</v>
      </c>
    </row>
    <row r="1308" spans="1:3" ht="15">
      <c r="A1308" s="90" t="s">
        <v>277</v>
      </c>
      <c r="B1308" s="89" t="s">
        <v>1088</v>
      </c>
      <c r="C1308" s="98" t="s">
        <v>494</v>
      </c>
    </row>
    <row r="1309" spans="1:3" ht="15">
      <c r="A1309" s="90" t="s">
        <v>277</v>
      </c>
      <c r="B1309" s="89" t="s">
        <v>936</v>
      </c>
      <c r="C1309" s="98" t="s">
        <v>494</v>
      </c>
    </row>
    <row r="1310" spans="1:3" ht="15">
      <c r="A1310" s="90" t="s">
        <v>277</v>
      </c>
      <c r="B1310" s="89" t="s">
        <v>1089</v>
      </c>
      <c r="C1310" s="98" t="s">
        <v>494</v>
      </c>
    </row>
    <row r="1311" spans="1:3" ht="15">
      <c r="A1311" s="90" t="s">
        <v>277</v>
      </c>
      <c r="B1311" s="89" t="s">
        <v>943</v>
      </c>
      <c r="C1311" s="98" t="s">
        <v>494</v>
      </c>
    </row>
    <row r="1312" spans="1:3" ht="15">
      <c r="A1312" s="90" t="s">
        <v>277</v>
      </c>
      <c r="B1312" s="89" t="s">
        <v>1090</v>
      </c>
      <c r="C1312" s="98" t="s">
        <v>494</v>
      </c>
    </row>
    <row r="1313" spans="1:3" ht="15">
      <c r="A1313" s="90" t="s">
        <v>277</v>
      </c>
      <c r="B1313" s="89" t="s">
        <v>933</v>
      </c>
      <c r="C1313" s="98" t="s">
        <v>494</v>
      </c>
    </row>
    <row r="1314" spans="1:3" ht="15">
      <c r="A1314" s="90" t="s">
        <v>277</v>
      </c>
      <c r="B1314" s="89" t="s">
        <v>338</v>
      </c>
      <c r="C1314" s="98" t="s">
        <v>494</v>
      </c>
    </row>
    <row r="1315" spans="1:3" ht="15">
      <c r="A1315" s="90" t="s">
        <v>277</v>
      </c>
      <c r="B1315" s="89" t="s">
        <v>1091</v>
      </c>
      <c r="C1315" s="98" t="s">
        <v>494</v>
      </c>
    </row>
    <row r="1316" spans="1:3" ht="15">
      <c r="A1316" s="90" t="s">
        <v>277</v>
      </c>
      <c r="B1316" s="89" t="s">
        <v>299</v>
      </c>
      <c r="C1316" s="98" t="s">
        <v>494</v>
      </c>
    </row>
    <row r="1317" spans="1:3" ht="15">
      <c r="A1317" s="90" t="s">
        <v>276</v>
      </c>
      <c r="B1317" s="89" t="s">
        <v>1080</v>
      </c>
      <c r="C1317" s="98" t="s">
        <v>493</v>
      </c>
    </row>
    <row r="1318" spans="1:3" ht="15">
      <c r="A1318" s="90" t="s">
        <v>276</v>
      </c>
      <c r="B1318" s="89" t="s">
        <v>1081</v>
      </c>
      <c r="C1318" s="98" t="s">
        <v>493</v>
      </c>
    </row>
    <row r="1319" spans="1:3" ht="15">
      <c r="A1319" s="90" t="s">
        <v>276</v>
      </c>
      <c r="B1319" s="89" t="s">
        <v>1082</v>
      </c>
      <c r="C1319" s="98" t="s">
        <v>493</v>
      </c>
    </row>
    <row r="1320" spans="1:3" ht="15">
      <c r="A1320" s="90" t="s">
        <v>276</v>
      </c>
      <c r="B1320" s="89" t="s">
        <v>930</v>
      </c>
      <c r="C1320" s="98" t="s">
        <v>493</v>
      </c>
    </row>
    <row r="1321" spans="1:3" ht="15">
      <c r="A1321" s="90" t="s">
        <v>276</v>
      </c>
      <c r="B1321" s="89" t="s">
        <v>940</v>
      </c>
      <c r="C1321" s="98" t="s">
        <v>493</v>
      </c>
    </row>
    <row r="1322" spans="1:3" ht="15">
      <c r="A1322" s="90" t="s">
        <v>276</v>
      </c>
      <c r="B1322" s="89" t="s">
        <v>941</v>
      </c>
      <c r="C1322" s="98" t="s">
        <v>493</v>
      </c>
    </row>
    <row r="1323" spans="1:3" ht="15">
      <c r="A1323" s="90" t="s">
        <v>276</v>
      </c>
      <c r="B1323" s="89" t="s">
        <v>1083</v>
      </c>
      <c r="C1323" s="98" t="s">
        <v>493</v>
      </c>
    </row>
    <row r="1324" spans="1:3" ht="15">
      <c r="A1324" s="90" t="s">
        <v>276</v>
      </c>
      <c r="B1324" s="89" t="s">
        <v>931</v>
      </c>
      <c r="C1324" s="98" t="s">
        <v>493</v>
      </c>
    </row>
    <row r="1325" spans="1:3" ht="15">
      <c r="A1325" s="90" t="s">
        <v>276</v>
      </c>
      <c r="B1325" s="89" t="s">
        <v>1084</v>
      </c>
      <c r="C1325" s="98" t="s">
        <v>493</v>
      </c>
    </row>
    <row r="1326" spans="1:3" ht="15">
      <c r="A1326" s="90" t="s">
        <v>276</v>
      </c>
      <c r="B1326" s="89" t="s">
        <v>1085</v>
      </c>
      <c r="C1326" s="98" t="s">
        <v>493</v>
      </c>
    </row>
    <row r="1327" spans="1:3" ht="15">
      <c r="A1327" s="90" t="s">
        <v>276</v>
      </c>
      <c r="B1327" s="89" t="s">
        <v>1086</v>
      </c>
      <c r="C1327" s="98" t="s">
        <v>493</v>
      </c>
    </row>
    <row r="1328" spans="1:3" ht="15">
      <c r="A1328" s="90" t="s">
        <v>276</v>
      </c>
      <c r="B1328" s="89" t="s">
        <v>942</v>
      </c>
      <c r="C1328" s="98" t="s">
        <v>493</v>
      </c>
    </row>
    <row r="1329" spans="1:3" ht="15">
      <c r="A1329" s="90" t="s">
        <v>276</v>
      </c>
      <c r="B1329" s="89" t="s">
        <v>938</v>
      </c>
      <c r="C1329" s="98" t="s">
        <v>493</v>
      </c>
    </row>
    <row r="1330" spans="1:3" ht="15">
      <c r="A1330" s="90" t="s">
        <v>276</v>
      </c>
      <c r="B1330" s="89" t="s">
        <v>935</v>
      </c>
      <c r="C1330" s="98" t="s">
        <v>493</v>
      </c>
    </row>
    <row r="1331" spans="1:3" ht="15">
      <c r="A1331" s="90" t="s">
        <v>276</v>
      </c>
      <c r="B1331" s="89" t="s">
        <v>934</v>
      </c>
      <c r="C1331" s="98" t="s">
        <v>493</v>
      </c>
    </row>
    <row r="1332" spans="1:3" ht="15">
      <c r="A1332" s="90" t="s">
        <v>276</v>
      </c>
      <c r="B1332" s="89" t="s">
        <v>1087</v>
      </c>
      <c r="C1332" s="98" t="s">
        <v>493</v>
      </c>
    </row>
    <row r="1333" spans="1:3" ht="15">
      <c r="A1333" s="90" t="s">
        <v>276</v>
      </c>
      <c r="B1333" s="89" t="s">
        <v>1088</v>
      </c>
      <c r="C1333" s="98" t="s">
        <v>493</v>
      </c>
    </row>
    <row r="1334" spans="1:3" ht="15">
      <c r="A1334" s="90" t="s">
        <v>276</v>
      </c>
      <c r="B1334" s="89" t="s">
        <v>936</v>
      </c>
      <c r="C1334" s="98" t="s">
        <v>493</v>
      </c>
    </row>
    <row r="1335" spans="1:3" ht="15">
      <c r="A1335" s="90" t="s">
        <v>276</v>
      </c>
      <c r="B1335" s="89" t="s">
        <v>1089</v>
      </c>
      <c r="C1335" s="98" t="s">
        <v>493</v>
      </c>
    </row>
    <row r="1336" spans="1:3" ht="15">
      <c r="A1336" s="90" t="s">
        <v>276</v>
      </c>
      <c r="B1336" s="89" t="s">
        <v>943</v>
      </c>
      <c r="C1336" s="98" t="s">
        <v>493</v>
      </c>
    </row>
    <row r="1337" spans="1:3" ht="15">
      <c r="A1337" s="90" t="s">
        <v>276</v>
      </c>
      <c r="B1337" s="89" t="s">
        <v>1090</v>
      </c>
      <c r="C1337" s="98" t="s">
        <v>493</v>
      </c>
    </row>
    <row r="1338" spans="1:3" ht="15">
      <c r="A1338" s="90" t="s">
        <v>276</v>
      </c>
      <c r="B1338" s="89" t="s">
        <v>933</v>
      </c>
      <c r="C1338" s="98" t="s">
        <v>493</v>
      </c>
    </row>
    <row r="1339" spans="1:3" ht="15">
      <c r="A1339" s="90" t="s">
        <v>276</v>
      </c>
      <c r="B1339" s="89" t="s">
        <v>338</v>
      </c>
      <c r="C1339" s="98" t="s">
        <v>493</v>
      </c>
    </row>
    <row r="1340" spans="1:3" ht="15">
      <c r="A1340" s="90" t="s">
        <v>276</v>
      </c>
      <c r="B1340" s="89" t="s">
        <v>1091</v>
      </c>
      <c r="C1340" s="98" t="s">
        <v>493</v>
      </c>
    </row>
    <row r="1341" spans="1:3" ht="15">
      <c r="A1341" s="90" t="s">
        <v>276</v>
      </c>
      <c r="B1341" s="89" t="s">
        <v>299</v>
      </c>
      <c r="C1341" s="98" t="s">
        <v>493</v>
      </c>
    </row>
    <row r="1342" spans="1:3" ht="15">
      <c r="A1342" s="90" t="s">
        <v>275</v>
      </c>
      <c r="B1342" s="89" t="s">
        <v>1147</v>
      </c>
      <c r="C1342" s="98" t="s">
        <v>492</v>
      </c>
    </row>
    <row r="1343" spans="1:3" ht="15">
      <c r="A1343" s="90" t="s">
        <v>275</v>
      </c>
      <c r="B1343" s="89" t="s">
        <v>1087</v>
      </c>
      <c r="C1343" s="98" t="s">
        <v>492</v>
      </c>
    </row>
    <row r="1344" spans="1:3" ht="15">
      <c r="A1344" s="90" t="s">
        <v>275</v>
      </c>
      <c r="B1344" s="89" t="s">
        <v>1092</v>
      </c>
      <c r="C1344" s="98" t="s">
        <v>492</v>
      </c>
    </row>
    <row r="1345" spans="1:3" ht="15">
      <c r="A1345" s="90" t="s">
        <v>275</v>
      </c>
      <c r="B1345" s="89" t="s">
        <v>945</v>
      </c>
      <c r="C1345" s="98" t="s">
        <v>492</v>
      </c>
    </row>
    <row r="1346" spans="1:3" ht="15">
      <c r="A1346" s="90" t="s">
        <v>275</v>
      </c>
      <c r="B1346" s="89" t="s">
        <v>338</v>
      </c>
      <c r="C1346" s="98" t="s">
        <v>492</v>
      </c>
    </row>
    <row r="1347" spans="1:3" ht="15">
      <c r="A1347" s="90" t="s">
        <v>275</v>
      </c>
      <c r="B1347" s="89" t="s">
        <v>1148</v>
      </c>
      <c r="C1347" s="98" t="s">
        <v>492</v>
      </c>
    </row>
    <row r="1348" spans="1:3" ht="15">
      <c r="A1348" s="90" t="s">
        <v>275</v>
      </c>
      <c r="B1348" s="89" t="s">
        <v>1123</v>
      </c>
      <c r="C1348" s="98" t="s">
        <v>492</v>
      </c>
    </row>
    <row r="1349" spans="1:3" ht="15">
      <c r="A1349" s="90" t="s">
        <v>275</v>
      </c>
      <c r="B1349" s="89" t="s">
        <v>959</v>
      </c>
      <c r="C1349" s="98" t="s">
        <v>492</v>
      </c>
    </row>
    <row r="1350" spans="1:3" ht="15">
      <c r="A1350" s="90" t="s">
        <v>275</v>
      </c>
      <c r="B1350" s="89" t="s">
        <v>960</v>
      </c>
      <c r="C1350" s="98" t="s">
        <v>492</v>
      </c>
    </row>
    <row r="1351" spans="1:3" ht="15">
      <c r="A1351" s="90" t="s">
        <v>275</v>
      </c>
      <c r="B1351" s="89" t="s">
        <v>961</v>
      </c>
      <c r="C1351" s="98" t="s">
        <v>492</v>
      </c>
    </row>
    <row r="1352" spans="1:3" ht="15">
      <c r="A1352" s="90" t="s">
        <v>275</v>
      </c>
      <c r="B1352" s="89" t="s">
        <v>962</v>
      </c>
      <c r="C1352" s="98" t="s">
        <v>492</v>
      </c>
    </row>
    <row r="1353" spans="1:3" ht="15">
      <c r="A1353" s="90" t="s">
        <v>275</v>
      </c>
      <c r="B1353" s="89" t="s">
        <v>963</v>
      </c>
      <c r="C1353" s="98" t="s">
        <v>492</v>
      </c>
    </row>
    <row r="1354" spans="1:3" ht="15">
      <c r="A1354" s="90" t="s">
        <v>275</v>
      </c>
      <c r="B1354" s="89" t="s">
        <v>964</v>
      </c>
      <c r="C1354" s="98" t="s">
        <v>492</v>
      </c>
    </row>
    <row r="1355" spans="1:3" ht="15">
      <c r="A1355" s="90" t="s">
        <v>275</v>
      </c>
      <c r="B1355" s="89" t="s">
        <v>965</v>
      </c>
      <c r="C1355" s="98" t="s">
        <v>492</v>
      </c>
    </row>
    <row r="1356" spans="1:3" ht="15">
      <c r="A1356" s="90" t="s">
        <v>275</v>
      </c>
      <c r="B1356" s="89" t="s">
        <v>1149</v>
      </c>
      <c r="C1356" s="98" t="s">
        <v>492</v>
      </c>
    </row>
    <row r="1357" spans="1:3" ht="15">
      <c r="A1357" s="90" t="s">
        <v>275</v>
      </c>
      <c r="B1357" s="89" t="s">
        <v>981</v>
      </c>
      <c r="C1357" s="98" t="s">
        <v>492</v>
      </c>
    </row>
    <row r="1358" spans="1:3" ht="15">
      <c r="A1358" s="90" t="s">
        <v>275</v>
      </c>
      <c r="B1358" s="89" t="s">
        <v>982</v>
      </c>
      <c r="C1358" s="98" t="s">
        <v>492</v>
      </c>
    </row>
    <row r="1359" spans="1:3" ht="15">
      <c r="A1359" s="90" t="s">
        <v>275</v>
      </c>
      <c r="B1359" s="89" t="s">
        <v>1150</v>
      </c>
      <c r="C1359" s="98" t="s">
        <v>492</v>
      </c>
    </row>
    <row r="1360" spans="1:3" ht="15">
      <c r="A1360" s="90" t="s">
        <v>275</v>
      </c>
      <c r="B1360" s="89" t="s">
        <v>1151</v>
      </c>
      <c r="C1360" s="98" t="s">
        <v>492</v>
      </c>
    </row>
    <row r="1361" spans="1:3" ht="15">
      <c r="A1361" s="90" t="s">
        <v>275</v>
      </c>
      <c r="B1361" s="89" t="s">
        <v>983</v>
      </c>
      <c r="C1361" s="98" t="s">
        <v>492</v>
      </c>
    </row>
    <row r="1362" spans="1:3" ht="15">
      <c r="A1362" s="90" t="s">
        <v>275</v>
      </c>
      <c r="B1362" s="89" t="s">
        <v>1152</v>
      </c>
      <c r="C1362" s="98" t="s">
        <v>492</v>
      </c>
    </row>
    <row r="1363" spans="1:3" ht="15">
      <c r="A1363" s="90" t="s">
        <v>275</v>
      </c>
      <c r="B1363" s="89" t="s">
        <v>1094</v>
      </c>
      <c r="C1363" s="98" t="s">
        <v>492</v>
      </c>
    </row>
    <row r="1364" spans="1:3" ht="15">
      <c r="A1364" s="90" t="s">
        <v>275</v>
      </c>
      <c r="B1364" s="89" t="s">
        <v>1153</v>
      </c>
      <c r="C1364" s="98" t="s">
        <v>492</v>
      </c>
    </row>
    <row r="1365" spans="1:3" ht="15">
      <c r="A1365" s="90" t="s">
        <v>275</v>
      </c>
      <c r="B1365" s="89" t="s">
        <v>1091</v>
      </c>
      <c r="C1365" s="98" t="s">
        <v>492</v>
      </c>
    </row>
    <row r="1366" spans="1:3" ht="15">
      <c r="A1366" s="90" t="s">
        <v>275</v>
      </c>
      <c r="B1366" s="89" t="s">
        <v>299</v>
      </c>
      <c r="C1366" s="98" t="s">
        <v>492</v>
      </c>
    </row>
    <row r="1367" spans="1:3" ht="15">
      <c r="A1367" s="90" t="s">
        <v>2124</v>
      </c>
      <c r="B1367" s="89" t="s">
        <v>2470</v>
      </c>
      <c r="C1367" s="98" t="s">
        <v>2212</v>
      </c>
    </row>
    <row r="1368" spans="1:3" ht="15">
      <c r="A1368" s="90" t="s">
        <v>2124</v>
      </c>
      <c r="B1368" s="89" t="s">
        <v>2471</v>
      </c>
      <c r="C1368" s="98" t="s">
        <v>2212</v>
      </c>
    </row>
    <row r="1369" spans="1:3" ht="15">
      <c r="A1369" s="90" t="s">
        <v>2124</v>
      </c>
      <c r="B1369" s="89" t="s">
        <v>1108</v>
      </c>
      <c r="C1369" s="98" t="s">
        <v>2212</v>
      </c>
    </row>
    <row r="1370" spans="1:3" ht="15">
      <c r="A1370" s="90" t="s">
        <v>2124</v>
      </c>
      <c r="B1370" s="89" t="s">
        <v>1010</v>
      </c>
      <c r="C1370" s="98" t="s">
        <v>2212</v>
      </c>
    </row>
    <row r="1371" spans="1:3" ht="15">
      <c r="A1371" s="90" t="s">
        <v>2124</v>
      </c>
      <c r="B1371" s="89" t="s">
        <v>815</v>
      </c>
      <c r="C1371" s="98" t="s">
        <v>2212</v>
      </c>
    </row>
    <row r="1372" spans="1:3" ht="15">
      <c r="A1372" s="90" t="s">
        <v>2124</v>
      </c>
      <c r="B1372" s="89" t="s">
        <v>1109</v>
      </c>
      <c r="C1372" s="98" t="s">
        <v>2212</v>
      </c>
    </row>
    <row r="1373" spans="1:3" ht="15">
      <c r="A1373" s="90" t="s">
        <v>2124</v>
      </c>
      <c r="B1373" s="89" t="s">
        <v>1036</v>
      </c>
      <c r="C1373" s="98" t="s">
        <v>2212</v>
      </c>
    </row>
    <row r="1374" spans="1:3" ht="15">
      <c r="A1374" s="90" t="s">
        <v>2124</v>
      </c>
      <c r="B1374" s="89" t="s">
        <v>2472</v>
      </c>
      <c r="C1374" s="98" t="s">
        <v>2212</v>
      </c>
    </row>
    <row r="1375" spans="1:3" ht="15">
      <c r="A1375" s="90" t="s">
        <v>2124</v>
      </c>
      <c r="B1375" s="89" t="s">
        <v>945</v>
      </c>
      <c r="C1375" s="98" t="s">
        <v>2212</v>
      </c>
    </row>
    <row r="1376" spans="1:3" ht="15">
      <c r="A1376" s="90" t="s">
        <v>2124</v>
      </c>
      <c r="B1376" s="89" t="s">
        <v>966</v>
      </c>
      <c r="C1376" s="98" t="s">
        <v>2212</v>
      </c>
    </row>
    <row r="1377" spans="1:3" ht="15">
      <c r="A1377" s="90" t="s">
        <v>2124</v>
      </c>
      <c r="B1377" s="89" t="s">
        <v>1090</v>
      </c>
      <c r="C1377" s="98" t="s">
        <v>2212</v>
      </c>
    </row>
    <row r="1378" spans="1:3" ht="15">
      <c r="A1378" s="90" t="s">
        <v>2124</v>
      </c>
      <c r="B1378" s="89" t="s">
        <v>930</v>
      </c>
      <c r="C1378" s="98" t="s">
        <v>2212</v>
      </c>
    </row>
    <row r="1379" spans="1:3" ht="15">
      <c r="A1379" s="90" t="s">
        <v>2124</v>
      </c>
      <c r="B1379" s="89" t="s">
        <v>933</v>
      </c>
      <c r="C1379" s="98" t="s">
        <v>2212</v>
      </c>
    </row>
    <row r="1380" spans="1:3" ht="15">
      <c r="A1380" s="90" t="s">
        <v>272</v>
      </c>
      <c r="B1380" s="89" t="s">
        <v>1080</v>
      </c>
      <c r="C1380" s="98" t="s">
        <v>488</v>
      </c>
    </row>
    <row r="1381" spans="1:3" ht="15">
      <c r="A1381" s="90" t="s">
        <v>272</v>
      </c>
      <c r="B1381" s="89" t="s">
        <v>1081</v>
      </c>
      <c r="C1381" s="98" t="s">
        <v>488</v>
      </c>
    </row>
    <row r="1382" spans="1:3" ht="15">
      <c r="A1382" s="90" t="s">
        <v>272</v>
      </c>
      <c r="B1382" s="89" t="s">
        <v>1082</v>
      </c>
      <c r="C1382" s="98" t="s">
        <v>488</v>
      </c>
    </row>
    <row r="1383" spans="1:3" ht="15">
      <c r="A1383" s="90" t="s">
        <v>272</v>
      </c>
      <c r="B1383" s="89" t="s">
        <v>930</v>
      </c>
      <c r="C1383" s="98" t="s">
        <v>488</v>
      </c>
    </row>
    <row r="1384" spans="1:3" ht="15">
      <c r="A1384" s="90" t="s">
        <v>272</v>
      </c>
      <c r="B1384" s="89" t="s">
        <v>940</v>
      </c>
      <c r="C1384" s="98" t="s">
        <v>488</v>
      </c>
    </row>
    <row r="1385" spans="1:3" ht="15">
      <c r="A1385" s="90" t="s">
        <v>272</v>
      </c>
      <c r="B1385" s="89" t="s">
        <v>941</v>
      </c>
      <c r="C1385" s="98" t="s">
        <v>488</v>
      </c>
    </row>
    <row r="1386" spans="1:3" ht="15">
      <c r="A1386" s="90" t="s">
        <v>272</v>
      </c>
      <c r="B1386" s="89" t="s">
        <v>1083</v>
      </c>
      <c r="C1386" s="98" t="s">
        <v>488</v>
      </c>
    </row>
    <row r="1387" spans="1:3" ht="15">
      <c r="A1387" s="90" t="s">
        <v>272</v>
      </c>
      <c r="B1387" s="89" t="s">
        <v>931</v>
      </c>
      <c r="C1387" s="98" t="s">
        <v>488</v>
      </c>
    </row>
    <row r="1388" spans="1:3" ht="15">
      <c r="A1388" s="90" t="s">
        <v>272</v>
      </c>
      <c r="B1388" s="89" t="s">
        <v>1084</v>
      </c>
      <c r="C1388" s="98" t="s">
        <v>488</v>
      </c>
    </row>
    <row r="1389" spans="1:3" ht="15">
      <c r="A1389" s="90" t="s">
        <v>272</v>
      </c>
      <c r="B1389" s="89" t="s">
        <v>1085</v>
      </c>
      <c r="C1389" s="98" t="s">
        <v>488</v>
      </c>
    </row>
    <row r="1390" spans="1:3" ht="15">
      <c r="A1390" s="90" t="s">
        <v>272</v>
      </c>
      <c r="B1390" s="89" t="s">
        <v>1086</v>
      </c>
      <c r="C1390" s="98" t="s">
        <v>488</v>
      </c>
    </row>
    <row r="1391" spans="1:3" ht="15">
      <c r="A1391" s="90" t="s">
        <v>272</v>
      </c>
      <c r="B1391" s="89" t="s">
        <v>942</v>
      </c>
      <c r="C1391" s="98" t="s">
        <v>488</v>
      </c>
    </row>
    <row r="1392" spans="1:3" ht="15">
      <c r="A1392" s="90" t="s">
        <v>272</v>
      </c>
      <c r="B1392" s="89" t="s">
        <v>938</v>
      </c>
      <c r="C1392" s="98" t="s">
        <v>488</v>
      </c>
    </row>
    <row r="1393" spans="1:3" ht="15">
      <c r="A1393" s="90" t="s">
        <v>272</v>
      </c>
      <c r="B1393" s="89" t="s">
        <v>935</v>
      </c>
      <c r="C1393" s="98" t="s">
        <v>488</v>
      </c>
    </row>
    <row r="1394" spans="1:3" ht="15">
      <c r="A1394" s="90" t="s">
        <v>272</v>
      </c>
      <c r="B1394" s="89" t="s">
        <v>934</v>
      </c>
      <c r="C1394" s="98" t="s">
        <v>488</v>
      </c>
    </row>
    <row r="1395" spans="1:3" ht="15">
      <c r="A1395" s="90" t="s">
        <v>272</v>
      </c>
      <c r="B1395" s="89" t="s">
        <v>1087</v>
      </c>
      <c r="C1395" s="98" t="s">
        <v>488</v>
      </c>
    </row>
    <row r="1396" spans="1:3" ht="15">
      <c r="A1396" s="90" t="s">
        <v>272</v>
      </c>
      <c r="B1396" s="89" t="s">
        <v>1088</v>
      </c>
      <c r="C1396" s="98" t="s">
        <v>488</v>
      </c>
    </row>
    <row r="1397" spans="1:3" ht="15">
      <c r="A1397" s="90" t="s">
        <v>272</v>
      </c>
      <c r="B1397" s="89" t="s">
        <v>936</v>
      </c>
      <c r="C1397" s="98" t="s">
        <v>488</v>
      </c>
    </row>
    <row r="1398" spans="1:3" ht="15">
      <c r="A1398" s="90" t="s">
        <v>272</v>
      </c>
      <c r="B1398" s="89" t="s">
        <v>1089</v>
      </c>
      <c r="C1398" s="98" t="s">
        <v>488</v>
      </c>
    </row>
    <row r="1399" spans="1:3" ht="15">
      <c r="A1399" s="90" t="s">
        <v>272</v>
      </c>
      <c r="B1399" s="89" t="s">
        <v>943</v>
      </c>
      <c r="C1399" s="98" t="s">
        <v>488</v>
      </c>
    </row>
    <row r="1400" spans="1:3" ht="15">
      <c r="A1400" s="90" t="s">
        <v>272</v>
      </c>
      <c r="B1400" s="89" t="s">
        <v>1090</v>
      </c>
      <c r="C1400" s="98" t="s">
        <v>488</v>
      </c>
    </row>
    <row r="1401" spans="1:3" ht="15">
      <c r="A1401" s="90" t="s">
        <v>272</v>
      </c>
      <c r="B1401" s="89" t="s">
        <v>933</v>
      </c>
      <c r="C1401" s="98" t="s">
        <v>488</v>
      </c>
    </row>
    <row r="1402" spans="1:3" ht="15">
      <c r="A1402" s="90" t="s">
        <v>272</v>
      </c>
      <c r="B1402" s="89" t="s">
        <v>338</v>
      </c>
      <c r="C1402" s="98" t="s">
        <v>488</v>
      </c>
    </row>
    <row r="1403" spans="1:3" ht="15">
      <c r="A1403" s="90" t="s">
        <v>272</v>
      </c>
      <c r="B1403" s="89" t="s">
        <v>1091</v>
      </c>
      <c r="C1403" s="98" t="s">
        <v>488</v>
      </c>
    </row>
    <row r="1404" spans="1:3" ht="15">
      <c r="A1404" s="90" t="s">
        <v>272</v>
      </c>
      <c r="B1404" s="89" t="s">
        <v>299</v>
      </c>
      <c r="C1404" s="98" t="s">
        <v>488</v>
      </c>
    </row>
    <row r="1405" spans="1:3" ht="15">
      <c r="A1405" s="90" t="s">
        <v>2123</v>
      </c>
      <c r="B1405" s="89" t="s">
        <v>2473</v>
      </c>
      <c r="C1405" s="98" t="s">
        <v>2211</v>
      </c>
    </row>
    <row r="1406" spans="1:3" ht="15">
      <c r="A1406" s="90" t="s">
        <v>2123</v>
      </c>
      <c r="B1406" s="89" t="s">
        <v>1094</v>
      </c>
      <c r="C1406" s="98" t="s">
        <v>2211</v>
      </c>
    </row>
    <row r="1407" spans="1:3" ht="15">
      <c r="A1407" s="90" t="s">
        <v>2123</v>
      </c>
      <c r="B1407" s="89" t="s">
        <v>945</v>
      </c>
      <c r="C1407" s="98" t="s">
        <v>2211</v>
      </c>
    </row>
    <row r="1408" spans="1:3" ht="15">
      <c r="A1408" s="90" t="s">
        <v>2123</v>
      </c>
      <c r="B1408" s="89" t="s">
        <v>1092</v>
      </c>
      <c r="C1408" s="98" t="s">
        <v>2211</v>
      </c>
    </row>
    <row r="1409" spans="1:3" ht="15">
      <c r="A1409" s="90" t="s">
        <v>2123</v>
      </c>
      <c r="B1409" s="89" t="s">
        <v>1087</v>
      </c>
      <c r="C1409" s="98" t="s">
        <v>2211</v>
      </c>
    </row>
    <row r="1410" spans="1:3" ht="15">
      <c r="A1410" s="90" t="s">
        <v>2123</v>
      </c>
      <c r="B1410" s="89" t="s">
        <v>2474</v>
      </c>
      <c r="C1410" s="98" t="s">
        <v>2211</v>
      </c>
    </row>
    <row r="1411" spans="1:3" ht="15">
      <c r="A1411" s="90" t="s">
        <v>2123</v>
      </c>
      <c r="B1411" s="89" t="s">
        <v>1714</v>
      </c>
      <c r="C1411" s="98" t="s">
        <v>2211</v>
      </c>
    </row>
    <row r="1412" spans="1:3" ht="15">
      <c r="A1412" s="90" t="s">
        <v>2123</v>
      </c>
      <c r="B1412" s="89" t="s">
        <v>2475</v>
      </c>
      <c r="C1412" s="98" t="s">
        <v>2211</v>
      </c>
    </row>
    <row r="1413" spans="1:3" ht="15">
      <c r="A1413" s="90" t="s">
        <v>2123</v>
      </c>
      <c r="B1413" s="89" t="s">
        <v>1810</v>
      </c>
      <c r="C1413" s="98" t="s">
        <v>2211</v>
      </c>
    </row>
    <row r="1414" spans="1:3" ht="15">
      <c r="A1414" s="90" t="s">
        <v>2123</v>
      </c>
      <c r="B1414" s="89" t="s">
        <v>2476</v>
      </c>
      <c r="C1414" s="98" t="s">
        <v>2211</v>
      </c>
    </row>
    <row r="1415" spans="1:3" ht="15">
      <c r="A1415" s="90" t="s">
        <v>2123</v>
      </c>
      <c r="B1415" s="89" t="s">
        <v>2477</v>
      </c>
      <c r="C1415" s="98" t="s">
        <v>2211</v>
      </c>
    </row>
    <row r="1416" spans="1:3" ht="15">
      <c r="A1416" s="90" t="s">
        <v>2123</v>
      </c>
      <c r="B1416" s="89" t="s">
        <v>1081</v>
      </c>
      <c r="C1416" s="98" t="s">
        <v>2211</v>
      </c>
    </row>
    <row r="1417" spans="1:3" ht="15">
      <c r="A1417" s="90" t="s">
        <v>2123</v>
      </c>
      <c r="B1417" s="89" t="s">
        <v>1769</v>
      </c>
      <c r="C1417" s="98" t="s">
        <v>2211</v>
      </c>
    </row>
    <row r="1418" spans="1:3" ht="15">
      <c r="A1418" s="90" t="s">
        <v>2123</v>
      </c>
      <c r="B1418" s="89" t="s">
        <v>2478</v>
      </c>
      <c r="C1418" s="98" t="s">
        <v>2211</v>
      </c>
    </row>
    <row r="1419" spans="1:3" ht="15">
      <c r="A1419" s="90" t="s">
        <v>2123</v>
      </c>
      <c r="B1419" s="89" t="s">
        <v>2479</v>
      </c>
      <c r="C1419" s="98" t="s">
        <v>2211</v>
      </c>
    </row>
    <row r="1420" spans="1:3" ht="15">
      <c r="A1420" s="90" t="s">
        <v>2123</v>
      </c>
      <c r="B1420" s="89" t="s">
        <v>1899</v>
      </c>
      <c r="C1420" s="98" t="s">
        <v>2211</v>
      </c>
    </row>
    <row r="1421" spans="1:3" ht="15">
      <c r="A1421" s="90" t="s">
        <v>2123</v>
      </c>
      <c r="B1421" s="89" t="s">
        <v>2480</v>
      </c>
      <c r="C1421" s="98" t="s">
        <v>2211</v>
      </c>
    </row>
    <row r="1422" spans="1:3" ht="15">
      <c r="A1422" s="90" t="s">
        <v>2123</v>
      </c>
      <c r="B1422" s="89">
        <v>14</v>
      </c>
      <c r="C1422" s="98" t="s">
        <v>2211</v>
      </c>
    </row>
    <row r="1423" spans="1:3" ht="15">
      <c r="A1423" s="90" t="s">
        <v>2123</v>
      </c>
      <c r="B1423" s="89">
        <v>10</v>
      </c>
      <c r="C1423" s="98" t="s">
        <v>2211</v>
      </c>
    </row>
    <row r="1424" spans="1:3" ht="15">
      <c r="A1424" s="90" t="s">
        <v>2123</v>
      </c>
      <c r="B1424" s="89" t="s">
        <v>954</v>
      </c>
      <c r="C1424" s="98" t="s">
        <v>2211</v>
      </c>
    </row>
    <row r="1425" spans="1:3" ht="15">
      <c r="A1425" s="90" t="s">
        <v>2123</v>
      </c>
      <c r="B1425" s="89" t="s">
        <v>2481</v>
      </c>
      <c r="C1425" s="98" t="s">
        <v>2211</v>
      </c>
    </row>
    <row r="1426" spans="1:3" ht="15">
      <c r="A1426" s="90" t="s">
        <v>271</v>
      </c>
      <c r="B1426" s="89" t="s">
        <v>1080</v>
      </c>
      <c r="C1426" s="98" t="s">
        <v>487</v>
      </c>
    </row>
    <row r="1427" spans="1:3" ht="15">
      <c r="A1427" s="90" t="s">
        <v>271</v>
      </c>
      <c r="B1427" s="89" t="s">
        <v>1081</v>
      </c>
      <c r="C1427" s="98" t="s">
        <v>487</v>
      </c>
    </row>
    <row r="1428" spans="1:3" ht="15">
      <c r="A1428" s="90" t="s">
        <v>271</v>
      </c>
      <c r="B1428" s="89" t="s">
        <v>1082</v>
      </c>
      <c r="C1428" s="98" t="s">
        <v>487</v>
      </c>
    </row>
    <row r="1429" spans="1:3" ht="15">
      <c r="A1429" s="90" t="s">
        <v>271</v>
      </c>
      <c r="B1429" s="89" t="s">
        <v>930</v>
      </c>
      <c r="C1429" s="98" t="s">
        <v>487</v>
      </c>
    </row>
    <row r="1430" spans="1:3" ht="15">
      <c r="A1430" s="90" t="s">
        <v>271</v>
      </c>
      <c r="B1430" s="89" t="s">
        <v>940</v>
      </c>
      <c r="C1430" s="98" t="s">
        <v>487</v>
      </c>
    </row>
    <row r="1431" spans="1:3" ht="15">
      <c r="A1431" s="90" t="s">
        <v>271</v>
      </c>
      <c r="B1431" s="89" t="s">
        <v>941</v>
      </c>
      <c r="C1431" s="98" t="s">
        <v>487</v>
      </c>
    </row>
    <row r="1432" spans="1:3" ht="15">
      <c r="A1432" s="90" t="s">
        <v>271</v>
      </c>
      <c r="B1432" s="89" t="s">
        <v>1083</v>
      </c>
      <c r="C1432" s="98" t="s">
        <v>487</v>
      </c>
    </row>
    <row r="1433" spans="1:3" ht="15">
      <c r="A1433" s="90" t="s">
        <v>271</v>
      </c>
      <c r="B1433" s="89" t="s">
        <v>931</v>
      </c>
      <c r="C1433" s="98" t="s">
        <v>487</v>
      </c>
    </row>
    <row r="1434" spans="1:3" ht="15">
      <c r="A1434" s="90" t="s">
        <v>271</v>
      </c>
      <c r="B1434" s="89" t="s">
        <v>1084</v>
      </c>
      <c r="C1434" s="98" t="s">
        <v>487</v>
      </c>
    </row>
    <row r="1435" spans="1:3" ht="15">
      <c r="A1435" s="90" t="s">
        <v>271</v>
      </c>
      <c r="B1435" s="89" t="s">
        <v>1085</v>
      </c>
      <c r="C1435" s="98" t="s">
        <v>487</v>
      </c>
    </row>
    <row r="1436" spans="1:3" ht="15">
      <c r="A1436" s="90" t="s">
        <v>271</v>
      </c>
      <c r="B1436" s="89" t="s">
        <v>1086</v>
      </c>
      <c r="C1436" s="98" t="s">
        <v>487</v>
      </c>
    </row>
    <row r="1437" spans="1:3" ht="15">
      <c r="A1437" s="90" t="s">
        <v>271</v>
      </c>
      <c r="B1437" s="89" t="s">
        <v>942</v>
      </c>
      <c r="C1437" s="98" t="s">
        <v>487</v>
      </c>
    </row>
    <row r="1438" spans="1:3" ht="15">
      <c r="A1438" s="90" t="s">
        <v>271</v>
      </c>
      <c r="B1438" s="89" t="s">
        <v>938</v>
      </c>
      <c r="C1438" s="98" t="s">
        <v>487</v>
      </c>
    </row>
    <row r="1439" spans="1:3" ht="15">
      <c r="A1439" s="90" t="s">
        <v>271</v>
      </c>
      <c r="B1439" s="89" t="s">
        <v>935</v>
      </c>
      <c r="C1439" s="98" t="s">
        <v>487</v>
      </c>
    </row>
    <row r="1440" spans="1:3" ht="15">
      <c r="A1440" s="90" t="s">
        <v>271</v>
      </c>
      <c r="B1440" s="89" t="s">
        <v>934</v>
      </c>
      <c r="C1440" s="98" t="s">
        <v>487</v>
      </c>
    </row>
    <row r="1441" spans="1:3" ht="15">
      <c r="A1441" s="90" t="s">
        <v>271</v>
      </c>
      <c r="B1441" s="89" t="s">
        <v>1087</v>
      </c>
      <c r="C1441" s="98" t="s">
        <v>487</v>
      </c>
    </row>
    <row r="1442" spans="1:3" ht="15">
      <c r="A1442" s="90" t="s">
        <v>271</v>
      </c>
      <c r="B1442" s="89" t="s">
        <v>1088</v>
      </c>
      <c r="C1442" s="98" t="s">
        <v>487</v>
      </c>
    </row>
    <row r="1443" spans="1:3" ht="15">
      <c r="A1443" s="90" t="s">
        <v>271</v>
      </c>
      <c r="B1443" s="89" t="s">
        <v>936</v>
      </c>
      <c r="C1443" s="98" t="s">
        <v>487</v>
      </c>
    </row>
    <row r="1444" spans="1:3" ht="15">
      <c r="A1444" s="90" t="s">
        <v>271</v>
      </c>
      <c r="B1444" s="89" t="s">
        <v>1089</v>
      </c>
      <c r="C1444" s="98" t="s">
        <v>487</v>
      </c>
    </row>
    <row r="1445" spans="1:3" ht="15">
      <c r="A1445" s="90" t="s">
        <v>271</v>
      </c>
      <c r="B1445" s="89" t="s">
        <v>943</v>
      </c>
      <c r="C1445" s="98" t="s">
        <v>487</v>
      </c>
    </row>
    <row r="1446" spans="1:3" ht="15">
      <c r="A1446" s="90" t="s">
        <v>271</v>
      </c>
      <c r="B1446" s="89" t="s">
        <v>1090</v>
      </c>
      <c r="C1446" s="98" t="s">
        <v>487</v>
      </c>
    </row>
    <row r="1447" spans="1:3" ht="15">
      <c r="A1447" s="90" t="s">
        <v>271</v>
      </c>
      <c r="B1447" s="89" t="s">
        <v>933</v>
      </c>
      <c r="C1447" s="98" t="s">
        <v>487</v>
      </c>
    </row>
    <row r="1448" spans="1:3" ht="15">
      <c r="A1448" s="90" t="s">
        <v>271</v>
      </c>
      <c r="B1448" s="89" t="s">
        <v>338</v>
      </c>
      <c r="C1448" s="98" t="s">
        <v>487</v>
      </c>
    </row>
    <row r="1449" spans="1:3" ht="15">
      <c r="A1449" s="90" t="s">
        <v>271</v>
      </c>
      <c r="B1449" s="89" t="s">
        <v>1091</v>
      </c>
      <c r="C1449" s="98" t="s">
        <v>487</v>
      </c>
    </row>
    <row r="1450" spans="1:3" ht="15">
      <c r="A1450" s="90" t="s">
        <v>271</v>
      </c>
      <c r="B1450" s="89" t="s">
        <v>299</v>
      </c>
      <c r="C1450" s="98" t="s">
        <v>487</v>
      </c>
    </row>
    <row r="1451" spans="1:3" ht="15">
      <c r="A1451" s="90" t="s">
        <v>270</v>
      </c>
      <c r="B1451" s="89" t="s">
        <v>1147</v>
      </c>
      <c r="C1451" s="98" t="s">
        <v>486</v>
      </c>
    </row>
    <row r="1452" spans="1:3" ht="15">
      <c r="A1452" s="90" t="s">
        <v>270</v>
      </c>
      <c r="B1452" s="89" t="s">
        <v>1087</v>
      </c>
      <c r="C1452" s="98" t="s">
        <v>486</v>
      </c>
    </row>
    <row r="1453" spans="1:3" ht="15">
      <c r="A1453" s="90" t="s">
        <v>270</v>
      </c>
      <c r="B1453" s="89" t="s">
        <v>1092</v>
      </c>
      <c r="C1453" s="98" t="s">
        <v>486</v>
      </c>
    </row>
    <row r="1454" spans="1:3" ht="15">
      <c r="A1454" s="90" t="s">
        <v>270</v>
      </c>
      <c r="B1454" s="89" t="s">
        <v>945</v>
      </c>
      <c r="C1454" s="98" t="s">
        <v>486</v>
      </c>
    </row>
    <row r="1455" spans="1:3" ht="15">
      <c r="A1455" s="90" t="s">
        <v>270</v>
      </c>
      <c r="B1455" s="89" t="s">
        <v>338</v>
      </c>
      <c r="C1455" s="98" t="s">
        <v>486</v>
      </c>
    </row>
    <row r="1456" spans="1:3" ht="15">
      <c r="A1456" s="90" t="s">
        <v>270</v>
      </c>
      <c r="B1456" s="89" t="s">
        <v>1148</v>
      </c>
      <c r="C1456" s="98" t="s">
        <v>486</v>
      </c>
    </row>
    <row r="1457" spans="1:3" ht="15">
      <c r="A1457" s="90" t="s">
        <v>270</v>
      </c>
      <c r="B1457" s="89" t="s">
        <v>1123</v>
      </c>
      <c r="C1457" s="98" t="s">
        <v>486</v>
      </c>
    </row>
    <row r="1458" spans="1:3" ht="15">
      <c r="A1458" s="90" t="s">
        <v>270</v>
      </c>
      <c r="B1458" s="89" t="s">
        <v>959</v>
      </c>
      <c r="C1458" s="98" t="s">
        <v>486</v>
      </c>
    </row>
    <row r="1459" spans="1:3" ht="15">
      <c r="A1459" s="90" t="s">
        <v>270</v>
      </c>
      <c r="B1459" s="89" t="s">
        <v>960</v>
      </c>
      <c r="C1459" s="98" t="s">
        <v>486</v>
      </c>
    </row>
    <row r="1460" spans="1:3" ht="15">
      <c r="A1460" s="90" t="s">
        <v>270</v>
      </c>
      <c r="B1460" s="89" t="s">
        <v>961</v>
      </c>
      <c r="C1460" s="98" t="s">
        <v>486</v>
      </c>
    </row>
    <row r="1461" spans="1:3" ht="15">
      <c r="A1461" s="90" t="s">
        <v>270</v>
      </c>
      <c r="B1461" s="89" t="s">
        <v>962</v>
      </c>
      <c r="C1461" s="98" t="s">
        <v>486</v>
      </c>
    </row>
    <row r="1462" spans="1:3" ht="15">
      <c r="A1462" s="90" t="s">
        <v>270</v>
      </c>
      <c r="B1462" s="89" t="s">
        <v>963</v>
      </c>
      <c r="C1462" s="98" t="s">
        <v>486</v>
      </c>
    </row>
    <row r="1463" spans="1:3" ht="15">
      <c r="A1463" s="90" t="s">
        <v>270</v>
      </c>
      <c r="B1463" s="89" t="s">
        <v>964</v>
      </c>
      <c r="C1463" s="98" t="s">
        <v>486</v>
      </c>
    </row>
    <row r="1464" spans="1:3" ht="15">
      <c r="A1464" s="90" t="s">
        <v>270</v>
      </c>
      <c r="B1464" s="89" t="s">
        <v>965</v>
      </c>
      <c r="C1464" s="98" t="s">
        <v>486</v>
      </c>
    </row>
    <row r="1465" spans="1:3" ht="15">
      <c r="A1465" s="90" t="s">
        <v>270</v>
      </c>
      <c r="B1465" s="89" t="s">
        <v>1149</v>
      </c>
      <c r="C1465" s="98" t="s">
        <v>486</v>
      </c>
    </row>
    <row r="1466" spans="1:3" ht="15">
      <c r="A1466" s="90" t="s">
        <v>270</v>
      </c>
      <c r="B1466" s="89" t="s">
        <v>981</v>
      </c>
      <c r="C1466" s="98" t="s">
        <v>486</v>
      </c>
    </row>
    <row r="1467" spans="1:3" ht="15">
      <c r="A1467" s="90" t="s">
        <v>270</v>
      </c>
      <c r="B1467" s="89" t="s">
        <v>982</v>
      </c>
      <c r="C1467" s="98" t="s">
        <v>486</v>
      </c>
    </row>
    <row r="1468" spans="1:3" ht="15">
      <c r="A1468" s="90" t="s">
        <v>270</v>
      </c>
      <c r="B1468" s="89" t="s">
        <v>1150</v>
      </c>
      <c r="C1468" s="98" t="s">
        <v>486</v>
      </c>
    </row>
    <row r="1469" spans="1:3" ht="15">
      <c r="A1469" s="90" t="s">
        <v>270</v>
      </c>
      <c r="B1469" s="89" t="s">
        <v>1151</v>
      </c>
      <c r="C1469" s="98" t="s">
        <v>486</v>
      </c>
    </row>
    <row r="1470" spans="1:3" ht="15">
      <c r="A1470" s="90" t="s">
        <v>270</v>
      </c>
      <c r="B1470" s="89" t="s">
        <v>983</v>
      </c>
      <c r="C1470" s="98" t="s">
        <v>486</v>
      </c>
    </row>
    <row r="1471" spans="1:3" ht="15">
      <c r="A1471" s="90" t="s">
        <v>270</v>
      </c>
      <c r="B1471" s="89" t="s">
        <v>1152</v>
      </c>
      <c r="C1471" s="98" t="s">
        <v>486</v>
      </c>
    </row>
    <row r="1472" spans="1:3" ht="15">
      <c r="A1472" s="90" t="s">
        <v>270</v>
      </c>
      <c r="B1472" s="89" t="s">
        <v>1094</v>
      </c>
      <c r="C1472" s="98" t="s">
        <v>486</v>
      </c>
    </row>
    <row r="1473" spans="1:3" ht="15">
      <c r="A1473" s="90" t="s">
        <v>270</v>
      </c>
      <c r="B1473" s="89" t="s">
        <v>1153</v>
      </c>
      <c r="C1473" s="98" t="s">
        <v>486</v>
      </c>
    </row>
    <row r="1474" spans="1:3" ht="15">
      <c r="A1474" s="90" t="s">
        <v>270</v>
      </c>
      <c r="B1474" s="89" t="s">
        <v>1091</v>
      </c>
      <c r="C1474" s="98" t="s">
        <v>486</v>
      </c>
    </row>
    <row r="1475" spans="1:3" ht="15">
      <c r="A1475" s="90" t="s">
        <v>270</v>
      </c>
      <c r="B1475" s="89" t="s">
        <v>299</v>
      </c>
      <c r="C1475" s="98" t="s">
        <v>486</v>
      </c>
    </row>
    <row r="1476" spans="1:3" ht="15">
      <c r="A1476" s="90" t="s">
        <v>269</v>
      </c>
      <c r="B1476" s="89" t="s">
        <v>1080</v>
      </c>
      <c r="C1476" s="98" t="s">
        <v>485</v>
      </c>
    </row>
    <row r="1477" spans="1:3" ht="15">
      <c r="A1477" s="90" t="s">
        <v>269</v>
      </c>
      <c r="B1477" s="89" t="s">
        <v>1081</v>
      </c>
      <c r="C1477" s="98" t="s">
        <v>485</v>
      </c>
    </row>
    <row r="1478" spans="1:3" ht="15">
      <c r="A1478" s="90" t="s">
        <v>269</v>
      </c>
      <c r="B1478" s="89" t="s">
        <v>1082</v>
      </c>
      <c r="C1478" s="98" t="s">
        <v>485</v>
      </c>
    </row>
    <row r="1479" spans="1:3" ht="15">
      <c r="A1479" s="90" t="s">
        <v>269</v>
      </c>
      <c r="B1479" s="89" t="s">
        <v>930</v>
      </c>
      <c r="C1479" s="98" t="s">
        <v>485</v>
      </c>
    </row>
    <row r="1480" spans="1:3" ht="15">
      <c r="A1480" s="90" t="s">
        <v>269</v>
      </c>
      <c r="B1480" s="89" t="s">
        <v>940</v>
      </c>
      <c r="C1480" s="98" t="s">
        <v>485</v>
      </c>
    </row>
    <row r="1481" spans="1:3" ht="15">
      <c r="A1481" s="90" t="s">
        <v>269</v>
      </c>
      <c r="B1481" s="89" t="s">
        <v>941</v>
      </c>
      <c r="C1481" s="98" t="s">
        <v>485</v>
      </c>
    </row>
    <row r="1482" spans="1:3" ht="15">
      <c r="A1482" s="90" t="s">
        <v>269</v>
      </c>
      <c r="B1482" s="89" t="s">
        <v>1083</v>
      </c>
      <c r="C1482" s="98" t="s">
        <v>485</v>
      </c>
    </row>
    <row r="1483" spans="1:3" ht="15">
      <c r="A1483" s="90" t="s">
        <v>269</v>
      </c>
      <c r="B1483" s="89" t="s">
        <v>931</v>
      </c>
      <c r="C1483" s="98" t="s">
        <v>485</v>
      </c>
    </row>
    <row r="1484" spans="1:3" ht="15">
      <c r="A1484" s="90" t="s">
        <v>269</v>
      </c>
      <c r="B1484" s="89" t="s">
        <v>1084</v>
      </c>
      <c r="C1484" s="98" t="s">
        <v>485</v>
      </c>
    </row>
    <row r="1485" spans="1:3" ht="15">
      <c r="A1485" s="90" t="s">
        <v>269</v>
      </c>
      <c r="B1485" s="89" t="s">
        <v>1085</v>
      </c>
      <c r="C1485" s="98" t="s">
        <v>485</v>
      </c>
    </row>
    <row r="1486" spans="1:3" ht="15">
      <c r="A1486" s="90" t="s">
        <v>269</v>
      </c>
      <c r="B1486" s="89" t="s">
        <v>1086</v>
      </c>
      <c r="C1486" s="98" t="s">
        <v>485</v>
      </c>
    </row>
    <row r="1487" spans="1:3" ht="15">
      <c r="A1487" s="90" t="s">
        <v>269</v>
      </c>
      <c r="B1487" s="89" t="s">
        <v>942</v>
      </c>
      <c r="C1487" s="98" t="s">
        <v>485</v>
      </c>
    </row>
    <row r="1488" spans="1:3" ht="15">
      <c r="A1488" s="90" t="s">
        <v>269</v>
      </c>
      <c r="B1488" s="89" t="s">
        <v>938</v>
      </c>
      <c r="C1488" s="98" t="s">
        <v>485</v>
      </c>
    </row>
    <row r="1489" spans="1:3" ht="15">
      <c r="A1489" s="90" t="s">
        <v>269</v>
      </c>
      <c r="B1489" s="89" t="s">
        <v>935</v>
      </c>
      <c r="C1489" s="98" t="s">
        <v>485</v>
      </c>
    </row>
    <row r="1490" spans="1:3" ht="15">
      <c r="A1490" s="90" t="s">
        <v>269</v>
      </c>
      <c r="B1490" s="89" t="s">
        <v>934</v>
      </c>
      <c r="C1490" s="98" t="s">
        <v>485</v>
      </c>
    </row>
    <row r="1491" spans="1:3" ht="15">
      <c r="A1491" s="90" t="s">
        <v>269</v>
      </c>
      <c r="B1491" s="89" t="s">
        <v>1087</v>
      </c>
      <c r="C1491" s="98" t="s">
        <v>485</v>
      </c>
    </row>
    <row r="1492" spans="1:3" ht="15">
      <c r="A1492" s="90" t="s">
        <v>269</v>
      </c>
      <c r="B1492" s="89" t="s">
        <v>1088</v>
      </c>
      <c r="C1492" s="98" t="s">
        <v>485</v>
      </c>
    </row>
    <row r="1493" spans="1:3" ht="15">
      <c r="A1493" s="90" t="s">
        <v>269</v>
      </c>
      <c r="B1493" s="89" t="s">
        <v>936</v>
      </c>
      <c r="C1493" s="98" t="s">
        <v>485</v>
      </c>
    </row>
    <row r="1494" spans="1:3" ht="15">
      <c r="A1494" s="90" t="s">
        <v>269</v>
      </c>
      <c r="B1494" s="89" t="s">
        <v>1089</v>
      </c>
      <c r="C1494" s="98" t="s">
        <v>485</v>
      </c>
    </row>
    <row r="1495" spans="1:3" ht="15">
      <c r="A1495" s="90" t="s">
        <v>269</v>
      </c>
      <c r="B1495" s="89" t="s">
        <v>943</v>
      </c>
      <c r="C1495" s="98" t="s">
        <v>485</v>
      </c>
    </row>
    <row r="1496" spans="1:3" ht="15">
      <c r="A1496" s="90" t="s">
        <v>269</v>
      </c>
      <c r="B1496" s="89" t="s">
        <v>1090</v>
      </c>
      <c r="C1496" s="98" t="s">
        <v>485</v>
      </c>
    </row>
    <row r="1497" spans="1:3" ht="15">
      <c r="A1497" s="90" t="s">
        <v>269</v>
      </c>
      <c r="B1497" s="89" t="s">
        <v>933</v>
      </c>
      <c r="C1497" s="98" t="s">
        <v>485</v>
      </c>
    </row>
    <row r="1498" spans="1:3" ht="15">
      <c r="A1498" s="90" t="s">
        <v>269</v>
      </c>
      <c r="B1498" s="89" t="s">
        <v>338</v>
      </c>
      <c r="C1498" s="98" t="s">
        <v>485</v>
      </c>
    </row>
    <row r="1499" spans="1:3" ht="15">
      <c r="A1499" s="90" t="s">
        <v>269</v>
      </c>
      <c r="B1499" s="89" t="s">
        <v>1091</v>
      </c>
      <c r="C1499" s="98" t="s">
        <v>485</v>
      </c>
    </row>
    <row r="1500" spans="1:3" ht="15">
      <c r="A1500" s="90" t="s">
        <v>269</v>
      </c>
      <c r="B1500" s="89" t="s">
        <v>299</v>
      </c>
      <c r="C1500" s="98" t="s">
        <v>485</v>
      </c>
    </row>
    <row r="1501" spans="1:3" ht="15">
      <c r="A1501" s="90" t="s">
        <v>268</v>
      </c>
      <c r="B1501" s="89" t="s">
        <v>1080</v>
      </c>
      <c r="C1501" s="98" t="s">
        <v>484</v>
      </c>
    </row>
    <row r="1502" spans="1:3" ht="15">
      <c r="A1502" s="90" t="s">
        <v>268</v>
      </c>
      <c r="B1502" s="89" t="s">
        <v>1081</v>
      </c>
      <c r="C1502" s="98" t="s">
        <v>484</v>
      </c>
    </row>
    <row r="1503" spans="1:3" ht="15">
      <c r="A1503" s="90" t="s">
        <v>268</v>
      </c>
      <c r="B1503" s="89" t="s">
        <v>1082</v>
      </c>
      <c r="C1503" s="98" t="s">
        <v>484</v>
      </c>
    </row>
    <row r="1504" spans="1:3" ht="15">
      <c r="A1504" s="90" t="s">
        <v>268</v>
      </c>
      <c r="B1504" s="89" t="s">
        <v>930</v>
      </c>
      <c r="C1504" s="98" t="s">
        <v>484</v>
      </c>
    </row>
    <row r="1505" spans="1:3" ht="15">
      <c r="A1505" s="90" t="s">
        <v>268</v>
      </c>
      <c r="B1505" s="89" t="s">
        <v>940</v>
      </c>
      <c r="C1505" s="98" t="s">
        <v>484</v>
      </c>
    </row>
    <row r="1506" spans="1:3" ht="15">
      <c r="A1506" s="90" t="s">
        <v>268</v>
      </c>
      <c r="B1506" s="89" t="s">
        <v>941</v>
      </c>
      <c r="C1506" s="98" t="s">
        <v>484</v>
      </c>
    </row>
    <row r="1507" spans="1:3" ht="15">
      <c r="A1507" s="90" t="s">
        <v>268</v>
      </c>
      <c r="B1507" s="89" t="s">
        <v>1083</v>
      </c>
      <c r="C1507" s="98" t="s">
        <v>484</v>
      </c>
    </row>
    <row r="1508" spans="1:3" ht="15">
      <c r="A1508" s="90" t="s">
        <v>268</v>
      </c>
      <c r="B1508" s="89" t="s">
        <v>931</v>
      </c>
      <c r="C1508" s="98" t="s">
        <v>484</v>
      </c>
    </row>
    <row r="1509" spans="1:3" ht="15">
      <c r="A1509" s="90" t="s">
        <v>268</v>
      </c>
      <c r="B1509" s="89" t="s">
        <v>1084</v>
      </c>
      <c r="C1509" s="98" t="s">
        <v>484</v>
      </c>
    </row>
    <row r="1510" spans="1:3" ht="15">
      <c r="A1510" s="90" t="s">
        <v>268</v>
      </c>
      <c r="B1510" s="89" t="s">
        <v>1085</v>
      </c>
      <c r="C1510" s="98" t="s">
        <v>484</v>
      </c>
    </row>
    <row r="1511" spans="1:3" ht="15">
      <c r="A1511" s="90" t="s">
        <v>268</v>
      </c>
      <c r="B1511" s="89" t="s">
        <v>1086</v>
      </c>
      <c r="C1511" s="98" t="s">
        <v>484</v>
      </c>
    </row>
    <row r="1512" spans="1:3" ht="15">
      <c r="A1512" s="90" t="s">
        <v>268</v>
      </c>
      <c r="B1512" s="89" t="s">
        <v>942</v>
      </c>
      <c r="C1512" s="98" t="s">
        <v>484</v>
      </c>
    </row>
    <row r="1513" spans="1:3" ht="15">
      <c r="A1513" s="90" t="s">
        <v>268</v>
      </c>
      <c r="B1513" s="89" t="s">
        <v>938</v>
      </c>
      <c r="C1513" s="98" t="s">
        <v>484</v>
      </c>
    </row>
    <row r="1514" spans="1:3" ht="15">
      <c r="A1514" s="90" t="s">
        <v>268</v>
      </c>
      <c r="B1514" s="89" t="s">
        <v>935</v>
      </c>
      <c r="C1514" s="98" t="s">
        <v>484</v>
      </c>
    </row>
    <row r="1515" spans="1:3" ht="15">
      <c r="A1515" s="90" t="s">
        <v>268</v>
      </c>
      <c r="B1515" s="89" t="s">
        <v>934</v>
      </c>
      <c r="C1515" s="98" t="s">
        <v>484</v>
      </c>
    </row>
    <row r="1516" spans="1:3" ht="15">
      <c r="A1516" s="90" t="s">
        <v>268</v>
      </c>
      <c r="B1516" s="89" t="s">
        <v>1087</v>
      </c>
      <c r="C1516" s="98" t="s">
        <v>484</v>
      </c>
    </row>
    <row r="1517" spans="1:3" ht="15">
      <c r="A1517" s="90" t="s">
        <v>268</v>
      </c>
      <c r="B1517" s="89" t="s">
        <v>1088</v>
      </c>
      <c r="C1517" s="98" t="s">
        <v>484</v>
      </c>
    </row>
    <row r="1518" spans="1:3" ht="15">
      <c r="A1518" s="90" t="s">
        <v>268</v>
      </c>
      <c r="B1518" s="89" t="s">
        <v>936</v>
      </c>
      <c r="C1518" s="98" t="s">
        <v>484</v>
      </c>
    </row>
    <row r="1519" spans="1:3" ht="15">
      <c r="A1519" s="90" t="s">
        <v>268</v>
      </c>
      <c r="B1519" s="89" t="s">
        <v>1089</v>
      </c>
      <c r="C1519" s="98" t="s">
        <v>484</v>
      </c>
    </row>
    <row r="1520" spans="1:3" ht="15">
      <c r="A1520" s="90" t="s">
        <v>268</v>
      </c>
      <c r="B1520" s="89" t="s">
        <v>943</v>
      </c>
      <c r="C1520" s="98" t="s">
        <v>484</v>
      </c>
    </row>
    <row r="1521" spans="1:3" ht="15">
      <c r="A1521" s="90" t="s">
        <v>268</v>
      </c>
      <c r="B1521" s="89" t="s">
        <v>1090</v>
      </c>
      <c r="C1521" s="98" t="s">
        <v>484</v>
      </c>
    </row>
    <row r="1522" spans="1:3" ht="15">
      <c r="A1522" s="90" t="s">
        <v>268</v>
      </c>
      <c r="B1522" s="89" t="s">
        <v>933</v>
      </c>
      <c r="C1522" s="98" t="s">
        <v>484</v>
      </c>
    </row>
    <row r="1523" spans="1:3" ht="15">
      <c r="A1523" s="90" t="s">
        <v>268</v>
      </c>
      <c r="B1523" s="89" t="s">
        <v>338</v>
      </c>
      <c r="C1523" s="98" t="s">
        <v>484</v>
      </c>
    </row>
    <row r="1524" spans="1:3" ht="15">
      <c r="A1524" s="90" t="s">
        <v>268</v>
      </c>
      <c r="B1524" s="89" t="s">
        <v>1091</v>
      </c>
      <c r="C1524" s="98" t="s">
        <v>484</v>
      </c>
    </row>
    <row r="1525" spans="1:3" ht="15">
      <c r="A1525" s="90" t="s">
        <v>268</v>
      </c>
      <c r="B1525" s="89" t="s">
        <v>299</v>
      </c>
      <c r="C1525" s="98" t="s">
        <v>484</v>
      </c>
    </row>
    <row r="1526" spans="1:3" ht="15">
      <c r="A1526" s="90" t="s">
        <v>2122</v>
      </c>
      <c r="B1526" s="89" t="s">
        <v>2468</v>
      </c>
      <c r="C1526" s="98" t="s">
        <v>2210</v>
      </c>
    </row>
    <row r="1527" spans="1:3" ht="15">
      <c r="A1527" s="90" t="s">
        <v>2122</v>
      </c>
      <c r="B1527" s="89" t="s">
        <v>1861</v>
      </c>
      <c r="C1527" s="98" t="s">
        <v>2210</v>
      </c>
    </row>
    <row r="1528" spans="1:3" ht="15">
      <c r="A1528" s="90" t="s">
        <v>2122</v>
      </c>
      <c r="B1528" s="89" t="s">
        <v>2365</v>
      </c>
      <c r="C1528" s="98" t="s">
        <v>2210</v>
      </c>
    </row>
    <row r="1529" spans="1:3" ht="15">
      <c r="A1529" s="90" t="s">
        <v>2122</v>
      </c>
      <c r="B1529" s="89" t="s">
        <v>2392</v>
      </c>
      <c r="C1529" s="98" t="s">
        <v>2210</v>
      </c>
    </row>
    <row r="1530" spans="1:3" ht="15">
      <c r="A1530" s="90" t="s">
        <v>2122</v>
      </c>
      <c r="B1530" s="89" t="s">
        <v>2393</v>
      </c>
      <c r="C1530" s="98" t="s">
        <v>2210</v>
      </c>
    </row>
    <row r="1531" spans="1:3" ht="15">
      <c r="A1531" s="90" t="s">
        <v>2122</v>
      </c>
      <c r="B1531" s="89" t="s">
        <v>2469</v>
      </c>
      <c r="C1531" s="98" t="s">
        <v>2210</v>
      </c>
    </row>
    <row r="1532" spans="1:3" ht="15">
      <c r="A1532" s="90" t="s">
        <v>2122</v>
      </c>
      <c r="B1532" s="89" t="s">
        <v>338</v>
      </c>
      <c r="C1532" s="98" t="s">
        <v>2210</v>
      </c>
    </row>
    <row r="1533" spans="1:3" ht="15">
      <c r="A1533" s="90" t="s">
        <v>2122</v>
      </c>
      <c r="B1533" s="89" t="s">
        <v>1579</v>
      </c>
      <c r="C1533" s="98" t="s">
        <v>2210</v>
      </c>
    </row>
    <row r="1534" spans="1:3" ht="15">
      <c r="A1534" s="90" t="s">
        <v>2122</v>
      </c>
      <c r="B1534" s="89" t="s">
        <v>1092</v>
      </c>
      <c r="C1534" s="98" t="s">
        <v>2210</v>
      </c>
    </row>
    <row r="1535" spans="1:3" ht="15">
      <c r="A1535" s="90" t="s">
        <v>2122</v>
      </c>
      <c r="B1535" s="89" t="s">
        <v>1097</v>
      </c>
      <c r="C1535" s="98" t="s">
        <v>2210</v>
      </c>
    </row>
    <row r="1536" spans="1:3" ht="15">
      <c r="A1536" s="90" t="s">
        <v>2122</v>
      </c>
      <c r="B1536" s="89" t="s">
        <v>1091</v>
      </c>
      <c r="C1536" s="98" t="s">
        <v>2210</v>
      </c>
    </row>
    <row r="1537" spans="1:3" ht="15">
      <c r="A1537" s="90" t="s">
        <v>2122</v>
      </c>
      <c r="B1537" s="89" t="s">
        <v>299</v>
      </c>
      <c r="C1537" s="98" t="s">
        <v>2210</v>
      </c>
    </row>
    <row r="1538" spans="1:3" ht="15">
      <c r="A1538" s="90" t="s">
        <v>2121</v>
      </c>
      <c r="B1538" s="89" t="s">
        <v>2468</v>
      </c>
      <c r="C1538" s="98" t="s">
        <v>2209</v>
      </c>
    </row>
    <row r="1539" spans="1:3" ht="15">
      <c r="A1539" s="90" t="s">
        <v>2121</v>
      </c>
      <c r="B1539" s="89" t="s">
        <v>1861</v>
      </c>
      <c r="C1539" s="98" t="s">
        <v>2209</v>
      </c>
    </row>
    <row r="1540" spans="1:3" ht="15">
      <c r="A1540" s="90" t="s">
        <v>2121</v>
      </c>
      <c r="B1540" s="89" t="s">
        <v>2365</v>
      </c>
      <c r="C1540" s="98" t="s">
        <v>2209</v>
      </c>
    </row>
    <row r="1541" spans="1:3" ht="15">
      <c r="A1541" s="90" t="s">
        <v>2121</v>
      </c>
      <c r="B1541" s="89" t="s">
        <v>2392</v>
      </c>
      <c r="C1541" s="98" t="s">
        <v>2209</v>
      </c>
    </row>
    <row r="1542" spans="1:3" ht="15">
      <c r="A1542" s="90" t="s">
        <v>2121</v>
      </c>
      <c r="B1542" s="89" t="s">
        <v>2393</v>
      </c>
      <c r="C1542" s="98" t="s">
        <v>2209</v>
      </c>
    </row>
    <row r="1543" spans="1:3" ht="15">
      <c r="A1543" s="90" t="s">
        <v>2121</v>
      </c>
      <c r="B1543" s="89" t="s">
        <v>2469</v>
      </c>
      <c r="C1543" s="98" t="s">
        <v>2209</v>
      </c>
    </row>
    <row r="1544" spans="1:3" ht="15">
      <c r="A1544" s="90" t="s">
        <v>2121</v>
      </c>
      <c r="B1544" s="89" t="s">
        <v>338</v>
      </c>
      <c r="C1544" s="98" t="s">
        <v>2209</v>
      </c>
    </row>
    <row r="1545" spans="1:3" ht="15">
      <c r="A1545" s="90" t="s">
        <v>2121</v>
      </c>
      <c r="B1545" s="89" t="s">
        <v>1579</v>
      </c>
      <c r="C1545" s="98" t="s">
        <v>2209</v>
      </c>
    </row>
    <row r="1546" spans="1:3" ht="15">
      <c r="A1546" s="90" t="s">
        <v>2121</v>
      </c>
      <c r="B1546" s="89" t="s">
        <v>1092</v>
      </c>
      <c r="C1546" s="98" t="s">
        <v>2209</v>
      </c>
    </row>
    <row r="1547" spans="1:3" ht="15">
      <c r="A1547" s="90" t="s">
        <v>2121</v>
      </c>
      <c r="B1547" s="89" t="s">
        <v>1097</v>
      </c>
      <c r="C1547" s="98" t="s">
        <v>2209</v>
      </c>
    </row>
    <row r="1548" spans="1:3" ht="15">
      <c r="A1548" s="90" t="s">
        <v>2121</v>
      </c>
      <c r="B1548" s="89" t="s">
        <v>1091</v>
      </c>
      <c r="C1548" s="98" t="s">
        <v>2209</v>
      </c>
    </row>
    <row r="1549" spans="1:3" ht="15">
      <c r="A1549" s="90" t="s">
        <v>2121</v>
      </c>
      <c r="B1549" s="89" t="s">
        <v>299</v>
      </c>
      <c r="C1549" s="98" t="s">
        <v>2209</v>
      </c>
    </row>
    <row r="1550" spans="1:3" ht="15">
      <c r="A1550" s="90" t="s">
        <v>267</v>
      </c>
      <c r="B1550" s="89" t="s">
        <v>1080</v>
      </c>
      <c r="C1550" s="98" t="s">
        <v>483</v>
      </c>
    </row>
    <row r="1551" spans="1:3" ht="15">
      <c r="A1551" s="90" t="s">
        <v>267</v>
      </c>
      <c r="B1551" s="89" t="s">
        <v>1081</v>
      </c>
      <c r="C1551" s="98" t="s">
        <v>483</v>
      </c>
    </row>
    <row r="1552" spans="1:3" ht="15">
      <c r="A1552" s="90" t="s">
        <v>267</v>
      </c>
      <c r="B1552" s="89" t="s">
        <v>1082</v>
      </c>
      <c r="C1552" s="98" t="s">
        <v>483</v>
      </c>
    </row>
    <row r="1553" spans="1:3" ht="15">
      <c r="A1553" s="90" t="s">
        <v>267</v>
      </c>
      <c r="B1553" s="89" t="s">
        <v>930</v>
      </c>
      <c r="C1553" s="98" t="s">
        <v>483</v>
      </c>
    </row>
    <row r="1554" spans="1:3" ht="15">
      <c r="A1554" s="90" t="s">
        <v>267</v>
      </c>
      <c r="B1554" s="89" t="s">
        <v>940</v>
      </c>
      <c r="C1554" s="98" t="s">
        <v>483</v>
      </c>
    </row>
    <row r="1555" spans="1:3" ht="15">
      <c r="A1555" s="90" t="s">
        <v>267</v>
      </c>
      <c r="B1555" s="89" t="s">
        <v>941</v>
      </c>
      <c r="C1555" s="98" t="s">
        <v>483</v>
      </c>
    </row>
    <row r="1556" spans="1:3" ht="15">
      <c r="A1556" s="90" t="s">
        <v>267</v>
      </c>
      <c r="B1556" s="89" t="s">
        <v>1083</v>
      </c>
      <c r="C1556" s="98" t="s">
        <v>483</v>
      </c>
    </row>
    <row r="1557" spans="1:3" ht="15">
      <c r="A1557" s="90" t="s">
        <v>267</v>
      </c>
      <c r="B1557" s="89" t="s">
        <v>931</v>
      </c>
      <c r="C1557" s="98" t="s">
        <v>483</v>
      </c>
    </row>
    <row r="1558" spans="1:3" ht="15">
      <c r="A1558" s="90" t="s">
        <v>267</v>
      </c>
      <c r="B1558" s="89" t="s">
        <v>1084</v>
      </c>
      <c r="C1558" s="98" t="s">
        <v>483</v>
      </c>
    </row>
    <row r="1559" spans="1:3" ht="15">
      <c r="A1559" s="90" t="s">
        <v>267</v>
      </c>
      <c r="B1559" s="89" t="s">
        <v>1085</v>
      </c>
      <c r="C1559" s="98" t="s">
        <v>483</v>
      </c>
    </row>
    <row r="1560" spans="1:3" ht="15">
      <c r="A1560" s="90" t="s">
        <v>267</v>
      </c>
      <c r="B1560" s="89" t="s">
        <v>1086</v>
      </c>
      <c r="C1560" s="98" t="s">
        <v>483</v>
      </c>
    </row>
    <row r="1561" spans="1:3" ht="15">
      <c r="A1561" s="90" t="s">
        <v>267</v>
      </c>
      <c r="B1561" s="89" t="s">
        <v>942</v>
      </c>
      <c r="C1561" s="98" t="s">
        <v>483</v>
      </c>
    </row>
    <row r="1562" spans="1:3" ht="15">
      <c r="A1562" s="90" t="s">
        <v>267</v>
      </c>
      <c r="B1562" s="89" t="s">
        <v>938</v>
      </c>
      <c r="C1562" s="98" t="s">
        <v>483</v>
      </c>
    </row>
    <row r="1563" spans="1:3" ht="15">
      <c r="A1563" s="90" t="s">
        <v>267</v>
      </c>
      <c r="B1563" s="89" t="s">
        <v>935</v>
      </c>
      <c r="C1563" s="98" t="s">
        <v>483</v>
      </c>
    </row>
    <row r="1564" spans="1:3" ht="15">
      <c r="A1564" s="90" t="s">
        <v>267</v>
      </c>
      <c r="B1564" s="89" t="s">
        <v>934</v>
      </c>
      <c r="C1564" s="98" t="s">
        <v>483</v>
      </c>
    </row>
    <row r="1565" spans="1:3" ht="15">
      <c r="A1565" s="90" t="s">
        <v>267</v>
      </c>
      <c r="B1565" s="89" t="s">
        <v>1087</v>
      </c>
      <c r="C1565" s="98" t="s">
        <v>483</v>
      </c>
    </row>
    <row r="1566" spans="1:3" ht="15">
      <c r="A1566" s="90" t="s">
        <v>267</v>
      </c>
      <c r="B1566" s="89" t="s">
        <v>1088</v>
      </c>
      <c r="C1566" s="98" t="s">
        <v>483</v>
      </c>
    </row>
    <row r="1567" spans="1:3" ht="15">
      <c r="A1567" s="90" t="s">
        <v>267</v>
      </c>
      <c r="B1567" s="89" t="s">
        <v>936</v>
      </c>
      <c r="C1567" s="98" t="s">
        <v>483</v>
      </c>
    </row>
    <row r="1568" spans="1:3" ht="15">
      <c r="A1568" s="90" t="s">
        <v>267</v>
      </c>
      <c r="B1568" s="89" t="s">
        <v>1089</v>
      </c>
      <c r="C1568" s="98" t="s">
        <v>483</v>
      </c>
    </row>
    <row r="1569" spans="1:3" ht="15">
      <c r="A1569" s="90" t="s">
        <v>267</v>
      </c>
      <c r="B1569" s="89" t="s">
        <v>943</v>
      </c>
      <c r="C1569" s="98" t="s">
        <v>483</v>
      </c>
    </row>
    <row r="1570" spans="1:3" ht="15">
      <c r="A1570" s="90" t="s">
        <v>267</v>
      </c>
      <c r="B1570" s="89" t="s">
        <v>1090</v>
      </c>
      <c r="C1570" s="98" t="s">
        <v>483</v>
      </c>
    </row>
    <row r="1571" spans="1:3" ht="15">
      <c r="A1571" s="90" t="s">
        <v>267</v>
      </c>
      <c r="B1571" s="89" t="s">
        <v>933</v>
      </c>
      <c r="C1571" s="98" t="s">
        <v>483</v>
      </c>
    </row>
    <row r="1572" spans="1:3" ht="15">
      <c r="A1572" s="90" t="s">
        <v>267</v>
      </c>
      <c r="B1572" s="89" t="s">
        <v>338</v>
      </c>
      <c r="C1572" s="98" t="s">
        <v>483</v>
      </c>
    </row>
    <row r="1573" spans="1:3" ht="15">
      <c r="A1573" s="90" t="s">
        <v>267</v>
      </c>
      <c r="B1573" s="89" t="s">
        <v>1091</v>
      </c>
      <c r="C1573" s="98" t="s">
        <v>483</v>
      </c>
    </row>
    <row r="1574" spans="1:3" ht="15">
      <c r="A1574" s="90" t="s">
        <v>267</v>
      </c>
      <c r="B1574" s="89" t="s">
        <v>299</v>
      </c>
      <c r="C1574" s="98" t="s">
        <v>483</v>
      </c>
    </row>
    <row r="1575" spans="1:3" ht="15">
      <c r="A1575" s="90" t="s">
        <v>2120</v>
      </c>
      <c r="B1575" s="89" t="s">
        <v>2443</v>
      </c>
      <c r="C1575" s="98" t="s">
        <v>2208</v>
      </c>
    </row>
    <row r="1576" spans="1:3" ht="15">
      <c r="A1576" s="90" t="s">
        <v>2120</v>
      </c>
      <c r="B1576" s="89" t="s">
        <v>1048</v>
      </c>
      <c r="C1576" s="98" t="s">
        <v>2208</v>
      </c>
    </row>
    <row r="1577" spans="1:3" ht="15">
      <c r="A1577" s="90" t="s">
        <v>2120</v>
      </c>
      <c r="B1577" s="89" t="s">
        <v>2380</v>
      </c>
      <c r="C1577" s="98" t="s">
        <v>2208</v>
      </c>
    </row>
    <row r="1578" spans="1:3" ht="15">
      <c r="A1578" s="90" t="s">
        <v>2120</v>
      </c>
      <c r="B1578" s="89" t="s">
        <v>1087</v>
      </c>
      <c r="C1578" s="98" t="s">
        <v>2208</v>
      </c>
    </row>
    <row r="1579" spans="1:3" ht="15">
      <c r="A1579" s="90" t="s">
        <v>2120</v>
      </c>
      <c r="B1579" s="89" t="s">
        <v>2381</v>
      </c>
      <c r="C1579" s="98" t="s">
        <v>2208</v>
      </c>
    </row>
    <row r="1580" spans="1:3" ht="15">
      <c r="A1580" s="90" t="s">
        <v>2120</v>
      </c>
      <c r="B1580" s="89" t="s">
        <v>2382</v>
      </c>
      <c r="C1580" s="98" t="s">
        <v>2208</v>
      </c>
    </row>
    <row r="1581" spans="1:3" ht="15">
      <c r="A1581" s="90" t="s">
        <v>2120</v>
      </c>
      <c r="B1581" s="89" t="s">
        <v>2383</v>
      </c>
      <c r="C1581" s="98" t="s">
        <v>2208</v>
      </c>
    </row>
    <row r="1582" spans="1:3" ht="15">
      <c r="A1582" s="90" t="s">
        <v>2120</v>
      </c>
      <c r="B1582" s="89" t="s">
        <v>1200</v>
      </c>
      <c r="C1582" s="98" t="s">
        <v>2208</v>
      </c>
    </row>
    <row r="1583" spans="1:3" ht="15">
      <c r="A1583" s="90" t="s">
        <v>2120</v>
      </c>
      <c r="B1583" s="89" t="s">
        <v>2384</v>
      </c>
      <c r="C1583" s="98" t="s">
        <v>2208</v>
      </c>
    </row>
    <row r="1584" spans="1:3" ht="15">
      <c r="A1584" s="90" t="s">
        <v>2120</v>
      </c>
      <c r="B1584" s="89" t="s">
        <v>2385</v>
      </c>
      <c r="C1584" s="98" t="s">
        <v>2208</v>
      </c>
    </row>
    <row r="1585" spans="1:3" ht="15">
      <c r="A1585" s="90" t="s">
        <v>2120</v>
      </c>
      <c r="B1585" s="89" t="s">
        <v>949</v>
      </c>
      <c r="C1585" s="98" t="s">
        <v>2208</v>
      </c>
    </row>
    <row r="1586" spans="1:3" ht="15">
      <c r="A1586" s="90" t="s">
        <v>2120</v>
      </c>
      <c r="B1586" s="89" t="s">
        <v>2386</v>
      </c>
      <c r="C1586" s="98" t="s">
        <v>2208</v>
      </c>
    </row>
    <row r="1587" spans="1:3" ht="15">
      <c r="A1587" s="90" t="s">
        <v>2120</v>
      </c>
      <c r="B1587" s="89" t="s">
        <v>2387</v>
      </c>
      <c r="C1587" s="98" t="s">
        <v>2208</v>
      </c>
    </row>
    <row r="1588" spans="1:3" ht="15">
      <c r="A1588" s="90" t="s">
        <v>2120</v>
      </c>
      <c r="B1588" s="89" t="s">
        <v>2444</v>
      </c>
      <c r="C1588" s="98" t="s">
        <v>2208</v>
      </c>
    </row>
    <row r="1589" spans="1:3" ht="15">
      <c r="A1589" s="90" t="s">
        <v>2120</v>
      </c>
      <c r="B1589" s="89" t="s">
        <v>2389</v>
      </c>
      <c r="C1589" s="98" t="s">
        <v>2208</v>
      </c>
    </row>
    <row r="1590" spans="1:3" ht="15">
      <c r="A1590" s="90" t="s">
        <v>2120</v>
      </c>
      <c r="B1590" s="89" t="s">
        <v>2390</v>
      </c>
      <c r="C1590" s="98" t="s">
        <v>2208</v>
      </c>
    </row>
    <row r="1591" spans="1:3" ht="15">
      <c r="A1591" s="90" t="s">
        <v>2120</v>
      </c>
      <c r="B1591" s="89" t="s">
        <v>1568</v>
      </c>
      <c r="C1591" s="98" t="s">
        <v>2208</v>
      </c>
    </row>
    <row r="1592" spans="1:3" ht="15">
      <c r="A1592" s="90" t="s">
        <v>2120</v>
      </c>
      <c r="B1592" s="89" t="s">
        <v>1153</v>
      </c>
      <c r="C1592" s="98" t="s">
        <v>2208</v>
      </c>
    </row>
    <row r="1593" spans="1:3" ht="15">
      <c r="A1593" s="90" t="s">
        <v>2120</v>
      </c>
      <c r="B1593" s="89" t="s">
        <v>1097</v>
      </c>
      <c r="C1593" s="98" t="s">
        <v>2208</v>
      </c>
    </row>
    <row r="1594" spans="1:3" ht="15">
      <c r="A1594" s="90" t="s">
        <v>2120</v>
      </c>
      <c r="B1594" s="89" t="s">
        <v>299</v>
      </c>
      <c r="C1594" s="98" t="s">
        <v>2208</v>
      </c>
    </row>
    <row r="1595" spans="1:3" ht="15">
      <c r="A1595" s="90" t="s">
        <v>2120</v>
      </c>
      <c r="B1595" s="89" t="s">
        <v>1155</v>
      </c>
      <c r="C1595" s="98" t="s">
        <v>2208</v>
      </c>
    </row>
    <row r="1596" spans="1:3" ht="15">
      <c r="A1596" s="90" t="s">
        <v>2120</v>
      </c>
      <c r="B1596" s="89" t="s">
        <v>1101</v>
      </c>
      <c r="C1596" s="98" t="s">
        <v>2208</v>
      </c>
    </row>
    <row r="1597" spans="1:3" ht="15">
      <c r="A1597" s="90" t="s">
        <v>266</v>
      </c>
      <c r="B1597" s="89" t="s">
        <v>1080</v>
      </c>
      <c r="C1597" s="98" t="s">
        <v>482</v>
      </c>
    </row>
    <row r="1598" spans="1:3" ht="15">
      <c r="A1598" s="90" t="s">
        <v>266</v>
      </c>
      <c r="B1598" s="89" t="s">
        <v>1081</v>
      </c>
      <c r="C1598" s="98" t="s">
        <v>482</v>
      </c>
    </row>
    <row r="1599" spans="1:3" ht="15">
      <c r="A1599" s="90" t="s">
        <v>266</v>
      </c>
      <c r="B1599" s="89" t="s">
        <v>1082</v>
      </c>
      <c r="C1599" s="98" t="s">
        <v>482</v>
      </c>
    </row>
    <row r="1600" spans="1:3" ht="15">
      <c r="A1600" s="90" t="s">
        <v>266</v>
      </c>
      <c r="B1600" s="89" t="s">
        <v>930</v>
      </c>
      <c r="C1600" s="98" t="s">
        <v>482</v>
      </c>
    </row>
    <row r="1601" spans="1:3" ht="15">
      <c r="A1601" s="90" t="s">
        <v>266</v>
      </c>
      <c r="B1601" s="89" t="s">
        <v>940</v>
      </c>
      <c r="C1601" s="98" t="s">
        <v>482</v>
      </c>
    </row>
    <row r="1602" spans="1:3" ht="15">
      <c r="A1602" s="90" t="s">
        <v>266</v>
      </c>
      <c r="B1602" s="89" t="s">
        <v>941</v>
      </c>
      <c r="C1602" s="98" t="s">
        <v>482</v>
      </c>
    </row>
    <row r="1603" spans="1:3" ht="15">
      <c r="A1603" s="90" t="s">
        <v>266</v>
      </c>
      <c r="B1603" s="89" t="s">
        <v>1083</v>
      </c>
      <c r="C1603" s="98" t="s">
        <v>482</v>
      </c>
    </row>
    <row r="1604" spans="1:3" ht="15">
      <c r="A1604" s="90" t="s">
        <v>266</v>
      </c>
      <c r="B1604" s="89" t="s">
        <v>931</v>
      </c>
      <c r="C1604" s="98" t="s">
        <v>482</v>
      </c>
    </row>
    <row r="1605" spans="1:3" ht="15">
      <c r="A1605" s="90" t="s">
        <v>266</v>
      </c>
      <c r="B1605" s="89" t="s">
        <v>1084</v>
      </c>
      <c r="C1605" s="98" t="s">
        <v>482</v>
      </c>
    </row>
    <row r="1606" spans="1:3" ht="15">
      <c r="A1606" s="90" t="s">
        <v>266</v>
      </c>
      <c r="B1606" s="89" t="s">
        <v>1085</v>
      </c>
      <c r="C1606" s="98" t="s">
        <v>482</v>
      </c>
    </row>
    <row r="1607" spans="1:3" ht="15">
      <c r="A1607" s="90" t="s">
        <v>266</v>
      </c>
      <c r="B1607" s="89" t="s">
        <v>1086</v>
      </c>
      <c r="C1607" s="98" t="s">
        <v>482</v>
      </c>
    </row>
    <row r="1608" spans="1:3" ht="15">
      <c r="A1608" s="90" t="s">
        <v>266</v>
      </c>
      <c r="B1608" s="89" t="s">
        <v>942</v>
      </c>
      <c r="C1608" s="98" t="s">
        <v>482</v>
      </c>
    </row>
    <row r="1609" spans="1:3" ht="15">
      <c r="A1609" s="90" t="s">
        <v>266</v>
      </c>
      <c r="B1609" s="89" t="s">
        <v>938</v>
      </c>
      <c r="C1609" s="98" t="s">
        <v>482</v>
      </c>
    </row>
    <row r="1610" spans="1:3" ht="15">
      <c r="A1610" s="90" t="s">
        <v>266</v>
      </c>
      <c r="B1610" s="89" t="s">
        <v>935</v>
      </c>
      <c r="C1610" s="98" t="s">
        <v>482</v>
      </c>
    </row>
    <row r="1611" spans="1:3" ht="15">
      <c r="A1611" s="90" t="s">
        <v>266</v>
      </c>
      <c r="B1611" s="89" t="s">
        <v>934</v>
      </c>
      <c r="C1611" s="98" t="s">
        <v>482</v>
      </c>
    </row>
    <row r="1612" spans="1:3" ht="15">
      <c r="A1612" s="90" t="s">
        <v>266</v>
      </c>
      <c r="B1612" s="89" t="s">
        <v>1087</v>
      </c>
      <c r="C1612" s="98" t="s">
        <v>482</v>
      </c>
    </row>
    <row r="1613" spans="1:3" ht="15">
      <c r="A1613" s="90" t="s">
        <v>266</v>
      </c>
      <c r="B1613" s="89" t="s">
        <v>1088</v>
      </c>
      <c r="C1613" s="98" t="s">
        <v>482</v>
      </c>
    </row>
    <row r="1614" spans="1:3" ht="15">
      <c r="A1614" s="90" t="s">
        <v>266</v>
      </c>
      <c r="B1614" s="89" t="s">
        <v>936</v>
      </c>
      <c r="C1614" s="98" t="s">
        <v>482</v>
      </c>
    </row>
    <row r="1615" spans="1:3" ht="15">
      <c r="A1615" s="90" t="s">
        <v>266</v>
      </c>
      <c r="B1615" s="89" t="s">
        <v>1089</v>
      </c>
      <c r="C1615" s="98" t="s">
        <v>482</v>
      </c>
    </row>
    <row r="1616" spans="1:3" ht="15">
      <c r="A1616" s="90" t="s">
        <v>266</v>
      </c>
      <c r="B1616" s="89" t="s">
        <v>943</v>
      </c>
      <c r="C1616" s="98" t="s">
        <v>482</v>
      </c>
    </row>
    <row r="1617" spans="1:3" ht="15">
      <c r="A1617" s="90" t="s">
        <v>266</v>
      </c>
      <c r="B1617" s="89" t="s">
        <v>1090</v>
      </c>
      <c r="C1617" s="98" t="s">
        <v>482</v>
      </c>
    </row>
    <row r="1618" spans="1:3" ht="15">
      <c r="A1618" s="90" t="s">
        <v>266</v>
      </c>
      <c r="B1618" s="89" t="s">
        <v>933</v>
      </c>
      <c r="C1618" s="98" t="s">
        <v>482</v>
      </c>
    </row>
    <row r="1619" spans="1:3" ht="15">
      <c r="A1619" s="90" t="s">
        <v>266</v>
      </c>
      <c r="B1619" s="89" t="s">
        <v>338</v>
      </c>
      <c r="C1619" s="98" t="s">
        <v>482</v>
      </c>
    </row>
    <row r="1620" spans="1:3" ht="15">
      <c r="A1620" s="90" t="s">
        <v>266</v>
      </c>
      <c r="B1620" s="89" t="s">
        <v>1091</v>
      </c>
      <c r="C1620" s="98" t="s">
        <v>482</v>
      </c>
    </row>
    <row r="1621" spans="1:3" ht="15">
      <c r="A1621" s="90" t="s">
        <v>266</v>
      </c>
      <c r="B1621" s="89" t="s">
        <v>299</v>
      </c>
      <c r="C1621" s="98" t="s">
        <v>482</v>
      </c>
    </row>
    <row r="1622" spans="1:3" ht="15">
      <c r="A1622" s="90" t="s">
        <v>274</v>
      </c>
      <c r="B1622" s="89" t="s">
        <v>1147</v>
      </c>
      <c r="C1622" s="98" t="s">
        <v>491</v>
      </c>
    </row>
    <row r="1623" spans="1:3" ht="15">
      <c r="A1623" s="90" t="s">
        <v>274</v>
      </c>
      <c r="B1623" s="89" t="s">
        <v>1087</v>
      </c>
      <c r="C1623" s="98" t="s">
        <v>491</v>
      </c>
    </row>
    <row r="1624" spans="1:3" ht="15">
      <c r="A1624" s="90" t="s">
        <v>274</v>
      </c>
      <c r="B1624" s="89" t="s">
        <v>1092</v>
      </c>
      <c r="C1624" s="98" t="s">
        <v>491</v>
      </c>
    </row>
    <row r="1625" spans="1:3" ht="15">
      <c r="A1625" s="90" t="s">
        <v>274</v>
      </c>
      <c r="B1625" s="89" t="s">
        <v>945</v>
      </c>
      <c r="C1625" s="98" t="s">
        <v>491</v>
      </c>
    </row>
    <row r="1626" spans="1:3" ht="15">
      <c r="A1626" s="90" t="s">
        <v>274</v>
      </c>
      <c r="B1626" s="89" t="s">
        <v>338</v>
      </c>
      <c r="C1626" s="98" t="s">
        <v>491</v>
      </c>
    </row>
    <row r="1627" spans="1:3" ht="15">
      <c r="A1627" s="90" t="s">
        <v>274</v>
      </c>
      <c r="B1627" s="89" t="s">
        <v>1148</v>
      </c>
      <c r="C1627" s="98" t="s">
        <v>491</v>
      </c>
    </row>
    <row r="1628" spans="1:3" ht="15">
      <c r="A1628" s="90" t="s">
        <v>274</v>
      </c>
      <c r="B1628" s="89" t="s">
        <v>1123</v>
      </c>
      <c r="C1628" s="98" t="s">
        <v>491</v>
      </c>
    </row>
    <row r="1629" spans="1:3" ht="15">
      <c r="A1629" s="90" t="s">
        <v>274</v>
      </c>
      <c r="B1629" s="89" t="s">
        <v>959</v>
      </c>
      <c r="C1629" s="98" t="s">
        <v>491</v>
      </c>
    </row>
    <row r="1630" spans="1:3" ht="15">
      <c r="A1630" s="90" t="s">
        <v>274</v>
      </c>
      <c r="B1630" s="89" t="s">
        <v>960</v>
      </c>
      <c r="C1630" s="98" t="s">
        <v>491</v>
      </c>
    </row>
    <row r="1631" spans="1:3" ht="15">
      <c r="A1631" s="90" t="s">
        <v>274</v>
      </c>
      <c r="B1631" s="89" t="s">
        <v>961</v>
      </c>
      <c r="C1631" s="98" t="s">
        <v>491</v>
      </c>
    </row>
    <row r="1632" spans="1:3" ht="15">
      <c r="A1632" s="90" t="s">
        <v>274</v>
      </c>
      <c r="B1632" s="89" t="s">
        <v>962</v>
      </c>
      <c r="C1632" s="98" t="s">
        <v>491</v>
      </c>
    </row>
    <row r="1633" spans="1:3" ht="15">
      <c r="A1633" s="90" t="s">
        <v>274</v>
      </c>
      <c r="B1633" s="89" t="s">
        <v>963</v>
      </c>
      <c r="C1633" s="98" t="s">
        <v>491</v>
      </c>
    </row>
    <row r="1634" spans="1:3" ht="15">
      <c r="A1634" s="90" t="s">
        <v>274</v>
      </c>
      <c r="B1634" s="89" t="s">
        <v>964</v>
      </c>
      <c r="C1634" s="98" t="s">
        <v>491</v>
      </c>
    </row>
    <row r="1635" spans="1:3" ht="15">
      <c r="A1635" s="90" t="s">
        <v>274</v>
      </c>
      <c r="B1635" s="89" t="s">
        <v>965</v>
      </c>
      <c r="C1635" s="98" t="s">
        <v>491</v>
      </c>
    </row>
    <row r="1636" spans="1:3" ht="15">
      <c r="A1636" s="90" t="s">
        <v>274</v>
      </c>
      <c r="B1636" s="89" t="s">
        <v>1149</v>
      </c>
      <c r="C1636" s="98" t="s">
        <v>491</v>
      </c>
    </row>
    <row r="1637" spans="1:3" ht="15">
      <c r="A1637" s="90" t="s">
        <v>274</v>
      </c>
      <c r="B1637" s="89" t="s">
        <v>981</v>
      </c>
      <c r="C1637" s="98" t="s">
        <v>491</v>
      </c>
    </row>
    <row r="1638" spans="1:3" ht="15">
      <c r="A1638" s="90" t="s">
        <v>274</v>
      </c>
      <c r="B1638" s="89" t="s">
        <v>982</v>
      </c>
      <c r="C1638" s="98" t="s">
        <v>491</v>
      </c>
    </row>
    <row r="1639" spans="1:3" ht="15">
      <c r="A1639" s="90" t="s">
        <v>274</v>
      </c>
      <c r="B1639" s="89" t="s">
        <v>1150</v>
      </c>
      <c r="C1639" s="98" t="s">
        <v>491</v>
      </c>
    </row>
    <row r="1640" spans="1:3" ht="15">
      <c r="A1640" s="90" t="s">
        <v>274</v>
      </c>
      <c r="B1640" s="89" t="s">
        <v>1151</v>
      </c>
      <c r="C1640" s="98" t="s">
        <v>491</v>
      </c>
    </row>
    <row r="1641" spans="1:3" ht="15">
      <c r="A1641" s="90" t="s">
        <v>274</v>
      </c>
      <c r="B1641" s="89" t="s">
        <v>983</v>
      </c>
      <c r="C1641" s="98" t="s">
        <v>491</v>
      </c>
    </row>
    <row r="1642" spans="1:3" ht="15">
      <c r="A1642" s="90" t="s">
        <v>274</v>
      </c>
      <c r="B1642" s="89" t="s">
        <v>1152</v>
      </c>
      <c r="C1642" s="98" t="s">
        <v>491</v>
      </c>
    </row>
    <row r="1643" spans="1:3" ht="15">
      <c r="A1643" s="90" t="s">
        <v>274</v>
      </c>
      <c r="B1643" s="89" t="s">
        <v>1094</v>
      </c>
      <c r="C1643" s="98" t="s">
        <v>491</v>
      </c>
    </row>
    <row r="1644" spans="1:3" ht="15">
      <c r="A1644" s="90" t="s">
        <v>274</v>
      </c>
      <c r="B1644" s="89" t="s">
        <v>1153</v>
      </c>
      <c r="C1644" s="98" t="s">
        <v>491</v>
      </c>
    </row>
    <row r="1645" spans="1:3" ht="15">
      <c r="A1645" s="90" t="s">
        <v>274</v>
      </c>
      <c r="B1645" s="89" t="s">
        <v>1091</v>
      </c>
      <c r="C1645" s="98" t="s">
        <v>491</v>
      </c>
    </row>
    <row r="1646" spans="1:3" ht="15">
      <c r="A1646" s="90" t="s">
        <v>274</v>
      </c>
      <c r="B1646" s="89" t="s">
        <v>299</v>
      </c>
      <c r="C1646" s="98" t="s">
        <v>491</v>
      </c>
    </row>
    <row r="1647" spans="1:3" ht="15">
      <c r="A1647" s="90" t="s">
        <v>265</v>
      </c>
      <c r="B1647" s="89" t="s">
        <v>1147</v>
      </c>
      <c r="C1647" s="98" t="s">
        <v>481</v>
      </c>
    </row>
    <row r="1648" spans="1:3" ht="15">
      <c r="A1648" s="90" t="s">
        <v>265</v>
      </c>
      <c r="B1648" s="89" t="s">
        <v>1087</v>
      </c>
      <c r="C1648" s="98" t="s">
        <v>481</v>
      </c>
    </row>
    <row r="1649" spans="1:3" ht="15">
      <c r="A1649" s="90" t="s">
        <v>265</v>
      </c>
      <c r="B1649" s="89" t="s">
        <v>1092</v>
      </c>
      <c r="C1649" s="98" t="s">
        <v>481</v>
      </c>
    </row>
    <row r="1650" spans="1:3" ht="15">
      <c r="A1650" s="90" t="s">
        <v>265</v>
      </c>
      <c r="B1650" s="89" t="s">
        <v>945</v>
      </c>
      <c r="C1650" s="98" t="s">
        <v>481</v>
      </c>
    </row>
    <row r="1651" spans="1:3" ht="15">
      <c r="A1651" s="90" t="s">
        <v>265</v>
      </c>
      <c r="B1651" s="89" t="s">
        <v>338</v>
      </c>
      <c r="C1651" s="98" t="s">
        <v>481</v>
      </c>
    </row>
    <row r="1652" spans="1:3" ht="15">
      <c r="A1652" s="90" t="s">
        <v>265</v>
      </c>
      <c r="B1652" s="89" t="s">
        <v>1148</v>
      </c>
      <c r="C1652" s="98" t="s">
        <v>481</v>
      </c>
    </row>
    <row r="1653" spans="1:3" ht="15">
      <c r="A1653" s="90" t="s">
        <v>265</v>
      </c>
      <c r="B1653" s="89" t="s">
        <v>1123</v>
      </c>
      <c r="C1653" s="98" t="s">
        <v>481</v>
      </c>
    </row>
    <row r="1654" spans="1:3" ht="15">
      <c r="A1654" s="90" t="s">
        <v>265</v>
      </c>
      <c r="B1654" s="89" t="s">
        <v>959</v>
      </c>
      <c r="C1654" s="98" t="s">
        <v>481</v>
      </c>
    </row>
    <row r="1655" spans="1:3" ht="15">
      <c r="A1655" s="90" t="s">
        <v>265</v>
      </c>
      <c r="B1655" s="89" t="s">
        <v>960</v>
      </c>
      <c r="C1655" s="98" t="s">
        <v>481</v>
      </c>
    </row>
    <row r="1656" spans="1:3" ht="15">
      <c r="A1656" s="90" t="s">
        <v>265</v>
      </c>
      <c r="B1656" s="89" t="s">
        <v>961</v>
      </c>
      <c r="C1656" s="98" t="s">
        <v>481</v>
      </c>
    </row>
    <row r="1657" spans="1:3" ht="15">
      <c r="A1657" s="90" t="s">
        <v>265</v>
      </c>
      <c r="B1657" s="89" t="s">
        <v>962</v>
      </c>
      <c r="C1657" s="98" t="s">
        <v>481</v>
      </c>
    </row>
    <row r="1658" spans="1:3" ht="15">
      <c r="A1658" s="90" t="s">
        <v>265</v>
      </c>
      <c r="B1658" s="89" t="s">
        <v>963</v>
      </c>
      <c r="C1658" s="98" t="s">
        <v>481</v>
      </c>
    </row>
    <row r="1659" spans="1:3" ht="15">
      <c r="A1659" s="90" t="s">
        <v>265</v>
      </c>
      <c r="B1659" s="89" t="s">
        <v>964</v>
      </c>
      <c r="C1659" s="98" t="s">
        <v>481</v>
      </c>
    </row>
    <row r="1660" spans="1:3" ht="15">
      <c r="A1660" s="90" t="s">
        <v>265</v>
      </c>
      <c r="B1660" s="89" t="s">
        <v>965</v>
      </c>
      <c r="C1660" s="98" t="s">
        <v>481</v>
      </c>
    </row>
    <row r="1661" spans="1:3" ht="15">
      <c r="A1661" s="90" t="s">
        <v>265</v>
      </c>
      <c r="B1661" s="89" t="s">
        <v>1149</v>
      </c>
      <c r="C1661" s="98" t="s">
        <v>481</v>
      </c>
    </row>
    <row r="1662" spans="1:3" ht="15">
      <c r="A1662" s="90" t="s">
        <v>265</v>
      </c>
      <c r="B1662" s="89" t="s">
        <v>981</v>
      </c>
      <c r="C1662" s="98" t="s">
        <v>481</v>
      </c>
    </row>
    <row r="1663" spans="1:3" ht="15">
      <c r="A1663" s="90" t="s">
        <v>265</v>
      </c>
      <c r="B1663" s="89" t="s">
        <v>982</v>
      </c>
      <c r="C1663" s="98" t="s">
        <v>481</v>
      </c>
    </row>
    <row r="1664" spans="1:3" ht="15">
      <c r="A1664" s="90" t="s">
        <v>265</v>
      </c>
      <c r="B1664" s="89" t="s">
        <v>1150</v>
      </c>
      <c r="C1664" s="98" t="s">
        <v>481</v>
      </c>
    </row>
    <row r="1665" spans="1:3" ht="15">
      <c r="A1665" s="90" t="s">
        <v>265</v>
      </c>
      <c r="B1665" s="89" t="s">
        <v>1151</v>
      </c>
      <c r="C1665" s="98" t="s">
        <v>481</v>
      </c>
    </row>
    <row r="1666" spans="1:3" ht="15">
      <c r="A1666" s="90" t="s">
        <v>265</v>
      </c>
      <c r="B1666" s="89" t="s">
        <v>983</v>
      </c>
      <c r="C1666" s="98" t="s">
        <v>481</v>
      </c>
    </row>
    <row r="1667" spans="1:3" ht="15">
      <c r="A1667" s="90" t="s">
        <v>265</v>
      </c>
      <c r="B1667" s="89" t="s">
        <v>1152</v>
      </c>
      <c r="C1667" s="98" t="s">
        <v>481</v>
      </c>
    </row>
    <row r="1668" spans="1:3" ht="15">
      <c r="A1668" s="90" t="s">
        <v>265</v>
      </c>
      <c r="B1668" s="89" t="s">
        <v>1094</v>
      </c>
      <c r="C1668" s="98" t="s">
        <v>481</v>
      </c>
    </row>
    <row r="1669" spans="1:3" ht="15">
      <c r="A1669" s="90" t="s">
        <v>265</v>
      </c>
      <c r="B1669" s="89" t="s">
        <v>1153</v>
      </c>
      <c r="C1669" s="98" t="s">
        <v>481</v>
      </c>
    </row>
    <row r="1670" spans="1:3" ht="15">
      <c r="A1670" s="90" t="s">
        <v>265</v>
      </c>
      <c r="B1670" s="89" t="s">
        <v>1091</v>
      </c>
      <c r="C1670" s="98" t="s">
        <v>481</v>
      </c>
    </row>
    <row r="1671" spans="1:3" ht="15">
      <c r="A1671" s="90" t="s">
        <v>265</v>
      </c>
      <c r="B1671" s="89" t="s">
        <v>299</v>
      </c>
      <c r="C1671" s="98" t="s">
        <v>481</v>
      </c>
    </row>
    <row r="1672" spans="1:3" ht="15">
      <c r="A1672" s="90" t="s">
        <v>264</v>
      </c>
      <c r="B1672" s="89" t="s">
        <v>1080</v>
      </c>
      <c r="C1672" s="98" t="s">
        <v>480</v>
      </c>
    </row>
    <row r="1673" spans="1:3" ht="15">
      <c r="A1673" s="90" t="s">
        <v>264</v>
      </c>
      <c r="B1673" s="89" t="s">
        <v>1081</v>
      </c>
      <c r="C1673" s="98" t="s">
        <v>480</v>
      </c>
    </row>
    <row r="1674" spans="1:3" ht="15">
      <c r="A1674" s="90" t="s">
        <v>264</v>
      </c>
      <c r="B1674" s="89" t="s">
        <v>1082</v>
      </c>
      <c r="C1674" s="98" t="s">
        <v>480</v>
      </c>
    </row>
    <row r="1675" spans="1:3" ht="15">
      <c r="A1675" s="90" t="s">
        <v>264</v>
      </c>
      <c r="B1675" s="89" t="s">
        <v>930</v>
      </c>
      <c r="C1675" s="98" t="s">
        <v>480</v>
      </c>
    </row>
    <row r="1676" spans="1:3" ht="15">
      <c r="A1676" s="90" t="s">
        <v>264</v>
      </c>
      <c r="B1676" s="89" t="s">
        <v>940</v>
      </c>
      <c r="C1676" s="98" t="s">
        <v>480</v>
      </c>
    </row>
    <row r="1677" spans="1:3" ht="15">
      <c r="A1677" s="90" t="s">
        <v>264</v>
      </c>
      <c r="B1677" s="89" t="s">
        <v>941</v>
      </c>
      <c r="C1677" s="98" t="s">
        <v>480</v>
      </c>
    </row>
    <row r="1678" spans="1:3" ht="15">
      <c r="A1678" s="90" t="s">
        <v>264</v>
      </c>
      <c r="B1678" s="89" t="s">
        <v>1083</v>
      </c>
      <c r="C1678" s="98" t="s">
        <v>480</v>
      </c>
    </row>
    <row r="1679" spans="1:3" ht="15">
      <c r="A1679" s="90" t="s">
        <v>264</v>
      </c>
      <c r="B1679" s="89" t="s">
        <v>931</v>
      </c>
      <c r="C1679" s="98" t="s">
        <v>480</v>
      </c>
    </row>
    <row r="1680" spans="1:3" ht="15">
      <c r="A1680" s="90" t="s">
        <v>264</v>
      </c>
      <c r="B1680" s="89" t="s">
        <v>1084</v>
      </c>
      <c r="C1680" s="98" t="s">
        <v>480</v>
      </c>
    </row>
    <row r="1681" spans="1:3" ht="15">
      <c r="A1681" s="90" t="s">
        <v>264</v>
      </c>
      <c r="B1681" s="89" t="s">
        <v>1085</v>
      </c>
      <c r="C1681" s="98" t="s">
        <v>480</v>
      </c>
    </row>
    <row r="1682" spans="1:3" ht="15">
      <c r="A1682" s="90" t="s">
        <v>264</v>
      </c>
      <c r="B1682" s="89" t="s">
        <v>1086</v>
      </c>
      <c r="C1682" s="98" t="s">
        <v>480</v>
      </c>
    </row>
    <row r="1683" spans="1:3" ht="15">
      <c r="A1683" s="90" t="s">
        <v>264</v>
      </c>
      <c r="B1683" s="89" t="s">
        <v>942</v>
      </c>
      <c r="C1683" s="98" t="s">
        <v>480</v>
      </c>
    </row>
    <row r="1684" spans="1:3" ht="15">
      <c r="A1684" s="90" t="s">
        <v>264</v>
      </c>
      <c r="B1684" s="89" t="s">
        <v>938</v>
      </c>
      <c r="C1684" s="98" t="s">
        <v>480</v>
      </c>
    </row>
    <row r="1685" spans="1:3" ht="15">
      <c r="A1685" s="90" t="s">
        <v>264</v>
      </c>
      <c r="B1685" s="89" t="s">
        <v>935</v>
      </c>
      <c r="C1685" s="98" t="s">
        <v>480</v>
      </c>
    </row>
    <row r="1686" spans="1:3" ht="15">
      <c r="A1686" s="90" t="s">
        <v>264</v>
      </c>
      <c r="B1686" s="89" t="s">
        <v>934</v>
      </c>
      <c r="C1686" s="98" t="s">
        <v>480</v>
      </c>
    </row>
    <row r="1687" spans="1:3" ht="15">
      <c r="A1687" s="90" t="s">
        <v>264</v>
      </c>
      <c r="B1687" s="89" t="s">
        <v>1087</v>
      </c>
      <c r="C1687" s="98" t="s">
        <v>480</v>
      </c>
    </row>
    <row r="1688" spans="1:3" ht="15">
      <c r="A1688" s="90" t="s">
        <v>264</v>
      </c>
      <c r="B1688" s="89" t="s">
        <v>1088</v>
      </c>
      <c r="C1688" s="98" t="s">
        <v>480</v>
      </c>
    </row>
    <row r="1689" spans="1:3" ht="15">
      <c r="A1689" s="90" t="s">
        <v>264</v>
      </c>
      <c r="B1689" s="89" t="s">
        <v>936</v>
      </c>
      <c r="C1689" s="98" t="s">
        <v>480</v>
      </c>
    </row>
    <row r="1690" spans="1:3" ht="15">
      <c r="A1690" s="90" t="s">
        <v>264</v>
      </c>
      <c r="B1690" s="89" t="s">
        <v>1089</v>
      </c>
      <c r="C1690" s="98" t="s">
        <v>480</v>
      </c>
    </row>
    <row r="1691" spans="1:3" ht="15">
      <c r="A1691" s="90" t="s">
        <v>264</v>
      </c>
      <c r="B1691" s="89" t="s">
        <v>943</v>
      </c>
      <c r="C1691" s="98" t="s">
        <v>480</v>
      </c>
    </row>
    <row r="1692" spans="1:3" ht="15">
      <c r="A1692" s="90" t="s">
        <v>264</v>
      </c>
      <c r="B1692" s="89" t="s">
        <v>1090</v>
      </c>
      <c r="C1692" s="98" t="s">
        <v>480</v>
      </c>
    </row>
    <row r="1693" spans="1:3" ht="15">
      <c r="A1693" s="90" t="s">
        <v>264</v>
      </c>
      <c r="B1693" s="89" t="s">
        <v>933</v>
      </c>
      <c r="C1693" s="98" t="s">
        <v>480</v>
      </c>
    </row>
    <row r="1694" spans="1:3" ht="15">
      <c r="A1694" s="90" t="s">
        <v>264</v>
      </c>
      <c r="B1694" s="89" t="s">
        <v>338</v>
      </c>
      <c r="C1694" s="98" t="s">
        <v>480</v>
      </c>
    </row>
    <row r="1695" spans="1:3" ht="15">
      <c r="A1695" s="90" t="s">
        <v>264</v>
      </c>
      <c r="B1695" s="89" t="s">
        <v>1091</v>
      </c>
      <c r="C1695" s="98" t="s">
        <v>480</v>
      </c>
    </row>
    <row r="1696" spans="1:3" ht="15">
      <c r="A1696" s="90" t="s">
        <v>264</v>
      </c>
      <c r="B1696" s="89" t="s">
        <v>299</v>
      </c>
      <c r="C1696" s="98" t="s">
        <v>480</v>
      </c>
    </row>
    <row r="1697" spans="1:3" ht="15">
      <c r="A1697" s="90" t="s">
        <v>263</v>
      </c>
      <c r="B1697" s="89" t="s">
        <v>1080</v>
      </c>
      <c r="C1697" s="98" t="s">
        <v>479</v>
      </c>
    </row>
    <row r="1698" spans="1:3" ht="15">
      <c r="A1698" s="90" t="s">
        <v>263</v>
      </c>
      <c r="B1698" s="89" t="s">
        <v>1081</v>
      </c>
      <c r="C1698" s="98" t="s">
        <v>479</v>
      </c>
    </row>
    <row r="1699" spans="1:3" ht="15">
      <c r="A1699" s="90" t="s">
        <v>263</v>
      </c>
      <c r="B1699" s="89" t="s">
        <v>1082</v>
      </c>
      <c r="C1699" s="98" t="s">
        <v>479</v>
      </c>
    </row>
    <row r="1700" spans="1:3" ht="15">
      <c r="A1700" s="90" t="s">
        <v>263</v>
      </c>
      <c r="B1700" s="89" t="s">
        <v>930</v>
      </c>
      <c r="C1700" s="98" t="s">
        <v>479</v>
      </c>
    </row>
    <row r="1701" spans="1:3" ht="15">
      <c r="A1701" s="90" t="s">
        <v>263</v>
      </c>
      <c r="B1701" s="89" t="s">
        <v>940</v>
      </c>
      <c r="C1701" s="98" t="s">
        <v>479</v>
      </c>
    </row>
    <row r="1702" spans="1:3" ht="15">
      <c r="A1702" s="90" t="s">
        <v>263</v>
      </c>
      <c r="B1702" s="89" t="s">
        <v>941</v>
      </c>
      <c r="C1702" s="98" t="s">
        <v>479</v>
      </c>
    </row>
    <row r="1703" spans="1:3" ht="15">
      <c r="A1703" s="90" t="s">
        <v>263</v>
      </c>
      <c r="B1703" s="89" t="s">
        <v>1083</v>
      </c>
      <c r="C1703" s="98" t="s">
        <v>479</v>
      </c>
    </row>
    <row r="1704" spans="1:3" ht="15">
      <c r="A1704" s="90" t="s">
        <v>263</v>
      </c>
      <c r="B1704" s="89" t="s">
        <v>931</v>
      </c>
      <c r="C1704" s="98" t="s">
        <v>479</v>
      </c>
    </row>
    <row r="1705" spans="1:3" ht="15">
      <c r="A1705" s="90" t="s">
        <v>263</v>
      </c>
      <c r="B1705" s="89" t="s">
        <v>1084</v>
      </c>
      <c r="C1705" s="98" t="s">
        <v>479</v>
      </c>
    </row>
    <row r="1706" spans="1:3" ht="15">
      <c r="A1706" s="90" t="s">
        <v>263</v>
      </c>
      <c r="B1706" s="89" t="s">
        <v>1085</v>
      </c>
      <c r="C1706" s="98" t="s">
        <v>479</v>
      </c>
    </row>
    <row r="1707" spans="1:3" ht="15">
      <c r="A1707" s="90" t="s">
        <v>263</v>
      </c>
      <c r="B1707" s="89" t="s">
        <v>1086</v>
      </c>
      <c r="C1707" s="98" t="s">
        <v>479</v>
      </c>
    </row>
    <row r="1708" spans="1:3" ht="15">
      <c r="A1708" s="90" t="s">
        <v>263</v>
      </c>
      <c r="B1708" s="89" t="s">
        <v>942</v>
      </c>
      <c r="C1708" s="98" t="s">
        <v>479</v>
      </c>
    </row>
    <row r="1709" spans="1:3" ht="15">
      <c r="A1709" s="90" t="s">
        <v>263</v>
      </c>
      <c r="B1709" s="89" t="s">
        <v>938</v>
      </c>
      <c r="C1709" s="98" t="s">
        <v>479</v>
      </c>
    </row>
    <row r="1710" spans="1:3" ht="15">
      <c r="A1710" s="90" t="s">
        <v>263</v>
      </c>
      <c r="B1710" s="89" t="s">
        <v>935</v>
      </c>
      <c r="C1710" s="98" t="s">
        <v>479</v>
      </c>
    </row>
    <row r="1711" spans="1:3" ht="15">
      <c r="A1711" s="90" t="s">
        <v>263</v>
      </c>
      <c r="B1711" s="89" t="s">
        <v>934</v>
      </c>
      <c r="C1711" s="98" t="s">
        <v>479</v>
      </c>
    </row>
    <row r="1712" spans="1:3" ht="15">
      <c r="A1712" s="90" t="s">
        <v>263</v>
      </c>
      <c r="B1712" s="89" t="s">
        <v>1087</v>
      </c>
      <c r="C1712" s="98" t="s">
        <v>479</v>
      </c>
    </row>
    <row r="1713" spans="1:3" ht="15">
      <c r="A1713" s="90" t="s">
        <v>263</v>
      </c>
      <c r="B1713" s="89" t="s">
        <v>1088</v>
      </c>
      <c r="C1713" s="98" t="s">
        <v>479</v>
      </c>
    </row>
    <row r="1714" spans="1:3" ht="15">
      <c r="A1714" s="90" t="s">
        <v>263</v>
      </c>
      <c r="B1714" s="89" t="s">
        <v>936</v>
      </c>
      <c r="C1714" s="98" t="s">
        <v>479</v>
      </c>
    </row>
    <row r="1715" spans="1:3" ht="15">
      <c r="A1715" s="90" t="s">
        <v>263</v>
      </c>
      <c r="B1715" s="89" t="s">
        <v>1089</v>
      </c>
      <c r="C1715" s="98" t="s">
        <v>479</v>
      </c>
    </row>
    <row r="1716" spans="1:3" ht="15">
      <c r="A1716" s="90" t="s">
        <v>263</v>
      </c>
      <c r="B1716" s="89" t="s">
        <v>943</v>
      </c>
      <c r="C1716" s="98" t="s">
        <v>479</v>
      </c>
    </row>
    <row r="1717" spans="1:3" ht="15">
      <c r="A1717" s="90" t="s">
        <v>263</v>
      </c>
      <c r="B1717" s="89" t="s">
        <v>1090</v>
      </c>
      <c r="C1717" s="98" t="s">
        <v>479</v>
      </c>
    </row>
    <row r="1718" spans="1:3" ht="15">
      <c r="A1718" s="90" t="s">
        <v>263</v>
      </c>
      <c r="B1718" s="89" t="s">
        <v>933</v>
      </c>
      <c r="C1718" s="98" t="s">
        <v>479</v>
      </c>
    </row>
    <row r="1719" spans="1:3" ht="15">
      <c r="A1719" s="90" t="s">
        <v>263</v>
      </c>
      <c r="B1719" s="89" t="s">
        <v>338</v>
      </c>
      <c r="C1719" s="98" t="s">
        <v>479</v>
      </c>
    </row>
    <row r="1720" spans="1:3" ht="15">
      <c r="A1720" s="90" t="s">
        <v>263</v>
      </c>
      <c r="B1720" s="89" t="s">
        <v>1091</v>
      </c>
      <c r="C1720" s="98" t="s">
        <v>479</v>
      </c>
    </row>
    <row r="1721" spans="1:3" ht="15">
      <c r="A1721" s="90" t="s">
        <v>263</v>
      </c>
      <c r="B1721" s="89" t="s">
        <v>299</v>
      </c>
      <c r="C1721" s="98" t="s">
        <v>479</v>
      </c>
    </row>
    <row r="1722" spans="1:3" ht="15">
      <c r="A1722" s="90" t="s">
        <v>262</v>
      </c>
      <c r="B1722" s="89" t="s">
        <v>1080</v>
      </c>
      <c r="C1722" s="98" t="s">
        <v>478</v>
      </c>
    </row>
    <row r="1723" spans="1:3" ht="15">
      <c r="A1723" s="90" t="s">
        <v>262</v>
      </c>
      <c r="B1723" s="89" t="s">
        <v>1081</v>
      </c>
      <c r="C1723" s="98" t="s">
        <v>478</v>
      </c>
    </row>
    <row r="1724" spans="1:3" ht="15">
      <c r="A1724" s="90" t="s">
        <v>262</v>
      </c>
      <c r="B1724" s="89" t="s">
        <v>1082</v>
      </c>
      <c r="C1724" s="98" t="s">
        <v>478</v>
      </c>
    </row>
    <row r="1725" spans="1:3" ht="15">
      <c r="A1725" s="90" t="s">
        <v>262</v>
      </c>
      <c r="B1725" s="89" t="s">
        <v>930</v>
      </c>
      <c r="C1725" s="98" t="s">
        <v>478</v>
      </c>
    </row>
    <row r="1726" spans="1:3" ht="15">
      <c r="A1726" s="90" t="s">
        <v>262</v>
      </c>
      <c r="B1726" s="89" t="s">
        <v>940</v>
      </c>
      <c r="C1726" s="98" t="s">
        <v>478</v>
      </c>
    </row>
    <row r="1727" spans="1:3" ht="15">
      <c r="A1727" s="90" t="s">
        <v>262</v>
      </c>
      <c r="B1727" s="89" t="s">
        <v>941</v>
      </c>
      <c r="C1727" s="98" t="s">
        <v>478</v>
      </c>
    </row>
    <row r="1728" spans="1:3" ht="15">
      <c r="A1728" s="90" t="s">
        <v>262</v>
      </c>
      <c r="B1728" s="89" t="s">
        <v>1083</v>
      </c>
      <c r="C1728" s="98" t="s">
        <v>478</v>
      </c>
    </row>
    <row r="1729" spans="1:3" ht="15">
      <c r="A1729" s="90" t="s">
        <v>262</v>
      </c>
      <c r="B1729" s="89" t="s">
        <v>931</v>
      </c>
      <c r="C1729" s="98" t="s">
        <v>478</v>
      </c>
    </row>
    <row r="1730" spans="1:3" ht="15">
      <c r="A1730" s="90" t="s">
        <v>262</v>
      </c>
      <c r="B1730" s="89" t="s">
        <v>1084</v>
      </c>
      <c r="C1730" s="98" t="s">
        <v>478</v>
      </c>
    </row>
    <row r="1731" spans="1:3" ht="15">
      <c r="A1731" s="90" t="s">
        <v>262</v>
      </c>
      <c r="B1731" s="89" t="s">
        <v>1085</v>
      </c>
      <c r="C1731" s="98" t="s">
        <v>478</v>
      </c>
    </row>
    <row r="1732" spans="1:3" ht="15">
      <c r="A1732" s="90" t="s">
        <v>262</v>
      </c>
      <c r="B1732" s="89" t="s">
        <v>1086</v>
      </c>
      <c r="C1732" s="98" t="s">
        <v>478</v>
      </c>
    </row>
    <row r="1733" spans="1:3" ht="15">
      <c r="A1733" s="90" t="s">
        <v>262</v>
      </c>
      <c r="B1733" s="89" t="s">
        <v>942</v>
      </c>
      <c r="C1733" s="98" t="s">
        <v>478</v>
      </c>
    </row>
    <row r="1734" spans="1:3" ht="15">
      <c r="A1734" s="90" t="s">
        <v>262</v>
      </c>
      <c r="B1734" s="89" t="s">
        <v>938</v>
      </c>
      <c r="C1734" s="98" t="s">
        <v>478</v>
      </c>
    </row>
    <row r="1735" spans="1:3" ht="15">
      <c r="A1735" s="90" t="s">
        <v>262</v>
      </c>
      <c r="B1735" s="89" t="s">
        <v>935</v>
      </c>
      <c r="C1735" s="98" t="s">
        <v>478</v>
      </c>
    </row>
    <row r="1736" spans="1:3" ht="15">
      <c r="A1736" s="90" t="s">
        <v>262</v>
      </c>
      <c r="B1736" s="89" t="s">
        <v>934</v>
      </c>
      <c r="C1736" s="98" t="s">
        <v>478</v>
      </c>
    </row>
    <row r="1737" spans="1:3" ht="15">
      <c r="A1737" s="90" t="s">
        <v>262</v>
      </c>
      <c r="B1737" s="89" t="s">
        <v>1087</v>
      </c>
      <c r="C1737" s="98" t="s">
        <v>478</v>
      </c>
    </row>
    <row r="1738" spans="1:3" ht="15">
      <c r="A1738" s="90" t="s">
        <v>262</v>
      </c>
      <c r="B1738" s="89" t="s">
        <v>1088</v>
      </c>
      <c r="C1738" s="98" t="s">
        <v>478</v>
      </c>
    </row>
    <row r="1739" spans="1:3" ht="15">
      <c r="A1739" s="90" t="s">
        <v>262</v>
      </c>
      <c r="B1739" s="89" t="s">
        <v>936</v>
      </c>
      <c r="C1739" s="98" t="s">
        <v>478</v>
      </c>
    </row>
    <row r="1740" spans="1:3" ht="15">
      <c r="A1740" s="90" t="s">
        <v>262</v>
      </c>
      <c r="B1740" s="89" t="s">
        <v>1089</v>
      </c>
      <c r="C1740" s="98" t="s">
        <v>478</v>
      </c>
    </row>
    <row r="1741" spans="1:3" ht="15">
      <c r="A1741" s="90" t="s">
        <v>262</v>
      </c>
      <c r="B1741" s="89" t="s">
        <v>943</v>
      </c>
      <c r="C1741" s="98" t="s">
        <v>478</v>
      </c>
    </row>
    <row r="1742" spans="1:3" ht="15">
      <c r="A1742" s="90" t="s">
        <v>262</v>
      </c>
      <c r="B1742" s="89" t="s">
        <v>1090</v>
      </c>
      <c r="C1742" s="98" t="s">
        <v>478</v>
      </c>
    </row>
    <row r="1743" spans="1:3" ht="15">
      <c r="A1743" s="90" t="s">
        <v>262</v>
      </c>
      <c r="B1743" s="89" t="s">
        <v>933</v>
      </c>
      <c r="C1743" s="98" t="s">
        <v>478</v>
      </c>
    </row>
    <row r="1744" spans="1:3" ht="15">
      <c r="A1744" s="90" t="s">
        <v>262</v>
      </c>
      <c r="B1744" s="89" t="s">
        <v>338</v>
      </c>
      <c r="C1744" s="98" t="s">
        <v>478</v>
      </c>
    </row>
    <row r="1745" spans="1:3" ht="15">
      <c r="A1745" s="90" t="s">
        <v>262</v>
      </c>
      <c r="B1745" s="89" t="s">
        <v>1091</v>
      </c>
      <c r="C1745" s="98" t="s">
        <v>478</v>
      </c>
    </row>
    <row r="1746" spans="1:3" ht="15">
      <c r="A1746" s="90" t="s">
        <v>262</v>
      </c>
      <c r="B1746" s="89" t="s">
        <v>299</v>
      </c>
      <c r="C1746" s="98" t="s">
        <v>478</v>
      </c>
    </row>
    <row r="1747" spans="1:3" ht="15">
      <c r="A1747" s="90" t="s">
        <v>261</v>
      </c>
      <c r="B1747" s="89" t="s">
        <v>338</v>
      </c>
      <c r="C1747" s="98" t="s">
        <v>477</v>
      </c>
    </row>
    <row r="1748" spans="1:3" ht="15">
      <c r="A1748" s="90" t="s">
        <v>261</v>
      </c>
      <c r="B1748" s="89" t="s">
        <v>1094</v>
      </c>
      <c r="C1748" s="98" t="s">
        <v>477</v>
      </c>
    </row>
    <row r="1749" spans="1:3" ht="15">
      <c r="A1749" s="90" t="s">
        <v>261</v>
      </c>
      <c r="B1749" s="89" t="s">
        <v>1092</v>
      </c>
      <c r="C1749" s="98" t="s">
        <v>477</v>
      </c>
    </row>
    <row r="1750" spans="1:3" ht="15">
      <c r="A1750" s="90" t="s">
        <v>261</v>
      </c>
      <c r="B1750" s="89" t="s">
        <v>945</v>
      </c>
      <c r="C1750" s="98" t="s">
        <v>477</v>
      </c>
    </row>
    <row r="1751" spans="1:3" ht="15">
      <c r="A1751" s="90" t="s">
        <v>261</v>
      </c>
      <c r="B1751" s="89" t="s">
        <v>966</v>
      </c>
      <c r="C1751" s="98" t="s">
        <v>477</v>
      </c>
    </row>
    <row r="1752" spans="1:3" ht="15">
      <c r="A1752" s="90" t="s">
        <v>261</v>
      </c>
      <c r="B1752" s="89" t="s">
        <v>934</v>
      </c>
      <c r="C1752" s="98" t="s">
        <v>477</v>
      </c>
    </row>
    <row r="1753" spans="1:3" ht="15">
      <c r="A1753" s="90" t="s">
        <v>261</v>
      </c>
      <c r="B1753" s="89" t="s">
        <v>1087</v>
      </c>
      <c r="C1753" s="98" t="s">
        <v>477</v>
      </c>
    </row>
    <row r="1754" spans="1:3" ht="15">
      <c r="A1754" s="90" t="s">
        <v>261</v>
      </c>
      <c r="B1754" s="89" t="s">
        <v>1088</v>
      </c>
      <c r="C1754" s="98" t="s">
        <v>477</v>
      </c>
    </row>
    <row r="1755" spans="1:3" ht="15">
      <c r="A1755" s="90" t="s">
        <v>261</v>
      </c>
      <c r="B1755" s="89" t="s">
        <v>1033</v>
      </c>
      <c r="C1755" s="98" t="s">
        <v>477</v>
      </c>
    </row>
    <row r="1756" spans="1:3" ht="15">
      <c r="A1756" s="90" t="s">
        <v>261</v>
      </c>
      <c r="B1756" s="89" t="s">
        <v>1034</v>
      </c>
      <c r="C1756" s="98" t="s">
        <v>477</v>
      </c>
    </row>
    <row r="1757" spans="1:3" ht="15">
      <c r="A1757" s="90" t="s">
        <v>261</v>
      </c>
      <c r="B1757" s="89" t="s">
        <v>1035</v>
      </c>
      <c r="C1757" s="98" t="s">
        <v>477</v>
      </c>
    </row>
    <row r="1758" spans="1:3" ht="15">
      <c r="A1758" s="90" t="s">
        <v>261</v>
      </c>
      <c r="B1758" s="89" t="s">
        <v>1097</v>
      </c>
      <c r="C1758" s="98" t="s">
        <v>477</v>
      </c>
    </row>
    <row r="1759" spans="1:3" ht="15">
      <c r="A1759" s="90" t="s">
        <v>261</v>
      </c>
      <c r="B1759" s="89" t="s">
        <v>1036</v>
      </c>
      <c r="C1759" s="98" t="s">
        <v>477</v>
      </c>
    </row>
    <row r="1760" spans="1:3" ht="15">
      <c r="A1760" s="90" t="s">
        <v>261</v>
      </c>
      <c r="B1760" s="89" t="s">
        <v>1086</v>
      </c>
      <c r="C1760" s="98" t="s">
        <v>477</v>
      </c>
    </row>
    <row r="1761" spans="1:3" ht="15">
      <c r="A1761" s="90" t="s">
        <v>261</v>
      </c>
      <c r="B1761" s="89" t="s">
        <v>1037</v>
      </c>
      <c r="C1761" s="98" t="s">
        <v>477</v>
      </c>
    </row>
    <row r="1762" spans="1:3" ht="15">
      <c r="A1762" s="90" t="s">
        <v>261</v>
      </c>
      <c r="B1762" s="89" t="s">
        <v>944</v>
      </c>
      <c r="C1762" s="98" t="s">
        <v>477</v>
      </c>
    </row>
    <row r="1763" spans="1:3" ht="15">
      <c r="A1763" s="90" t="s">
        <v>261</v>
      </c>
      <c r="B1763" s="89" t="s">
        <v>1154</v>
      </c>
      <c r="C1763" s="98" t="s">
        <v>477</v>
      </c>
    </row>
    <row r="1764" spans="1:3" ht="15">
      <c r="A1764" s="90" t="s">
        <v>261</v>
      </c>
      <c r="B1764" s="89" t="s">
        <v>1038</v>
      </c>
      <c r="C1764" s="98" t="s">
        <v>477</v>
      </c>
    </row>
    <row r="1765" spans="1:3" ht="15">
      <c r="A1765" s="90" t="s">
        <v>261</v>
      </c>
      <c r="B1765" s="89" t="s">
        <v>1039</v>
      </c>
      <c r="C1765" s="98" t="s">
        <v>477</v>
      </c>
    </row>
    <row r="1766" spans="1:3" ht="15">
      <c r="A1766" s="90" t="s">
        <v>261</v>
      </c>
      <c r="B1766" s="89" t="s">
        <v>965</v>
      </c>
      <c r="C1766" s="98" t="s">
        <v>477</v>
      </c>
    </row>
    <row r="1767" spans="1:3" ht="15">
      <c r="A1767" s="90" t="s">
        <v>261</v>
      </c>
      <c r="B1767" s="89" t="s">
        <v>1040</v>
      </c>
      <c r="C1767" s="98" t="s">
        <v>477</v>
      </c>
    </row>
    <row r="1768" spans="1:3" ht="15">
      <c r="A1768" s="90" t="s">
        <v>261</v>
      </c>
      <c r="B1768" s="89" t="s">
        <v>1041</v>
      </c>
      <c r="C1768" s="98" t="s">
        <v>477</v>
      </c>
    </row>
    <row r="1769" spans="1:3" ht="15">
      <c r="A1769" s="90" t="s">
        <v>261</v>
      </c>
      <c r="B1769" s="89" t="s">
        <v>1155</v>
      </c>
      <c r="C1769" s="98" t="s">
        <v>477</v>
      </c>
    </row>
    <row r="1770" spans="1:3" ht="15">
      <c r="A1770" s="90" t="s">
        <v>261</v>
      </c>
      <c r="B1770" s="89" t="s">
        <v>1042</v>
      </c>
      <c r="C1770" s="98" t="s">
        <v>477</v>
      </c>
    </row>
    <row r="1771" spans="1:3" ht="15">
      <c r="A1771" s="90" t="s">
        <v>261</v>
      </c>
      <c r="B1771" s="89" t="s">
        <v>1156</v>
      </c>
      <c r="C1771" s="98" t="s">
        <v>477</v>
      </c>
    </row>
    <row r="1772" spans="1:3" ht="15">
      <c r="A1772" s="90" t="s">
        <v>261</v>
      </c>
      <c r="B1772" s="89" t="s">
        <v>1043</v>
      </c>
      <c r="C1772" s="98" t="s">
        <v>477</v>
      </c>
    </row>
    <row r="1773" spans="1:3" ht="15">
      <c r="A1773" s="90" t="s">
        <v>259</v>
      </c>
      <c r="B1773" s="89" t="s">
        <v>1080</v>
      </c>
      <c r="C1773" s="98" t="s">
        <v>475</v>
      </c>
    </row>
    <row r="1774" spans="1:3" ht="15">
      <c r="A1774" s="90" t="s">
        <v>259</v>
      </c>
      <c r="B1774" s="89" t="s">
        <v>1081</v>
      </c>
      <c r="C1774" s="98" t="s">
        <v>475</v>
      </c>
    </row>
    <row r="1775" spans="1:3" ht="15">
      <c r="A1775" s="90" t="s">
        <v>259</v>
      </c>
      <c r="B1775" s="89" t="s">
        <v>1082</v>
      </c>
      <c r="C1775" s="98" t="s">
        <v>475</v>
      </c>
    </row>
    <row r="1776" spans="1:3" ht="15">
      <c r="A1776" s="90" t="s">
        <v>259</v>
      </c>
      <c r="B1776" s="89" t="s">
        <v>930</v>
      </c>
      <c r="C1776" s="98" t="s">
        <v>475</v>
      </c>
    </row>
    <row r="1777" spans="1:3" ht="15">
      <c r="A1777" s="90" t="s">
        <v>259</v>
      </c>
      <c r="B1777" s="89" t="s">
        <v>940</v>
      </c>
      <c r="C1777" s="98" t="s">
        <v>475</v>
      </c>
    </row>
    <row r="1778" spans="1:3" ht="15">
      <c r="A1778" s="90" t="s">
        <v>259</v>
      </c>
      <c r="B1778" s="89" t="s">
        <v>941</v>
      </c>
      <c r="C1778" s="98" t="s">
        <v>475</v>
      </c>
    </row>
    <row r="1779" spans="1:3" ht="15">
      <c r="A1779" s="90" t="s">
        <v>259</v>
      </c>
      <c r="B1779" s="89" t="s">
        <v>1083</v>
      </c>
      <c r="C1779" s="98" t="s">
        <v>475</v>
      </c>
    </row>
    <row r="1780" spans="1:3" ht="15">
      <c r="A1780" s="90" t="s">
        <v>259</v>
      </c>
      <c r="B1780" s="89" t="s">
        <v>931</v>
      </c>
      <c r="C1780" s="98" t="s">
        <v>475</v>
      </c>
    </row>
    <row r="1781" spans="1:3" ht="15">
      <c r="A1781" s="90" t="s">
        <v>259</v>
      </c>
      <c r="B1781" s="89" t="s">
        <v>1084</v>
      </c>
      <c r="C1781" s="98" t="s">
        <v>475</v>
      </c>
    </row>
    <row r="1782" spans="1:3" ht="15">
      <c r="A1782" s="90" t="s">
        <v>259</v>
      </c>
      <c r="B1782" s="89" t="s">
        <v>1085</v>
      </c>
      <c r="C1782" s="98" t="s">
        <v>475</v>
      </c>
    </row>
    <row r="1783" spans="1:3" ht="15">
      <c r="A1783" s="90" t="s">
        <v>259</v>
      </c>
      <c r="B1783" s="89" t="s">
        <v>1086</v>
      </c>
      <c r="C1783" s="98" t="s">
        <v>475</v>
      </c>
    </row>
    <row r="1784" spans="1:3" ht="15">
      <c r="A1784" s="90" t="s">
        <v>259</v>
      </c>
      <c r="B1784" s="89" t="s">
        <v>942</v>
      </c>
      <c r="C1784" s="98" t="s">
        <v>475</v>
      </c>
    </row>
    <row r="1785" spans="1:3" ht="15">
      <c r="A1785" s="90" t="s">
        <v>259</v>
      </c>
      <c r="B1785" s="89" t="s">
        <v>938</v>
      </c>
      <c r="C1785" s="98" t="s">
        <v>475</v>
      </c>
    </row>
    <row r="1786" spans="1:3" ht="15">
      <c r="A1786" s="90" t="s">
        <v>259</v>
      </c>
      <c r="B1786" s="89" t="s">
        <v>935</v>
      </c>
      <c r="C1786" s="98" t="s">
        <v>475</v>
      </c>
    </row>
    <row r="1787" spans="1:3" ht="15">
      <c r="A1787" s="90" t="s">
        <v>259</v>
      </c>
      <c r="B1787" s="89" t="s">
        <v>934</v>
      </c>
      <c r="C1787" s="98" t="s">
        <v>475</v>
      </c>
    </row>
    <row r="1788" spans="1:3" ht="15">
      <c r="A1788" s="90" t="s">
        <v>259</v>
      </c>
      <c r="B1788" s="89" t="s">
        <v>1087</v>
      </c>
      <c r="C1788" s="98" t="s">
        <v>475</v>
      </c>
    </row>
    <row r="1789" spans="1:3" ht="15">
      <c r="A1789" s="90" t="s">
        <v>259</v>
      </c>
      <c r="B1789" s="89" t="s">
        <v>1088</v>
      </c>
      <c r="C1789" s="98" t="s">
        <v>475</v>
      </c>
    </row>
    <row r="1790" spans="1:3" ht="15">
      <c r="A1790" s="90" t="s">
        <v>259</v>
      </c>
      <c r="B1790" s="89" t="s">
        <v>936</v>
      </c>
      <c r="C1790" s="98" t="s">
        <v>475</v>
      </c>
    </row>
    <row r="1791" spans="1:3" ht="15">
      <c r="A1791" s="90" t="s">
        <v>259</v>
      </c>
      <c r="B1791" s="89" t="s">
        <v>1089</v>
      </c>
      <c r="C1791" s="98" t="s">
        <v>475</v>
      </c>
    </row>
    <row r="1792" spans="1:3" ht="15">
      <c r="A1792" s="90" t="s">
        <v>259</v>
      </c>
      <c r="B1792" s="89" t="s">
        <v>943</v>
      </c>
      <c r="C1792" s="98" t="s">
        <v>475</v>
      </c>
    </row>
    <row r="1793" spans="1:3" ht="15">
      <c r="A1793" s="90" t="s">
        <v>259</v>
      </c>
      <c r="B1793" s="89" t="s">
        <v>1090</v>
      </c>
      <c r="C1793" s="98" t="s">
        <v>475</v>
      </c>
    </row>
    <row r="1794" spans="1:3" ht="15">
      <c r="A1794" s="90" t="s">
        <v>259</v>
      </c>
      <c r="B1794" s="89" t="s">
        <v>933</v>
      </c>
      <c r="C1794" s="98" t="s">
        <v>475</v>
      </c>
    </row>
    <row r="1795" spans="1:3" ht="15">
      <c r="A1795" s="90" t="s">
        <v>259</v>
      </c>
      <c r="B1795" s="89" t="s">
        <v>338</v>
      </c>
      <c r="C1795" s="98" t="s">
        <v>475</v>
      </c>
    </row>
    <row r="1796" spans="1:3" ht="15">
      <c r="A1796" s="90" t="s">
        <v>259</v>
      </c>
      <c r="B1796" s="89" t="s">
        <v>1091</v>
      </c>
      <c r="C1796" s="98" t="s">
        <v>475</v>
      </c>
    </row>
    <row r="1797" spans="1:3" ht="15">
      <c r="A1797" s="90" t="s">
        <v>259</v>
      </c>
      <c r="B1797" s="89" t="s">
        <v>299</v>
      </c>
      <c r="C1797" s="98" t="s">
        <v>475</v>
      </c>
    </row>
    <row r="1798" spans="1:3" ht="15">
      <c r="A1798" s="90" t="s">
        <v>258</v>
      </c>
      <c r="B1798" s="89" t="s">
        <v>1080</v>
      </c>
      <c r="C1798" s="98" t="s">
        <v>474</v>
      </c>
    </row>
    <row r="1799" spans="1:3" ht="15">
      <c r="A1799" s="90" t="s">
        <v>258</v>
      </c>
      <c r="B1799" s="89" t="s">
        <v>1081</v>
      </c>
      <c r="C1799" s="98" t="s">
        <v>474</v>
      </c>
    </row>
    <row r="1800" spans="1:3" ht="15">
      <c r="A1800" s="90" t="s">
        <v>258</v>
      </c>
      <c r="B1800" s="89" t="s">
        <v>1082</v>
      </c>
      <c r="C1800" s="98" t="s">
        <v>474</v>
      </c>
    </row>
    <row r="1801" spans="1:3" ht="15">
      <c r="A1801" s="90" t="s">
        <v>258</v>
      </c>
      <c r="B1801" s="89" t="s">
        <v>930</v>
      </c>
      <c r="C1801" s="98" t="s">
        <v>474</v>
      </c>
    </row>
    <row r="1802" spans="1:3" ht="15">
      <c r="A1802" s="90" t="s">
        <v>258</v>
      </c>
      <c r="B1802" s="89" t="s">
        <v>940</v>
      </c>
      <c r="C1802" s="98" t="s">
        <v>474</v>
      </c>
    </row>
    <row r="1803" spans="1:3" ht="15">
      <c r="A1803" s="90" t="s">
        <v>258</v>
      </c>
      <c r="B1803" s="89" t="s">
        <v>941</v>
      </c>
      <c r="C1803" s="98" t="s">
        <v>474</v>
      </c>
    </row>
    <row r="1804" spans="1:3" ht="15">
      <c r="A1804" s="90" t="s">
        <v>258</v>
      </c>
      <c r="B1804" s="89" t="s">
        <v>1083</v>
      </c>
      <c r="C1804" s="98" t="s">
        <v>474</v>
      </c>
    </row>
    <row r="1805" spans="1:3" ht="15">
      <c r="A1805" s="90" t="s">
        <v>258</v>
      </c>
      <c r="B1805" s="89" t="s">
        <v>931</v>
      </c>
      <c r="C1805" s="98" t="s">
        <v>474</v>
      </c>
    </row>
    <row r="1806" spans="1:3" ht="15">
      <c r="A1806" s="90" t="s">
        <v>258</v>
      </c>
      <c r="B1806" s="89" t="s">
        <v>1084</v>
      </c>
      <c r="C1806" s="98" t="s">
        <v>474</v>
      </c>
    </row>
    <row r="1807" spans="1:3" ht="15">
      <c r="A1807" s="90" t="s">
        <v>258</v>
      </c>
      <c r="B1807" s="89" t="s">
        <v>1085</v>
      </c>
      <c r="C1807" s="98" t="s">
        <v>474</v>
      </c>
    </row>
    <row r="1808" spans="1:3" ht="15">
      <c r="A1808" s="90" t="s">
        <v>258</v>
      </c>
      <c r="B1808" s="89" t="s">
        <v>1086</v>
      </c>
      <c r="C1808" s="98" t="s">
        <v>474</v>
      </c>
    </row>
    <row r="1809" spans="1:3" ht="15">
      <c r="A1809" s="90" t="s">
        <v>258</v>
      </c>
      <c r="B1809" s="89" t="s">
        <v>942</v>
      </c>
      <c r="C1809" s="98" t="s">
        <v>474</v>
      </c>
    </row>
    <row r="1810" spans="1:3" ht="15">
      <c r="A1810" s="90" t="s">
        <v>258</v>
      </c>
      <c r="B1810" s="89" t="s">
        <v>938</v>
      </c>
      <c r="C1810" s="98" t="s">
        <v>474</v>
      </c>
    </row>
    <row r="1811" spans="1:3" ht="15">
      <c r="A1811" s="90" t="s">
        <v>258</v>
      </c>
      <c r="B1811" s="89" t="s">
        <v>935</v>
      </c>
      <c r="C1811" s="98" t="s">
        <v>474</v>
      </c>
    </row>
    <row r="1812" spans="1:3" ht="15">
      <c r="A1812" s="90" t="s">
        <v>258</v>
      </c>
      <c r="B1812" s="89" t="s">
        <v>934</v>
      </c>
      <c r="C1812" s="98" t="s">
        <v>474</v>
      </c>
    </row>
    <row r="1813" spans="1:3" ht="15">
      <c r="A1813" s="90" t="s">
        <v>258</v>
      </c>
      <c r="B1813" s="89" t="s">
        <v>1087</v>
      </c>
      <c r="C1813" s="98" t="s">
        <v>474</v>
      </c>
    </row>
    <row r="1814" spans="1:3" ht="15">
      <c r="A1814" s="90" t="s">
        <v>258</v>
      </c>
      <c r="B1814" s="89" t="s">
        <v>1088</v>
      </c>
      <c r="C1814" s="98" t="s">
        <v>474</v>
      </c>
    </row>
    <row r="1815" spans="1:3" ht="15">
      <c r="A1815" s="90" t="s">
        <v>258</v>
      </c>
      <c r="B1815" s="89" t="s">
        <v>936</v>
      </c>
      <c r="C1815" s="98" t="s">
        <v>474</v>
      </c>
    </row>
    <row r="1816" spans="1:3" ht="15">
      <c r="A1816" s="90" t="s">
        <v>258</v>
      </c>
      <c r="B1816" s="89" t="s">
        <v>1089</v>
      </c>
      <c r="C1816" s="98" t="s">
        <v>474</v>
      </c>
    </row>
    <row r="1817" spans="1:3" ht="15">
      <c r="A1817" s="90" t="s">
        <v>258</v>
      </c>
      <c r="B1817" s="89" t="s">
        <v>943</v>
      </c>
      <c r="C1817" s="98" t="s">
        <v>474</v>
      </c>
    </row>
    <row r="1818" spans="1:3" ht="15">
      <c r="A1818" s="90" t="s">
        <v>258</v>
      </c>
      <c r="B1818" s="89" t="s">
        <v>1090</v>
      </c>
      <c r="C1818" s="98" t="s">
        <v>474</v>
      </c>
    </row>
    <row r="1819" spans="1:3" ht="15">
      <c r="A1819" s="90" t="s">
        <v>258</v>
      </c>
      <c r="B1819" s="89" t="s">
        <v>933</v>
      </c>
      <c r="C1819" s="98" t="s">
        <v>474</v>
      </c>
    </row>
    <row r="1820" spans="1:3" ht="15">
      <c r="A1820" s="90" t="s">
        <v>258</v>
      </c>
      <c r="B1820" s="89" t="s">
        <v>338</v>
      </c>
      <c r="C1820" s="98" t="s">
        <v>474</v>
      </c>
    </row>
    <row r="1821" spans="1:3" ht="15">
      <c r="A1821" s="90" t="s">
        <v>258</v>
      </c>
      <c r="B1821" s="89" t="s">
        <v>1091</v>
      </c>
      <c r="C1821" s="98" t="s">
        <v>474</v>
      </c>
    </row>
    <row r="1822" spans="1:3" ht="15">
      <c r="A1822" s="90" t="s">
        <v>258</v>
      </c>
      <c r="B1822" s="89" t="s">
        <v>299</v>
      </c>
      <c r="C1822" s="98" t="s">
        <v>474</v>
      </c>
    </row>
    <row r="1823" spans="1:3" ht="15">
      <c r="A1823" s="90" t="s">
        <v>257</v>
      </c>
      <c r="B1823" s="89" t="s">
        <v>1080</v>
      </c>
      <c r="C1823" s="98" t="s">
        <v>473</v>
      </c>
    </row>
    <row r="1824" spans="1:3" ht="15">
      <c r="A1824" s="90" t="s">
        <v>257</v>
      </c>
      <c r="B1824" s="89" t="s">
        <v>1081</v>
      </c>
      <c r="C1824" s="98" t="s">
        <v>473</v>
      </c>
    </row>
    <row r="1825" spans="1:3" ht="15">
      <c r="A1825" s="90" t="s">
        <v>257</v>
      </c>
      <c r="B1825" s="89" t="s">
        <v>1082</v>
      </c>
      <c r="C1825" s="98" t="s">
        <v>473</v>
      </c>
    </row>
    <row r="1826" spans="1:3" ht="15">
      <c r="A1826" s="90" t="s">
        <v>257</v>
      </c>
      <c r="B1826" s="89" t="s">
        <v>930</v>
      </c>
      <c r="C1826" s="98" t="s">
        <v>473</v>
      </c>
    </row>
    <row r="1827" spans="1:3" ht="15">
      <c r="A1827" s="90" t="s">
        <v>257</v>
      </c>
      <c r="B1827" s="89" t="s">
        <v>940</v>
      </c>
      <c r="C1827" s="98" t="s">
        <v>473</v>
      </c>
    </row>
    <row r="1828" spans="1:3" ht="15">
      <c r="A1828" s="90" t="s">
        <v>257</v>
      </c>
      <c r="B1828" s="89" t="s">
        <v>941</v>
      </c>
      <c r="C1828" s="98" t="s">
        <v>473</v>
      </c>
    </row>
    <row r="1829" spans="1:3" ht="15">
      <c r="A1829" s="90" t="s">
        <v>257</v>
      </c>
      <c r="B1829" s="89" t="s">
        <v>1083</v>
      </c>
      <c r="C1829" s="98" t="s">
        <v>473</v>
      </c>
    </row>
    <row r="1830" spans="1:3" ht="15">
      <c r="A1830" s="90" t="s">
        <v>257</v>
      </c>
      <c r="B1830" s="89" t="s">
        <v>931</v>
      </c>
      <c r="C1830" s="98" t="s">
        <v>473</v>
      </c>
    </row>
    <row r="1831" spans="1:3" ht="15">
      <c r="A1831" s="90" t="s">
        <v>257</v>
      </c>
      <c r="B1831" s="89" t="s">
        <v>1084</v>
      </c>
      <c r="C1831" s="98" t="s">
        <v>473</v>
      </c>
    </row>
    <row r="1832" spans="1:3" ht="15">
      <c r="A1832" s="90" t="s">
        <v>257</v>
      </c>
      <c r="B1832" s="89" t="s">
        <v>1085</v>
      </c>
      <c r="C1832" s="98" t="s">
        <v>473</v>
      </c>
    </row>
    <row r="1833" spans="1:3" ht="15">
      <c r="A1833" s="90" t="s">
        <v>257</v>
      </c>
      <c r="B1833" s="89" t="s">
        <v>1086</v>
      </c>
      <c r="C1833" s="98" t="s">
        <v>473</v>
      </c>
    </row>
    <row r="1834" spans="1:3" ht="15">
      <c r="A1834" s="90" t="s">
        <v>257</v>
      </c>
      <c r="B1834" s="89" t="s">
        <v>942</v>
      </c>
      <c r="C1834" s="98" t="s">
        <v>473</v>
      </c>
    </row>
    <row r="1835" spans="1:3" ht="15">
      <c r="A1835" s="90" t="s">
        <v>257</v>
      </c>
      <c r="B1835" s="89" t="s">
        <v>938</v>
      </c>
      <c r="C1835" s="98" t="s">
        <v>473</v>
      </c>
    </row>
    <row r="1836" spans="1:3" ht="15">
      <c r="A1836" s="90" t="s">
        <v>257</v>
      </c>
      <c r="B1836" s="89" t="s">
        <v>935</v>
      </c>
      <c r="C1836" s="98" t="s">
        <v>473</v>
      </c>
    </row>
    <row r="1837" spans="1:3" ht="15">
      <c r="A1837" s="90" t="s">
        <v>257</v>
      </c>
      <c r="B1837" s="89" t="s">
        <v>934</v>
      </c>
      <c r="C1837" s="98" t="s">
        <v>473</v>
      </c>
    </row>
    <row r="1838" spans="1:3" ht="15">
      <c r="A1838" s="90" t="s">
        <v>257</v>
      </c>
      <c r="B1838" s="89" t="s">
        <v>1087</v>
      </c>
      <c r="C1838" s="98" t="s">
        <v>473</v>
      </c>
    </row>
    <row r="1839" spans="1:3" ht="15">
      <c r="A1839" s="90" t="s">
        <v>257</v>
      </c>
      <c r="B1839" s="89" t="s">
        <v>1088</v>
      </c>
      <c r="C1839" s="98" t="s">
        <v>473</v>
      </c>
    </row>
    <row r="1840" spans="1:3" ht="15">
      <c r="A1840" s="90" t="s">
        <v>257</v>
      </c>
      <c r="B1840" s="89" t="s">
        <v>936</v>
      </c>
      <c r="C1840" s="98" t="s">
        <v>473</v>
      </c>
    </row>
    <row r="1841" spans="1:3" ht="15">
      <c r="A1841" s="90" t="s">
        <v>257</v>
      </c>
      <c r="B1841" s="89" t="s">
        <v>1089</v>
      </c>
      <c r="C1841" s="98" t="s">
        <v>473</v>
      </c>
    </row>
    <row r="1842" spans="1:3" ht="15">
      <c r="A1842" s="90" t="s">
        <v>257</v>
      </c>
      <c r="B1842" s="89" t="s">
        <v>943</v>
      </c>
      <c r="C1842" s="98" t="s">
        <v>473</v>
      </c>
    </row>
    <row r="1843" spans="1:3" ht="15">
      <c r="A1843" s="90" t="s">
        <v>257</v>
      </c>
      <c r="B1843" s="89" t="s">
        <v>1090</v>
      </c>
      <c r="C1843" s="98" t="s">
        <v>473</v>
      </c>
    </row>
    <row r="1844" spans="1:3" ht="15">
      <c r="A1844" s="90" t="s">
        <v>257</v>
      </c>
      <c r="B1844" s="89" t="s">
        <v>933</v>
      </c>
      <c r="C1844" s="98" t="s">
        <v>473</v>
      </c>
    </row>
    <row r="1845" spans="1:3" ht="15">
      <c r="A1845" s="90" t="s">
        <v>257</v>
      </c>
      <c r="B1845" s="89" t="s">
        <v>338</v>
      </c>
      <c r="C1845" s="98" t="s">
        <v>473</v>
      </c>
    </row>
    <row r="1846" spans="1:3" ht="15">
      <c r="A1846" s="90" t="s">
        <v>257</v>
      </c>
      <c r="B1846" s="89" t="s">
        <v>1091</v>
      </c>
      <c r="C1846" s="98" t="s">
        <v>473</v>
      </c>
    </row>
    <row r="1847" spans="1:3" ht="15">
      <c r="A1847" s="90" t="s">
        <v>257</v>
      </c>
      <c r="B1847" s="89" t="s">
        <v>299</v>
      </c>
      <c r="C1847" s="98" t="s">
        <v>473</v>
      </c>
    </row>
    <row r="1848" spans="1:3" ht="15">
      <c r="A1848" s="90" t="s">
        <v>256</v>
      </c>
      <c r="B1848" s="89" t="s">
        <v>1080</v>
      </c>
      <c r="C1848" s="98" t="s">
        <v>472</v>
      </c>
    </row>
    <row r="1849" spans="1:3" ht="15">
      <c r="A1849" s="90" t="s">
        <v>256</v>
      </c>
      <c r="B1849" s="89" t="s">
        <v>1081</v>
      </c>
      <c r="C1849" s="98" t="s">
        <v>472</v>
      </c>
    </row>
    <row r="1850" spans="1:3" ht="15">
      <c r="A1850" s="90" t="s">
        <v>256</v>
      </c>
      <c r="B1850" s="89" t="s">
        <v>1082</v>
      </c>
      <c r="C1850" s="98" t="s">
        <v>472</v>
      </c>
    </row>
    <row r="1851" spans="1:3" ht="15">
      <c r="A1851" s="90" t="s">
        <v>256</v>
      </c>
      <c r="B1851" s="89" t="s">
        <v>930</v>
      </c>
      <c r="C1851" s="98" t="s">
        <v>472</v>
      </c>
    </row>
    <row r="1852" spans="1:3" ht="15">
      <c r="A1852" s="90" t="s">
        <v>256</v>
      </c>
      <c r="B1852" s="89" t="s">
        <v>940</v>
      </c>
      <c r="C1852" s="98" t="s">
        <v>472</v>
      </c>
    </row>
    <row r="1853" spans="1:3" ht="15">
      <c r="A1853" s="90" t="s">
        <v>256</v>
      </c>
      <c r="B1853" s="89" t="s">
        <v>941</v>
      </c>
      <c r="C1853" s="98" t="s">
        <v>472</v>
      </c>
    </row>
    <row r="1854" spans="1:3" ht="15">
      <c r="A1854" s="90" t="s">
        <v>256</v>
      </c>
      <c r="B1854" s="89" t="s">
        <v>1083</v>
      </c>
      <c r="C1854" s="98" t="s">
        <v>472</v>
      </c>
    </row>
    <row r="1855" spans="1:3" ht="15">
      <c r="A1855" s="90" t="s">
        <v>256</v>
      </c>
      <c r="B1855" s="89" t="s">
        <v>931</v>
      </c>
      <c r="C1855" s="98" t="s">
        <v>472</v>
      </c>
    </row>
    <row r="1856" spans="1:3" ht="15">
      <c r="A1856" s="90" t="s">
        <v>256</v>
      </c>
      <c r="B1856" s="89" t="s">
        <v>1084</v>
      </c>
      <c r="C1856" s="98" t="s">
        <v>472</v>
      </c>
    </row>
    <row r="1857" spans="1:3" ht="15">
      <c r="A1857" s="90" t="s">
        <v>256</v>
      </c>
      <c r="B1857" s="89" t="s">
        <v>1085</v>
      </c>
      <c r="C1857" s="98" t="s">
        <v>472</v>
      </c>
    </row>
    <row r="1858" spans="1:3" ht="15">
      <c r="A1858" s="90" t="s">
        <v>256</v>
      </c>
      <c r="B1858" s="89" t="s">
        <v>1086</v>
      </c>
      <c r="C1858" s="98" t="s">
        <v>472</v>
      </c>
    </row>
    <row r="1859" spans="1:3" ht="15">
      <c r="A1859" s="90" t="s">
        <v>256</v>
      </c>
      <c r="B1859" s="89" t="s">
        <v>942</v>
      </c>
      <c r="C1859" s="98" t="s">
        <v>472</v>
      </c>
    </row>
    <row r="1860" spans="1:3" ht="15">
      <c r="A1860" s="90" t="s">
        <v>256</v>
      </c>
      <c r="B1860" s="89" t="s">
        <v>938</v>
      </c>
      <c r="C1860" s="98" t="s">
        <v>472</v>
      </c>
    </row>
    <row r="1861" spans="1:3" ht="15">
      <c r="A1861" s="90" t="s">
        <v>256</v>
      </c>
      <c r="B1861" s="89" t="s">
        <v>935</v>
      </c>
      <c r="C1861" s="98" t="s">
        <v>472</v>
      </c>
    </row>
    <row r="1862" spans="1:3" ht="15">
      <c r="A1862" s="90" t="s">
        <v>256</v>
      </c>
      <c r="B1862" s="89" t="s">
        <v>934</v>
      </c>
      <c r="C1862" s="98" t="s">
        <v>472</v>
      </c>
    </row>
    <row r="1863" spans="1:3" ht="15">
      <c r="A1863" s="90" t="s">
        <v>256</v>
      </c>
      <c r="B1863" s="89" t="s">
        <v>1087</v>
      </c>
      <c r="C1863" s="98" t="s">
        <v>472</v>
      </c>
    </row>
    <row r="1864" spans="1:3" ht="15">
      <c r="A1864" s="90" t="s">
        <v>256</v>
      </c>
      <c r="B1864" s="89" t="s">
        <v>1088</v>
      </c>
      <c r="C1864" s="98" t="s">
        <v>472</v>
      </c>
    </row>
    <row r="1865" spans="1:3" ht="15">
      <c r="A1865" s="90" t="s">
        <v>256</v>
      </c>
      <c r="B1865" s="89" t="s">
        <v>936</v>
      </c>
      <c r="C1865" s="98" t="s">
        <v>472</v>
      </c>
    </row>
    <row r="1866" spans="1:3" ht="15">
      <c r="A1866" s="90" t="s">
        <v>256</v>
      </c>
      <c r="B1866" s="89" t="s">
        <v>1089</v>
      </c>
      <c r="C1866" s="98" t="s">
        <v>472</v>
      </c>
    </row>
    <row r="1867" spans="1:3" ht="15">
      <c r="A1867" s="90" t="s">
        <v>256</v>
      </c>
      <c r="B1867" s="89" t="s">
        <v>943</v>
      </c>
      <c r="C1867" s="98" t="s">
        <v>472</v>
      </c>
    </row>
    <row r="1868" spans="1:3" ht="15">
      <c r="A1868" s="90" t="s">
        <v>256</v>
      </c>
      <c r="B1868" s="89" t="s">
        <v>1090</v>
      </c>
      <c r="C1868" s="98" t="s">
        <v>472</v>
      </c>
    </row>
    <row r="1869" spans="1:3" ht="15">
      <c r="A1869" s="90" t="s">
        <v>256</v>
      </c>
      <c r="B1869" s="89" t="s">
        <v>933</v>
      </c>
      <c r="C1869" s="98" t="s">
        <v>472</v>
      </c>
    </row>
    <row r="1870" spans="1:3" ht="15">
      <c r="A1870" s="90" t="s">
        <v>256</v>
      </c>
      <c r="B1870" s="89" t="s">
        <v>338</v>
      </c>
      <c r="C1870" s="98" t="s">
        <v>472</v>
      </c>
    </row>
    <row r="1871" spans="1:3" ht="15">
      <c r="A1871" s="90" t="s">
        <v>256</v>
      </c>
      <c r="B1871" s="89" t="s">
        <v>1091</v>
      </c>
      <c r="C1871" s="98" t="s">
        <v>472</v>
      </c>
    </row>
    <row r="1872" spans="1:3" ht="15">
      <c r="A1872" s="90" t="s">
        <v>256</v>
      </c>
      <c r="B1872" s="89" t="s">
        <v>299</v>
      </c>
      <c r="C1872" s="98" t="s">
        <v>472</v>
      </c>
    </row>
    <row r="1873" spans="1:3" ht="15">
      <c r="A1873" s="90" t="s">
        <v>2119</v>
      </c>
      <c r="B1873" s="89" t="s">
        <v>2445</v>
      </c>
      <c r="C1873" s="98" t="s">
        <v>2207</v>
      </c>
    </row>
    <row r="1874" spans="1:3" ht="15">
      <c r="A1874" s="90" t="s">
        <v>2119</v>
      </c>
      <c r="B1874" s="89" t="s">
        <v>2446</v>
      </c>
      <c r="C1874" s="98" t="s">
        <v>2207</v>
      </c>
    </row>
    <row r="1875" spans="1:3" ht="15">
      <c r="A1875" s="90" t="s">
        <v>2119</v>
      </c>
      <c r="B1875" s="89" t="s">
        <v>2367</v>
      </c>
      <c r="C1875" s="98" t="s">
        <v>2207</v>
      </c>
    </row>
    <row r="1876" spans="1:3" ht="15">
      <c r="A1876" s="90" t="s">
        <v>2119</v>
      </c>
      <c r="B1876" s="89" t="s">
        <v>1094</v>
      </c>
      <c r="C1876" s="98" t="s">
        <v>2207</v>
      </c>
    </row>
    <row r="1877" spans="1:3" ht="15">
      <c r="A1877" s="90" t="s">
        <v>2119</v>
      </c>
      <c r="B1877" s="89" t="s">
        <v>1219</v>
      </c>
      <c r="C1877" s="98" t="s">
        <v>2207</v>
      </c>
    </row>
    <row r="1878" spans="1:3" ht="15">
      <c r="A1878" s="90" t="s">
        <v>2119</v>
      </c>
      <c r="B1878" s="89" t="s">
        <v>2368</v>
      </c>
      <c r="C1878" s="98" t="s">
        <v>2207</v>
      </c>
    </row>
    <row r="1879" spans="1:3" ht="15">
      <c r="A1879" s="90" t="s">
        <v>2119</v>
      </c>
      <c r="B1879" s="89" t="s">
        <v>2447</v>
      </c>
      <c r="C1879" s="98" t="s">
        <v>2207</v>
      </c>
    </row>
    <row r="1880" spans="1:3" ht="15">
      <c r="A1880" s="90" t="s">
        <v>2119</v>
      </c>
      <c r="B1880" s="89" t="s">
        <v>2369</v>
      </c>
      <c r="C1880" s="98" t="s">
        <v>2207</v>
      </c>
    </row>
    <row r="1881" spans="1:3" ht="15">
      <c r="A1881" s="90" t="s">
        <v>2119</v>
      </c>
      <c r="B1881" s="89" t="s">
        <v>2370</v>
      </c>
      <c r="C1881" s="98" t="s">
        <v>2207</v>
      </c>
    </row>
    <row r="1882" spans="1:3" ht="15">
      <c r="A1882" s="90" t="s">
        <v>2119</v>
      </c>
      <c r="B1882" s="89" t="s">
        <v>1578</v>
      </c>
      <c r="C1882" s="98" t="s">
        <v>2207</v>
      </c>
    </row>
    <row r="1883" spans="1:3" ht="15">
      <c r="A1883" s="90" t="s">
        <v>2119</v>
      </c>
      <c r="B1883" s="89" t="s">
        <v>2371</v>
      </c>
      <c r="C1883" s="98" t="s">
        <v>2207</v>
      </c>
    </row>
    <row r="1884" spans="1:3" ht="15">
      <c r="A1884" s="90" t="s">
        <v>2119</v>
      </c>
      <c r="B1884" s="89" t="s">
        <v>1087</v>
      </c>
      <c r="C1884" s="98" t="s">
        <v>2207</v>
      </c>
    </row>
    <row r="1885" spans="1:3" ht="15">
      <c r="A1885" s="90" t="s">
        <v>2119</v>
      </c>
      <c r="B1885" s="89" t="s">
        <v>2372</v>
      </c>
      <c r="C1885" s="98" t="s">
        <v>2207</v>
      </c>
    </row>
    <row r="1886" spans="1:3" ht="15">
      <c r="A1886" s="90" t="s">
        <v>2119</v>
      </c>
      <c r="B1886" s="89" t="s">
        <v>1167</v>
      </c>
      <c r="C1886" s="98" t="s">
        <v>2207</v>
      </c>
    </row>
    <row r="1887" spans="1:3" ht="15">
      <c r="A1887" s="90" t="s">
        <v>2119</v>
      </c>
      <c r="B1887" s="89" t="s">
        <v>1575</v>
      </c>
      <c r="C1887" s="98" t="s">
        <v>2207</v>
      </c>
    </row>
    <row r="1888" spans="1:3" ht="15">
      <c r="A1888" s="90" t="s">
        <v>2119</v>
      </c>
      <c r="B1888" s="89" t="s">
        <v>2373</v>
      </c>
      <c r="C1888" s="98" t="s">
        <v>2207</v>
      </c>
    </row>
    <row r="1889" spans="1:3" ht="15">
      <c r="A1889" s="90" t="s">
        <v>2119</v>
      </c>
      <c r="B1889" s="89" t="s">
        <v>2374</v>
      </c>
      <c r="C1889" s="98" t="s">
        <v>2207</v>
      </c>
    </row>
    <row r="1890" spans="1:3" ht="15">
      <c r="A1890" s="90" t="s">
        <v>2119</v>
      </c>
      <c r="B1890" s="89" t="s">
        <v>2375</v>
      </c>
      <c r="C1890" s="98" t="s">
        <v>2207</v>
      </c>
    </row>
    <row r="1891" spans="1:3" ht="15">
      <c r="A1891" s="90" t="s">
        <v>2119</v>
      </c>
      <c r="B1891" s="89" t="s">
        <v>2376</v>
      </c>
      <c r="C1891" s="98" t="s">
        <v>2207</v>
      </c>
    </row>
    <row r="1892" spans="1:3" ht="15">
      <c r="A1892" s="90" t="s">
        <v>2119</v>
      </c>
      <c r="B1892" s="89" t="s">
        <v>1097</v>
      </c>
      <c r="C1892" s="98" t="s">
        <v>2207</v>
      </c>
    </row>
    <row r="1893" spans="1:3" ht="15">
      <c r="A1893" s="90" t="s">
        <v>2119</v>
      </c>
      <c r="B1893" s="89" t="s">
        <v>1155</v>
      </c>
      <c r="C1893" s="98" t="s">
        <v>2207</v>
      </c>
    </row>
    <row r="1894" spans="1:3" ht="15">
      <c r="A1894" s="90" t="s">
        <v>2119</v>
      </c>
      <c r="B1894" s="89" t="s">
        <v>1101</v>
      </c>
      <c r="C1894" s="98" t="s">
        <v>2207</v>
      </c>
    </row>
    <row r="1895" spans="1:3" ht="15">
      <c r="A1895" s="90" t="s">
        <v>2119</v>
      </c>
      <c r="B1895" s="89" t="s">
        <v>252</v>
      </c>
      <c r="C1895" s="98" t="s">
        <v>2207</v>
      </c>
    </row>
    <row r="1896" spans="1:3" ht="15">
      <c r="A1896" s="90" t="s">
        <v>2119</v>
      </c>
      <c r="B1896" s="89" t="s">
        <v>2448</v>
      </c>
      <c r="C1896" s="98" t="s">
        <v>2207</v>
      </c>
    </row>
    <row r="1897" spans="1:3" ht="15">
      <c r="A1897" s="90" t="s">
        <v>2119</v>
      </c>
      <c r="B1897" s="89" t="s">
        <v>1796</v>
      </c>
      <c r="C1897" s="98" t="s">
        <v>2207</v>
      </c>
    </row>
    <row r="1898" spans="1:3" ht="15">
      <c r="A1898" s="90" t="s">
        <v>2119</v>
      </c>
      <c r="B1898" s="89" t="s">
        <v>996</v>
      </c>
      <c r="C1898" s="98" t="s">
        <v>2207</v>
      </c>
    </row>
    <row r="1899" spans="1:3" ht="15">
      <c r="A1899" s="90" t="s">
        <v>2119</v>
      </c>
      <c r="B1899" s="89" t="s">
        <v>997</v>
      </c>
      <c r="C1899" s="98" t="s">
        <v>2207</v>
      </c>
    </row>
    <row r="1900" spans="1:3" ht="15">
      <c r="A1900" s="90" t="s">
        <v>2119</v>
      </c>
      <c r="B1900" s="89" t="s">
        <v>998</v>
      </c>
      <c r="C1900" s="98" t="s">
        <v>2207</v>
      </c>
    </row>
    <row r="1901" spans="1:3" ht="15">
      <c r="A1901" s="90" t="s">
        <v>2119</v>
      </c>
      <c r="B1901" s="89" t="s">
        <v>2449</v>
      </c>
      <c r="C1901" s="98" t="s">
        <v>2207</v>
      </c>
    </row>
    <row r="1902" spans="1:3" ht="15">
      <c r="A1902" s="90" t="s">
        <v>2118</v>
      </c>
      <c r="B1902" s="89" t="s">
        <v>2468</v>
      </c>
      <c r="C1902" s="98" t="s">
        <v>2206</v>
      </c>
    </row>
    <row r="1903" spans="1:3" ht="15">
      <c r="A1903" s="90" t="s">
        <v>2118</v>
      </c>
      <c r="B1903" s="89" t="s">
        <v>1861</v>
      </c>
      <c r="C1903" s="98" t="s">
        <v>2206</v>
      </c>
    </row>
    <row r="1904" spans="1:3" ht="15">
      <c r="A1904" s="90" t="s">
        <v>2118</v>
      </c>
      <c r="B1904" s="89" t="s">
        <v>2365</v>
      </c>
      <c r="C1904" s="98" t="s">
        <v>2206</v>
      </c>
    </row>
    <row r="1905" spans="1:3" ht="15">
      <c r="A1905" s="90" t="s">
        <v>2118</v>
      </c>
      <c r="B1905" s="89" t="s">
        <v>2392</v>
      </c>
      <c r="C1905" s="98" t="s">
        <v>2206</v>
      </c>
    </row>
    <row r="1906" spans="1:3" ht="15">
      <c r="A1906" s="90" t="s">
        <v>2118</v>
      </c>
      <c r="B1906" s="89" t="s">
        <v>2393</v>
      </c>
      <c r="C1906" s="98" t="s">
        <v>2206</v>
      </c>
    </row>
    <row r="1907" spans="1:3" ht="15">
      <c r="A1907" s="90" t="s">
        <v>2118</v>
      </c>
      <c r="B1907" s="89" t="s">
        <v>2469</v>
      </c>
      <c r="C1907" s="98" t="s">
        <v>2206</v>
      </c>
    </row>
    <row r="1908" spans="1:3" ht="15">
      <c r="A1908" s="90" t="s">
        <v>2118</v>
      </c>
      <c r="B1908" s="89" t="s">
        <v>338</v>
      </c>
      <c r="C1908" s="98" t="s">
        <v>2206</v>
      </c>
    </row>
    <row r="1909" spans="1:3" ht="15">
      <c r="A1909" s="90" t="s">
        <v>2118</v>
      </c>
      <c r="B1909" s="89" t="s">
        <v>1579</v>
      </c>
      <c r="C1909" s="98" t="s">
        <v>2206</v>
      </c>
    </row>
    <row r="1910" spans="1:3" ht="15">
      <c r="A1910" s="90" t="s">
        <v>2118</v>
      </c>
      <c r="B1910" s="89" t="s">
        <v>1092</v>
      </c>
      <c r="C1910" s="98" t="s">
        <v>2206</v>
      </c>
    </row>
    <row r="1911" spans="1:3" ht="15">
      <c r="A1911" s="90" t="s">
        <v>2118</v>
      </c>
      <c r="B1911" s="89" t="s">
        <v>1097</v>
      </c>
      <c r="C1911" s="98" t="s">
        <v>2206</v>
      </c>
    </row>
    <row r="1912" spans="1:3" ht="15">
      <c r="A1912" s="90" t="s">
        <v>2118</v>
      </c>
      <c r="B1912" s="89" t="s">
        <v>1091</v>
      </c>
      <c r="C1912" s="98" t="s">
        <v>2206</v>
      </c>
    </row>
    <row r="1913" spans="1:3" ht="15">
      <c r="A1913" s="90" t="s">
        <v>2118</v>
      </c>
      <c r="B1913" s="89" t="s">
        <v>299</v>
      </c>
      <c r="C1913" s="98" t="s">
        <v>2206</v>
      </c>
    </row>
    <row r="1914" spans="1:3" ht="15">
      <c r="A1914" s="90" t="s">
        <v>255</v>
      </c>
      <c r="B1914" s="89" t="s">
        <v>1080</v>
      </c>
      <c r="C1914" s="98" t="s">
        <v>471</v>
      </c>
    </row>
    <row r="1915" spans="1:3" ht="15">
      <c r="A1915" s="90" t="s">
        <v>255</v>
      </c>
      <c r="B1915" s="89" t="s">
        <v>1081</v>
      </c>
      <c r="C1915" s="98" t="s">
        <v>471</v>
      </c>
    </row>
    <row r="1916" spans="1:3" ht="15">
      <c r="A1916" s="90" t="s">
        <v>255</v>
      </c>
      <c r="B1916" s="89" t="s">
        <v>1082</v>
      </c>
      <c r="C1916" s="98" t="s">
        <v>471</v>
      </c>
    </row>
    <row r="1917" spans="1:3" ht="15">
      <c r="A1917" s="90" t="s">
        <v>255</v>
      </c>
      <c r="B1917" s="89" t="s">
        <v>930</v>
      </c>
      <c r="C1917" s="98" t="s">
        <v>471</v>
      </c>
    </row>
    <row r="1918" spans="1:3" ht="15">
      <c r="A1918" s="90" t="s">
        <v>255</v>
      </c>
      <c r="B1918" s="89" t="s">
        <v>940</v>
      </c>
      <c r="C1918" s="98" t="s">
        <v>471</v>
      </c>
    </row>
    <row r="1919" spans="1:3" ht="15">
      <c r="A1919" s="90" t="s">
        <v>255</v>
      </c>
      <c r="B1919" s="89" t="s">
        <v>941</v>
      </c>
      <c r="C1919" s="98" t="s">
        <v>471</v>
      </c>
    </row>
    <row r="1920" spans="1:3" ht="15">
      <c r="A1920" s="90" t="s">
        <v>255</v>
      </c>
      <c r="B1920" s="89" t="s">
        <v>1083</v>
      </c>
      <c r="C1920" s="98" t="s">
        <v>471</v>
      </c>
    </row>
    <row r="1921" spans="1:3" ht="15">
      <c r="A1921" s="90" t="s">
        <v>255</v>
      </c>
      <c r="B1921" s="89" t="s">
        <v>931</v>
      </c>
      <c r="C1921" s="98" t="s">
        <v>471</v>
      </c>
    </row>
    <row r="1922" spans="1:3" ht="15">
      <c r="A1922" s="90" t="s">
        <v>255</v>
      </c>
      <c r="B1922" s="89" t="s">
        <v>1084</v>
      </c>
      <c r="C1922" s="98" t="s">
        <v>471</v>
      </c>
    </row>
    <row r="1923" spans="1:3" ht="15">
      <c r="A1923" s="90" t="s">
        <v>255</v>
      </c>
      <c r="B1923" s="89" t="s">
        <v>1085</v>
      </c>
      <c r="C1923" s="98" t="s">
        <v>471</v>
      </c>
    </row>
    <row r="1924" spans="1:3" ht="15">
      <c r="A1924" s="90" t="s">
        <v>255</v>
      </c>
      <c r="B1924" s="89" t="s">
        <v>1086</v>
      </c>
      <c r="C1924" s="98" t="s">
        <v>471</v>
      </c>
    </row>
    <row r="1925" spans="1:3" ht="15">
      <c r="A1925" s="90" t="s">
        <v>255</v>
      </c>
      <c r="B1925" s="89" t="s">
        <v>942</v>
      </c>
      <c r="C1925" s="98" t="s">
        <v>471</v>
      </c>
    </row>
    <row r="1926" spans="1:3" ht="15">
      <c r="A1926" s="90" t="s">
        <v>255</v>
      </c>
      <c r="B1926" s="89" t="s">
        <v>938</v>
      </c>
      <c r="C1926" s="98" t="s">
        <v>471</v>
      </c>
    </row>
    <row r="1927" spans="1:3" ht="15">
      <c r="A1927" s="90" t="s">
        <v>255</v>
      </c>
      <c r="B1927" s="89" t="s">
        <v>935</v>
      </c>
      <c r="C1927" s="98" t="s">
        <v>471</v>
      </c>
    </row>
    <row r="1928" spans="1:3" ht="15">
      <c r="A1928" s="90" t="s">
        <v>255</v>
      </c>
      <c r="B1928" s="89" t="s">
        <v>934</v>
      </c>
      <c r="C1928" s="98" t="s">
        <v>471</v>
      </c>
    </row>
    <row r="1929" spans="1:3" ht="15">
      <c r="A1929" s="90" t="s">
        <v>255</v>
      </c>
      <c r="B1929" s="89" t="s">
        <v>1087</v>
      </c>
      <c r="C1929" s="98" t="s">
        <v>471</v>
      </c>
    </row>
    <row r="1930" spans="1:3" ht="15">
      <c r="A1930" s="90" t="s">
        <v>255</v>
      </c>
      <c r="B1930" s="89" t="s">
        <v>1088</v>
      </c>
      <c r="C1930" s="98" t="s">
        <v>471</v>
      </c>
    </row>
    <row r="1931" spans="1:3" ht="15">
      <c r="A1931" s="90" t="s">
        <v>255</v>
      </c>
      <c r="B1931" s="89" t="s">
        <v>936</v>
      </c>
      <c r="C1931" s="98" t="s">
        <v>471</v>
      </c>
    </row>
    <row r="1932" spans="1:3" ht="15">
      <c r="A1932" s="90" t="s">
        <v>255</v>
      </c>
      <c r="B1932" s="89" t="s">
        <v>1089</v>
      </c>
      <c r="C1932" s="98" t="s">
        <v>471</v>
      </c>
    </row>
    <row r="1933" spans="1:3" ht="15">
      <c r="A1933" s="90" t="s">
        <v>255</v>
      </c>
      <c r="B1933" s="89" t="s">
        <v>943</v>
      </c>
      <c r="C1933" s="98" t="s">
        <v>471</v>
      </c>
    </row>
    <row r="1934" spans="1:3" ht="15">
      <c r="A1934" s="90" t="s">
        <v>255</v>
      </c>
      <c r="B1934" s="89" t="s">
        <v>1090</v>
      </c>
      <c r="C1934" s="98" t="s">
        <v>471</v>
      </c>
    </row>
    <row r="1935" spans="1:3" ht="15">
      <c r="A1935" s="90" t="s">
        <v>255</v>
      </c>
      <c r="B1935" s="89" t="s">
        <v>933</v>
      </c>
      <c r="C1935" s="98" t="s">
        <v>471</v>
      </c>
    </row>
    <row r="1936" spans="1:3" ht="15">
      <c r="A1936" s="90" t="s">
        <v>255</v>
      </c>
      <c r="B1936" s="89" t="s">
        <v>338</v>
      </c>
      <c r="C1936" s="98" t="s">
        <v>471</v>
      </c>
    </row>
    <row r="1937" spans="1:3" ht="15">
      <c r="A1937" s="90" t="s">
        <v>255</v>
      </c>
      <c r="B1937" s="89" t="s">
        <v>1091</v>
      </c>
      <c r="C1937" s="98" t="s">
        <v>471</v>
      </c>
    </row>
    <row r="1938" spans="1:3" ht="15">
      <c r="A1938" s="90" t="s">
        <v>255</v>
      </c>
      <c r="B1938" s="89" t="s">
        <v>299</v>
      </c>
      <c r="C1938" s="98" t="s">
        <v>471</v>
      </c>
    </row>
    <row r="1939" spans="1:3" ht="15">
      <c r="A1939" s="90" t="s">
        <v>293</v>
      </c>
      <c r="B1939" s="89" t="s">
        <v>2468</v>
      </c>
      <c r="C1939" s="98" t="s">
        <v>2234</v>
      </c>
    </row>
    <row r="1940" spans="1:3" ht="15">
      <c r="A1940" s="90" t="s">
        <v>293</v>
      </c>
      <c r="B1940" s="89" t="s">
        <v>1861</v>
      </c>
      <c r="C1940" s="98" t="s">
        <v>2234</v>
      </c>
    </row>
    <row r="1941" spans="1:3" ht="15">
      <c r="A1941" s="90" t="s">
        <v>293</v>
      </c>
      <c r="B1941" s="89" t="s">
        <v>2365</v>
      </c>
      <c r="C1941" s="98" t="s">
        <v>2234</v>
      </c>
    </row>
    <row r="1942" spans="1:3" ht="15">
      <c r="A1942" s="90" t="s">
        <v>293</v>
      </c>
      <c r="B1942" s="89" t="s">
        <v>2392</v>
      </c>
      <c r="C1942" s="98" t="s">
        <v>2234</v>
      </c>
    </row>
    <row r="1943" spans="1:3" ht="15">
      <c r="A1943" s="90" t="s">
        <v>293</v>
      </c>
      <c r="B1943" s="89" t="s">
        <v>2393</v>
      </c>
      <c r="C1943" s="98" t="s">
        <v>2234</v>
      </c>
    </row>
    <row r="1944" spans="1:3" ht="15">
      <c r="A1944" s="90" t="s">
        <v>293</v>
      </c>
      <c r="B1944" s="89" t="s">
        <v>2469</v>
      </c>
      <c r="C1944" s="98" t="s">
        <v>2234</v>
      </c>
    </row>
    <row r="1945" spans="1:3" ht="15">
      <c r="A1945" s="90" t="s">
        <v>293</v>
      </c>
      <c r="B1945" s="89" t="s">
        <v>338</v>
      </c>
      <c r="C1945" s="98" t="s">
        <v>2234</v>
      </c>
    </row>
    <row r="1946" spans="1:3" ht="15">
      <c r="A1946" s="90" t="s">
        <v>293</v>
      </c>
      <c r="B1946" s="89" t="s">
        <v>1579</v>
      </c>
      <c r="C1946" s="98" t="s">
        <v>2234</v>
      </c>
    </row>
    <row r="1947" spans="1:3" ht="15">
      <c r="A1947" s="90" t="s">
        <v>293</v>
      </c>
      <c r="B1947" s="89" t="s">
        <v>1092</v>
      </c>
      <c r="C1947" s="98" t="s">
        <v>2234</v>
      </c>
    </row>
    <row r="1948" spans="1:3" ht="15">
      <c r="A1948" s="90" t="s">
        <v>293</v>
      </c>
      <c r="B1948" s="89" t="s">
        <v>1097</v>
      </c>
      <c r="C1948" s="98" t="s">
        <v>2234</v>
      </c>
    </row>
    <row r="1949" spans="1:3" ht="15">
      <c r="A1949" s="90" t="s">
        <v>293</v>
      </c>
      <c r="B1949" s="89" t="s">
        <v>1091</v>
      </c>
      <c r="C1949" s="98" t="s">
        <v>2234</v>
      </c>
    </row>
    <row r="1950" spans="1:3" ht="15">
      <c r="A1950" s="90" t="s">
        <v>293</v>
      </c>
      <c r="B1950" s="89" t="s">
        <v>299</v>
      </c>
      <c r="C1950" s="98" t="s">
        <v>2234</v>
      </c>
    </row>
    <row r="1951" spans="1:3" ht="15">
      <c r="A1951" s="90" t="s">
        <v>2134</v>
      </c>
      <c r="B1951" s="89" t="s">
        <v>2468</v>
      </c>
      <c r="C1951" s="98" t="s">
        <v>2233</v>
      </c>
    </row>
    <row r="1952" spans="1:3" ht="15">
      <c r="A1952" s="90" t="s">
        <v>2134</v>
      </c>
      <c r="B1952" s="89" t="s">
        <v>1861</v>
      </c>
      <c r="C1952" s="98" t="s">
        <v>2233</v>
      </c>
    </row>
    <row r="1953" spans="1:3" ht="15">
      <c r="A1953" s="90" t="s">
        <v>2134</v>
      </c>
      <c r="B1953" s="89" t="s">
        <v>2365</v>
      </c>
      <c r="C1953" s="98" t="s">
        <v>2233</v>
      </c>
    </row>
    <row r="1954" spans="1:3" ht="15">
      <c r="A1954" s="90" t="s">
        <v>2134</v>
      </c>
      <c r="B1954" s="89" t="s">
        <v>2392</v>
      </c>
      <c r="C1954" s="98" t="s">
        <v>2233</v>
      </c>
    </row>
    <row r="1955" spans="1:3" ht="15">
      <c r="A1955" s="90" t="s">
        <v>2134</v>
      </c>
      <c r="B1955" s="89" t="s">
        <v>2393</v>
      </c>
      <c r="C1955" s="98" t="s">
        <v>2233</v>
      </c>
    </row>
    <row r="1956" spans="1:3" ht="15">
      <c r="A1956" s="90" t="s">
        <v>2134</v>
      </c>
      <c r="B1956" s="89" t="s">
        <v>2469</v>
      </c>
      <c r="C1956" s="98" t="s">
        <v>2233</v>
      </c>
    </row>
    <row r="1957" spans="1:3" ht="15">
      <c r="A1957" s="90" t="s">
        <v>2134</v>
      </c>
      <c r="B1957" s="89" t="s">
        <v>338</v>
      </c>
      <c r="C1957" s="98" t="s">
        <v>2233</v>
      </c>
    </row>
    <row r="1958" spans="1:3" ht="15">
      <c r="A1958" s="90" t="s">
        <v>2134</v>
      </c>
      <c r="B1958" s="89" t="s">
        <v>1579</v>
      </c>
      <c r="C1958" s="98" t="s">
        <v>2233</v>
      </c>
    </row>
    <row r="1959" spans="1:3" ht="15">
      <c r="A1959" s="90" t="s">
        <v>2134</v>
      </c>
      <c r="B1959" s="89" t="s">
        <v>1092</v>
      </c>
      <c r="C1959" s="98" t="s">
        <v>2233</v>
      </c>
    </row>
    <row r="1960" spans="1:3" ht="15">
      <c r="A1960" s="90" t="s">
        <v>2134</v>
      </c>
      <c r="B1960" s="89" t="s">
        <v>1097</v>
      </c>
      <c r="C1960" s="98" t="s">
        <v>2233</v>
      </c>
    </row>
    <row r="1961" spans="1:3" ht="15">
      <c r="A1961" s="90" t="s">
        <v>2134</v>
      </c>
      <c r="B1961" s="89" t="s">
        <v>1091</v>
      </c>
      <c r="C1961" s="98" t="s">
        <v>2233</v>
      </c>
    </row>
    <row r="1962" spans="1:3" ht="15">
      <c r="A1962" s="90" t="s">
        <v>2134</v>
      </c>
      <c r="B1962" s="89" t="s">
        <v>299</v>
      </c>
      <c r="C1962" s="98" t="s">
        <v>2233</v>
      </c>
    </row>
    <row r="1963" spans="1:3" ht="15">
      <c r="A1963" s="90" t="s">
        <v>2117</v>
      </c>
      <c r="B1963" s="89" t="s">
        <v>2468</v>
      </c>
      <c r="C1963" s="98" t="s">
        <v>2205</v>
      </c>
    </row>
    <row r="1964" spans="1:3" ht="15">
      <c r="A1964" s="90" t="s">
        <v>2117</v>
      </c>
      <c r="B1964" s="89" t="s">
        <v>1861</v>
      </c>
      <c r="C1964" s="98" t="s">
        <v>2205</v>
      </c>
    </row>
    <row r="1965" spans="1:3" ht="15">
      <c r="A1965" s="90" t="s">
        <v>2117</v>
      </c>
      <c r="B1965" s="89" t="s">
        <v>2365</v>
      </c>
      <c r="C1965" s="98" t="s">
        <v>2205</v>
      </c>
    </row>
    <row r="1966" spans="1:3" ht="15">
      <c r="A1966" s="90" t="s">
        <v>2117</v>
      </c>
      <c r="B1966" s="89" t="s">
        <v>2392</v>
      </c>
      <c r="C1966" s="98" t="s">
        <v>2205</v>
      </c>
    </row>
    <row r="1967" spans="1:3" ht="15">
      <c r="A1967" s="90" t="s">
        <v>2117</v>
      </c>
      <c r="B1967" s="89" t="s">
        <v>2393</v>
      </c>
      <c r="C1967" s="98" t="s">
        <v>2205</v>
      </c>
    </row>
    <row r="1968" spans="1:3" ht="15">
      <c r="A1968" s="90" t="s">
        <v>2117</v>
      </c>
      <c r="B1968" s="89" t="s">
        <v>2469</v>
      </c>
      <c r="C1968" s="98" t="s">
        <v>2205</v>
      </c>
    </row>
    <row r="1969" spans="1:3" ht="15">
      <c r="A1969" s="90" t="s">
        <v>2117</v>
      </c>
      <c r="B1969" s="89" t="s">
        <v>338</v>
      </c>
      <c r="C1969" s="98" t="s">
        <v>2205</v>
      </c>
    </row>
    <row r="1970" spans="1:3" ht="15">
      <c r="A1970" s="90" t="s">
        <v>2117</v>
      </c>
      <c r="B1970" s="89" t="s">
        <v>1579</v>
      </c>
      <c r="C1970" s="98" t="s">
        <v>2205</v>
      </c>
    </row>
    <row r="1971" spans="1:3" ht="15">
      <c r="A1971" s="90" t="s">
        <v>2117</v>
      </c>
      <c r="B1971" s="89" t="s">
        <v>1092</v>
      </c>
      <c r="C1971" s="98" t="s">
        <v>2205</v>
      </c>
    </row>
    <row r="1972" spans="1:3" ht="15">
      <c r="A1972" s="90" t="s">
        <v>2117</v>
      </c>
      <c r="B1972" s="89" t="s">
        <v>1097</v>
      </c>
      <c r="C1972" s="98" t="s">
        <v>2205</v>
      </c>
    </row>
    <row r="1973" spans="1:3" ht="15">
      <c r="A1973" s="90" t="s">
        <v>2117</v>
      </c>
      <c r="B1973" s="89" t="s">
        <v>1091</v>
      </c>
      <c r="C1973" s="98" t="s">
        <v>2205</v>
      </c>
    </row>
    <row r="1974" spans="1:3" ht="15">
      <c r="A1974" s="90" t="s">
        <v>2117</v>
      </c>
      <c r="B1974" s="89" t="s">
        <v>299</v>
      </c>
      <c r="C1974" s="98" t="s">
        <v>2205</v>
      </c>
    </row>
    <row r="1975" spans="1:3" ht="15">
      <c r="A1975" s="90" t="s">
        <v>254</v>
      </c>
      <c r="B1975" s="89" t="s">
        <v>1121</v>
      </c>
      <c r="C1975" s="98" t="s">
        <v>470</v>
      </c>
    </row>
    <row r="1976" spans="1:3" ht="15">
      <c r="A1976" s="90" t="s">
        <v>254</v>
      </c>
      <c r="B1976" s="89" t="s">
        <v>303</v>
      </c>
      <c r="C1976" s="98" t="s">
        <v>470</v>
      </c>
    </row>
    <row r="1977" spans="1:3" ht="15">
      <c r="A1977" s="90" t="s">
        <v>254</v>
      </c>
      <c r="B1977" s="89" t="s">
        <v>951</v>
      </c>
      <c r="C1977" s="98" t="s">
        <v>470</v>
      </c>
    </row>
    <row r="1978" spans="1:3" ht="15">
      <c r="A1978" s="90" t="s">
        <v>254</v>
      </c>
      <c r="B1978" s="89">
        <v>12</v>
      </c>
      <c r="C1978" s="98" t="s">
        <v>470</v>
      </c>
    </row>
    <row r="1979" spans="1:3" ht="15">
      <c r="A1979" s="90" t="s">
        <v>254</v>
      </c>
      <c r="B1979" s="89">
        <v>18</v>
      </c>
      <c r="C1979" s="98" t="s">
        <v>470</v>
      </c>
    </row>
    <row r="1980" spans="1:3" ht="15">
      <c r="A1980" s="90" t="s">
        <v>254</v>
      </c>
      <c r="B1980" s="89" t="s">
        <v>954</v>
      </c>
      <c r="C1980" s="98" t="s">
        <v>470</v>
      </c>
    </row>
    <row r="1981" spans="1:3" ht="15">
      <c r="A1981" s="90" t="s">
        <v>254</v>
      </c>
      <c r="B1981" s="89" t="s">
        <v>1122</v>
      </c>
      <c r="C1981" s="98" t="s">
        <v>470</v>
      </c>
    </row>
    <row r="1982" spans="1:3" ht="15">
      <c r="A1982" s="90" t="s">
        <v>254</v>
      </c>
      <c r="B1982" s="89" t="s">
        <v>944</v>
      </c>
      <c r="C1982" s="98" t="s">
        <v>470</v>
      </c>
    </row>
    <row r="1983" spans="1:3" ht="15">
      <c r="A1983" s="90" t="s">
        <v>254</v>
      </c>
      <c r="B1983" s="89" t="s">
        <v>955</v>
      </c>
      <c r="C1983" s="98" t="s">
        <v>470</v>
      </c>
    </row>
    <row r="1984" spans="1:3" ht="15">
      <c r="A1984" s="90" t="s">
        <v>254</v>
      </c>
      <c r="B1984" s="89" t="s">
        <v>956</v>
      </c>
      <c r="C1984" s="98" t="s">
        <v>470</v>
      </c>
    </row>
    <row r="1985" spans="1:3" ht="15">
      <c r="A1985" s="90" t="s">
        <v>254</v>
      </c>
      <c r="B1985" s="89" t="s">
        <v>957</v>
      </c>
      <c r="C1985" s="98" t="s">
        <v>470</v>
      </c>
    </row>
    <row r="1986" spans="1:3" ht="15">
      <c r="A1986" s="90" t="s">
        <v>254</v>
      </c>
      <c r="B1986" s="89" t="s">
        <v>1116</v>
      </c>
      <c r="C1986" s="98" t="s">
        <v>470</v>
      </c>
    </row>
    <row r="1987" spans="1:3" ht="15">
      <c r="A1987" s="90" t="s">
        <v>254</v>
      </c>
      <c r="B1987" s="89" t="s">
        <v>1117</v>
      </c>
      <c r="C1987" s="98" t="s">
        <v>470</v>
      </c>
    </row>
    <row r="1988" spans="1:3" ht="15">
      <c r="A1988" s="90" t="s">
        <v>254</v>
      </c>
      <c r="B1988" s="89" t="s">
        <v>948</v>
      </c>
      <c r="C1988" s="98" t="s">
        <v>470</v>
      </c>
    </row>
    <row r="1989" spans="1:3" ht="15">
      <c r="A1989" s="90" t="s">
        <v>254</v>
      </c>
      <c r="B1989" s="89" t="s">
        <v>958</v>
      </c>
      <c r="C1989" s="98" t="s">
        <v>470</v>
      </c>
    </row>
    <row r="1990" spans="1:3" ht="15">
      <c r="A1990" s="90" t="s">
        <v>254</v>
      </c>
      <c r="B1990" s="89" t="s">
        <v>338</v>
      </c>
      <c r="C1990" s="98" t="s">
        <v>470</v>
      </c>
    </row>
    <row r="1991" spans="1:3" ht="15">
      <c r="A1991" s="90" t="s">
        <v>254</v>
      </c>
      <c r="B1991" s="89" t="s">
        <v>1080</v>
      </c>
      <c r="C1991" s="98" t="s">
        <v>469</v>
      </c>
    </row>
    <row r="1992" spans="1:3" ht="15">
      <c r="A1992" s="90" t="s">
        <v>254</v>
      </c>
      <c r="B1992" s="89" t="s">
        <v>1081</v>
      </c>
      <c r="C1992" s="98" t="s">
        <v>469</v>
      </c>
    </row>
    <row r="1993" spans="1:3" ht="15">
      <c r="A1993" s="90" t="s">
        <v>254</v>
      </c>
      <c r="B1993" s="89" t="s">
        <v>1082</v>
      </c>
      <c r="C1993" s="98" t="s">
        <v>469</v>
      </c>
    </row>
    <row r="1994" spans="1:3" ht="15">
      <c r="A1994" s="90" t="s">
        <v>254</v>
      </c>
      <c r="B1994" s="89" t="s">
        <v>930</v>
      </c>
      <c r="C1994" s="98" t="s">
        <v>469</v>
      </c>
    </row>
    <row r="1995" spans="1:3" ht="15">
      <c r="A1995" s="90" t="s">
        <v>254</v>
      </c>
      <c r="B1995" s="89" t="s">
        <v>940</v>
      </c>
      <c r="C1995" s="98" t="s">
        <v>469</v>
      </c>
    </row>
    <row r="1996" spans="1:3" ht="15">
      <c r="A1996" s="90" t="s">
        <v>254</v>
      </c>
      <c r="B1996" s="89" t="s">
        <v>941</v>
      </c>
      <c r="C1996" s="98" t="s">
        <v>469</v>
      </c>
    </row>
    <row r="1997" spans="1:3" ht="15">
      <c r="A1997" s="90" t="s">
        <v>254</v>
      </c>
      <c r="B1997" s="89" t="s">
        <v>1083</v>
      </c>
      <c r="C1997" s="98" t="s">
        <v>469</v>
      </c>
    </row>
    <row r="1998" spans="1:3" ht="15">
      <c r="A1998" s="90" t="s">
        <v>254</v>
      </c>
      <c r="B1998" s="89" t="s">
        <v>931</v>
      </c>
      <c r="C1998" s="98" t="s">
        <v>469</v>
      </c>
    </row>
    <row r="1999" spans="1:3" ht="15">
      <c r="A1999" s="90" t="s">
        <v>254</v>
      </c>
      <c r="B1999" s="89" t="s">
        <v>1084</v>
      </c>
      <c r="C1999" s="98" t="s">
        <v>469</v>
      </c>
    </row>
    <row r="2000" spans="1:3" ht="15">
      <c r="A2000" s="90" t="s">
        <v>254</v>
      </c>
      <c r="B2000" s="89" t="s">
        <v>1085</v>
      </c>
      <c r="C2000" s="98" t="s">
        <v>469</v>
      </c>
    </row>
    <row r="2001" spans="1:3" ht="15">
      <c r="A2001" s="90" t="s">
        <v>254</v>
      </c>
      <c r="B2001" s="89" t="s">
        <v>1086</v>
      </c>
      <c r="C2001" s="98" t="s">
        <v>469</v>
      </c>
    </row>
    <row r="2002" spans="1:3" ht="15">
      <c r="A2002" s="90" t="s">
        <v>254</v>
      </c>
      <c r="B2002" s="89" t="s">
        <v>942</v>
      </c>
      <c r="C2002" s="98" t="s">
        <v>469</v>
      </c>
    </row>
    <row r="2003" spans="1:3" ht="15">
      <c r="A2003" s="90" t="s">
        <v>254</v>
      </c>
      <c r="B2003" s="89" t="s">
        <v>938</v>
      </c>
      <c r="C2003" s="98" t="s">
        <v>469</v>
      </c>
    </row>
    <row r="2004" spans="1:3" ht="15">
      <c r="A2004" s="90" t="s">
        <v>254</v>
      </c>
      <c r="B2004" s="89" t="s">
        <v>935</v>
      </c>
      <c r="C2004" s="98" t="s">
        <v>469</v>
      </c>
    </row>
    <row r="2005" spans="1:3" ht="15">
      <c r="A2005" s="90" t="s">
        <v>254</v>
      </c>
      <c r="B2005" s="89" t="s">
        <v>934</v>
      </c>
      <c r="C2005" s="98" t="s">
        <v>469</v>
      </c>
    </row>
    <row r="2006" spans="1:3" ht="15">
      <c r="A2006" s="90" t="s">
        <v>254</v>
      </c>
      <c r="B2006" s="89" t="s">
        <v>1087</v>
      </c>
      <c r="C2006" s="98" t="s">
        <v>469</v>
      </c>
    </row>
    <row r="2007" spans="1:3" ht="15">
      <c r="A2007" s="90" t="s">
        <v>254</v>
      </c>
      <c r="B2007" s="89" t="s">
        <v>1088</v>
      </c>
      <c r="C2007" s="98" t="s">
        <v>469</v>
      </c>
    </row>
    <row r="2008" spans="1:3" ht="15">
      <c r="A2008" s="90" t="s">
        <v>254</v>
      </c>
      <c r="B2008" s="89" t="s">
        <v>936</v>
      </c>
      <c r="C2008" s="98" t="s">
        <v>469</v>
      </c>
    </row>
    <row r="2009" spans="1:3" ht="15">
      <c r="A2009" s="90" t="s">
        <v>254</v>
      </c>
      <c r="B2009" s="89" t="s">
        <v>1089</v>
      </c>
      <c r="C2009" s="98" t="s">
        <v>469</v>
      </c>
    </row>
    <row r="2010" spans="1:3" ht="15">
      <c r="A2010" s="90" t="s">
        <v>254</v>
      </c>
      <c r="B2010" s="89" t="s">
        <v>943</v>
      </c>
      <c r="C2010" s="98" t="s">
        <v>469</v>
      </c>
    </row>
    <row r="2011" spans="1:3" ht="15">
      <c r="A2011" s="90" t="s">
        <v>254</v>
      </c>
      <c r="B2011" s="89" t="s">
        <v>1090</v>
      </c>
      <c r="C2011" s="98" t="s">
        <v>469</v>
      </c>
    </row>
    <row r="2012" spans="1:3" ht="15">
      <c r="A2012" s="90" t="s">
        <v>254</v>
      </c>
      <c r="B2012" s="89" t="s">
        <v>933</v>
      </c>
      <c r="C2012" s="98" t="s">
        <v>469</v>
      </c>
    </row>
    <row r="2013" spans="1:3" ht="15">
      <c r="A2013" s="90" t="s">
        <v>254</v>
      </c>
      <c r="B2013" s="89" t="s">
        <v>338</v>
      </c>
      <c r="C2013" s="98" t="s">
        <v>469</v>
      </c>
    </row>
    <row r="2014" spans="1:3" ht="15">
      <c r="A2014" s="90" t="s">
        <v>254</v>
      </c>
      <c r="B2014" s="89" t="s">
        <v>1091</v>
      </c>
      <c r="C2014" s="98" t="s">
        <v>469</v>
      </c>
    </row>
    <row r="2015" spans="1:3" ht="15">
      <c r="A2015" s="90" t="s">
        <v>254</v>
      </c>
      <c r="B2015" s="89" t="s">
        <v>299</v>
      </c>
      <c r="C2015" s="98" t="s">
        <v>469</v>
      </c>
    </row>
    <row r="2016" spans="1:3" ht="15">
      <c r="A2016" s="90" t="s">
        <v>253</v>
      </c>
      <c r="B2016" s="89" t="s">
        <v>1157</v>
      </c>
      <c r="C2016" s="98" t="s">
        <v>468</v>
      </c>
    </row>
    <row r="2017" spans="1:3" ht="15">
      <c r="A2017" s="90" t="s">
        <v>253</v>
      </c>
      <c r="B2017" s="89" t="s">
        <v>1158</v>
      </c>
      <c r="C2017" s="98" t="s">
        <v>468</v>
      </c>
    </row>
    <row r="2018" spans="1:3" ht="15">
      <c r="A2018" s="90" t="s">
        <v>253</v>
      </c>
      <c r="B2018" s="89" t="s">
        <v>1159</v>
      </c>
      <c r="C2018" s="98" t="s">
        <v>468</v>
      </c>
    </row>
    <row r="2019" spans="1:3" ht="15">
      <c r="A2019" s="90" t="s">
        <v>253</v>
      </c>
      <c r="B2019" s="89" t="s">
        <v>1160</v>
      </c>
      <c r="C2019" s="98" t="s">
        <v>468</v>
      </c>
    </row>
    <row r="2020" spans="1:3" ht="15">
      <c r="A2020" s="90" t="s">
        <v>253</v>
      </c>
      <c r="B2020" s="89" t="s">
        <v>1161</v>
      </c>
      <c r="C2020" s="98" t="s">
        <v>468</v>
      </c>
    </row>
    <row r="2021" spans="1:3" ht="15">
      <c r="A2021" s="90" t="s">
        <v>253</v>
      </c>
      <c r="B2021" s="89" t="s">
        <v>338</v>
      </c>
      <c r="C2021" s="98" t="s">
        <v>468</v>
      </c>
    </row>
    <row r="2022" spans="1:3" ht="15">
      <c r="A2022" s="90" t="s">
        <v>253</v>
      </c>
      <c r="B2022" s="89" t="s">
        <v>1162</v>
      </c>
      <c r="C2022" s="98" t="s">
        <v>468</v>
      </c>
    </row>
    <row r="2023" spans="1:3" ht="15">
      <c r="A2023" s="90" t="s">
        <v>2116</v>
      </c>
      <c r="B2023" s="89" t="s">
        <v>2443</v>
      </c>
      <c r="C2023" s="98" t="s">
        <v>2204</v>
      </c>
    </row>
    <row r="2024" spans="1:3" ht="15">
      <c r="A2024" s="90" t="s">
        <v>2116</v>
      </c>
      <c r="B2024" s="89" t="s">
        <v>1048</v>
      </c>
      <c r="C2024" s="98" t="s">
        <v>2204</v>
      </c>
    </row>
    <row r="2025" spans="1:3" ht="15">
      <c r="A2025" s="90" t="s">
        <v>2116</v>
      </c>
      <c r="B2025" s="89" t="s">
        <v>2380</v>
      </c>
      <c r="C2025" s="98" t="s">
        <v>2204</v>
      </c>
    </row>
    <row r="2026" spans="1:3" ht="15">
      <c r="A2026" s="90" t="s">
        <v>2116</v>
      </c>
      <c r="B2026" s="89" t="s">
        <v>1087</v>
      </c>
      <c r="C2026" s="98" t="s">
        <v>2204</v>
      </c>
    </row>
    <row r="2027" spans="1:3" ht="15">
      <c r="A2027" s="90" t="s">
        <v>2116</v>
      </c>
      <c r="B2027" s="89" t="s">
        <v>2381</v>
      </c>
      <c r="C2027" s="98" t="s">
        <v>2204</v>
      </c>
    </row>
    <row r="2028" spans="1:3" ht="15">
      <c r="A2028" s="90" t="s">
        <v>2116</v>
      </c>
      <c r="B2028" s="89" t="s">
        <v>2382</v>
      </c>
      <c r="C2028" s="98" t="s">
        <v>2204</v>
      </c>
    </row>
    <row r="2029" spans="1:3" ht="15">
      <c r="A2029" s="90" t="s">
        <v>2116</v>
      </c>
      <c r="B2029" s="89" t="s">
        <v>2383</v>
      </c>
      <c r="C2029" s="98" t="s">
        <v>2204</v>
      </c>
    </row>
    <row r="2030" spans="1:3" ht="15">
      <c r="A2030" s="90" t="s">
        <v>2116</v>
      </c>
      <c r="B2030" s="89" t="s">
        <v>1200</v>
      </c>
      <c r="C2030" s="98" t="s">
        <v>2204</v>
      </c>
    </row>
    <row r="2031" spans="1:3" ht="15">
      <c r="A2031" s="90" t="s">
        <v>2116</v>
      </c>
      <c r="B2031" s="89" t="s">
        <v>2384</v>
      </c>
      <c r="C2031" s="98" t="s">
        <v>2204</v>
      </c>
    </row>
    <row r="2032" spans="1:3" ht="15">
      <c r="A2032" s="90" t="s">
        <v>2116</v>
      </c>
      <c r="B2032" s="89" t="s">
        <v>2385</v>
      </c>
      <c r="C2032" s="98" t="s">
        <v>2204</v>
      </c>
    </row>
    <row r="2033" spans="1:3" ht="15">
      <c r="A2033" s="90" t="s">
        <v>2116</v>
      </c>
      <c r="B2033" s="89" t="s">
        <v>949</v>
      </c>
      <c r="C2033" s="98" t="s">
        <v>2204</v>
      </c>
    </row>
    <row r="2034" spans="1:3" ht="15">
      <c r="A2034" s="90" t="s">
        <v>2116</v>
      </c>
      <c r="B2034" s="89" t="s">
        <v>2386</v>
      </c>
      <c r="C2034" s="98" t="s">
        <v>2204</v>
      </c>
    </row>
    <row r="2035" spans="1:3" ht="15">
      <c r="A2035" s="90" t="s">
        <v>2116</v>
      </c>
      <c r="B2035" s="89" t="s">
        <v>2387</v>
      </c>
      <c r="C2035" s="98" t="s">
        <v>2204</v>
      </c>
    </row>
    <row r="2036" spans="1:3" ht="15">
      <c r="A2036" s="90" t="s">
        <v>2116</v>
      </c>
      <c r="B2036" s="89" t="s">
        <v>2444</v>
      </c>
      <c r="C2036" s="98" t="s">
        <v>2204</v>
      </c>
    </row>
    <row r="2037" spans="1:3" ht="15">
      <c r="A2037" s="90" t="s">
        <v>2116</v>
      </c>
      <c r="B2037" s="89" t="s">
        <v>2389</v>
      </c>
      <c r="C2037" s="98" t="s">
        <v>2204</v>
      </c>
    </row>
    <row r="2038" spans="1:3" ht="15">
      <c r="A2038" s="90" t="s">
        <v>2116</v>
      </c>
      <c r="B2038" s="89" t="s">
        <v>2390</v>
      </c>
      <c r="C2038" s="98" t="s">
        <v>2204</v>
      </c>
    </row>
    <row r="2039" spans="1:3" ht="15">
      <c r="A2039" s="90" t="s">
        <v>2116</v>
      </c>
      <c r="B2039" s="89" t="s">
        <v>1568</v>
      </c>
      <c r="C2039" s="98" t="s">
        <v>2204</v>
      </c>
    </row>
    <row r="2040" spans="1:3" ht="15">
      <c r="A2040" s="90" t="s">
        <v>2116</v>
      </c>
      <c r="B2040" s="89" t="s">
        <v>1153</v>
      </c>
      <c r="C2040" s="98" t="s">
        <v>2204</v>
      </c>
    </row>
    <row r="2041" spans="1:3" ht="15">
      <c r="A2041" s="90" t="s">
        <v>2116</v>
      </c>
      <c r="B2041" s="89" t="s">
        <v>1097</v>
      </c>
      <c r="C2041" s="98" t="s">
        <v>2204</v>
      </c>
    </row>
    <row r="2042" spans="1:3" ht="15">
      <c r="A2042" s="90" t="s">
        <v>2116</v>
      </c>
      <c r="B2042" s="89" t="s">
        <v>299</v>
      </c>
      <c r="C2042" s="98" t="s">
        <v>2204</v>
      </c>
    </row>
    <row r="2043" spans="1:3" ht="15">
      <c r="A2043" s="90" t="s">
        <v>2116</v>
      </c>
      <c r="B2043" s="89" t="s">
        <v>1155</v>
      </c>
      <c r="C2043" s="98" t="s">
        <v>2204</v>
      </c>
    </row>
    <row r="2044" spans="1:3" ht="15">
      <c r="A2044" s="90" t="s">
        <v>2116</v>
      </c>
      <c r="B2044" s="89" t="s">
        <v>1101</v>
      </c>
      <c r="C2044" s="98" t="s">
        <v>2204</v>
      </c>
    </row>
    <row r="2045" spans="1:3" ht="15">
      <c r="A2045" s="90" t="s">
        <v>251</v>
      </c>
      <c r="B2045" s="89" t="s">
        <v>1080</v>
      </c>
      <c r="C2045" s="98" t="s">
        <v>466</v>
      </c>
    </row>
    <row r="2046" spans="1:3" ht="15">
      <c r="A2046" s="90" t="s">
        <v>251</v>
      </c>
      <c r="B2046" s="89" t="s">
        <v>1081</v>
      </c>
      <c r="C2046" s="98" t="s">
        <v>466</v>
      </c>
    </row>
    <row r="2047" spans="1:3" ht="15">
      <c r="A2047" s="90" t="s">
        <v>251</v>
      </c>
      <c r="B2047" s="89" t="s">
        <v>1082</v>
      </c>
      <c r="C2047" s="98" t="s">
        <v>466</v>
      </c>
    </row>
    <row r="2048" spans="1:3" ht="15">
      <c r="A2048" s="90" t="s">
        <v>251</v>
      </c>
      <c r="B2048" s="89" t="s">
        <v>930</v>
      </c>
      <c r="C2048" s="98" t="s">
        <v>466</v>
      </c>
    </row>
    <row r="2049" spans="1:3" ht="15">
      <c r="A2049" s="90" t="s">
        <v>251</v>
      </c>
      <c r="B2049" s="89" t="s">
        <v>940</v>
      </c>
      <c r="C2049" s="98" t="s">
        <v>466</v>
      </c>
    </row>
    <row r="2050" spans="1:3" ht="15">
      <c r="A2050" s="90" t="s">
        <v>251</v>
      </c>
      <c r="B2050" s="89" t="s">
        <v>941</v>
      </c>
      <c r="C2050" s="98" t="s">
        <v>466</v>
      </c>
    </row>
    <row r="2051" spans="1:3" ht="15">
      <c r="A2051" s="90" t="s">
        <v>251</v>
      </c>
      <c r="B2051" s="89" t="s">
        <v>1083</v>
      </c>
      <c r="C2051" s="98" t="s">
        <v>466</v>
      </c>
    </row>
    <row r="2052" spans="1:3" ht="15">
      <c r="A2052" s="90" t="s">
        <v>251</v>
      </c>
      <c r="B2052" s="89" t="s">
        <v>931</v>
      </c>
      <c r="C2052" s="98" t="s">
        <v>466</v>
      </c>
    </row>
    <row r="2053" spans="1:3" ht="15">
      <c r="A2053" s="90" t="s">
        <v>251</v>
      </c>
      <c r="B2053" s="89" t="s">
        <v>1084</v>
      </c>
      <c r="C2053" s="98" t="s">
        <v>466</v>
      </c>
    </row>
    <row r="2054" spans="1:3" ht="15">
      <c r="A2054" s="90" t="s">
        <v>251</v>
      </c>
      <c r="B2054" s="89" t="s">
        <v>1085</v>
      </c>
      <c r="C2054" s="98" t="s">
        <v>466</v>
      </c>
    </row>
    <row r="2055" spans="1:3" ht="15">
      <c r="A2055" s="90" t="s">
        <v>251</v>
      </c>
      <c r="B2055" s="89" t="s">
        <v>1086</v>
      </c>
      <c r="C2055" s="98" t="s">
        <v>466</v>
      </c>
    </row>
    <row r="2056" spans="1:3" ht="15">
      <c r="A2056" s="90" t="s">
        <v>251</v>
      </c>
      <c r="B2056" s="89" t="s">
        <v>942</v>
      </c>
      <c r="C2056" s="98" t="s">
        <v>466</v>
      </c>
    </row>
    <row r="2057" spans="1:3" ht="15">
      <c r="A2057" s="90" t="s">
        <v>251</v>
      </c>
      <c r="B2057" s="89" t="s">
        <v>938</v>
      </c>
      <c r="C2057" s="98" t="s">
        <v>466</v>
      </c>
    </row>
    <row r="2058" spans="1:3" ht="15">
      <c r="A2058" s="90" t="s">
        <v>251</v>
      </c>
      <c r="B2058" s="89" t="s">
        <v>935</v>
      </c>
      <c r="C2058" s="98" t="s">
        <v>466</v>
      </c>
    </row>
    <row r="2059" spans="1:3" ht="15">
      <c r="A2059" s="90" t="s">
        <v>251</v>
      </c>
      <c r="B2059" s="89" t="s">
        <v>934</v>
      </c>
      <c r="C2059" s="98" t="s">
        <v>466</v>
      </c>
    </row>
    <row r="2060" spans="1:3" ht="15">
      <c r="A2060" s="90" t="s">
        <v>251</v>
      </c>
      <c r="B2060" s="89" t="s">
        <v>1087</v>
      </c>
      <c r="C2060" s="98" t="s">
        <v>466</v>
      </c>
    </row>
    <row r="2061" spans="1:3" ht="15">
      <c r="A2061" s="90" t="s">
        <v>251</v>
      </c>
      <c r="B2061" s="89" t="s">
        <v>1088</v>
      </c>
      <c r="C2061" s="98" t="s">
        <v>466</v>
      </c>
    </row>
    <row r="2062" spans="1:3" ht="15">
      <c r="A2062" s="90" t="s">
        <v>251</v>
      </c>
      <c r="B2062" s="89" t="s">
        <v>936</v>
      </c>
      <c r="C2062" s="98" t="s">
        <v>466</v>
      </c>
    </row>
    <row r="2063" spans="1:3" ht="15">
      <c r="A2063" s="90" t="s">
        <v>251</v>
      </c>
      <c r="B2063" s="89" t="s">
        <v>1089</v>
      </c>
      <c r="C2063" s="98" t="s">
        <v>466</v>
      </c>
    </row>
    <row r="2064" spans="1:3" ht="15">
      <c r="A2064" s="90" t="s">
        <v>251</v>
      </c>
      <c r="B2064" s="89" t="s">
        <v>943</v>
      </c>
      <c r="C2064" s="98" t="s">
        <v>466</v>
      </c>
    </row>
    <row r="2065" spans="1:3" ht="15">
      <c r="A2065" s="90" t="s">
        <v>251</v>
      </c>
      <c r="B2065" s="89" t="s">
        <v>1090</v>
      </c>
      <c r="C2065" s="98" t="s">
        <v>466</v>
      </c>
    </row>
    <row r="2066" spans="1:3" ht="15">
      <c r="A2066" s="90" t="s">
        <v>251</v>
      </c>
      <c r="B2066" s="89" t="s">
        <v>933</v>
      </c>
      <c r="C2066" s="98" t="s">
        <v>466</v>
      </c>
    </row>
    <row r="2067" spans="1:3" ht="15">
      <c r="A2067" s="90" t="s">
        <v>251</v>
      </c>
      <c r="B2067" s="89" t="s">
        <v>338</v>
      </c>
      <c r="C2067" s="98" t="s">
        <v>466</v>
      </c>
    </row>
    <row r="2068" spans="1:3" ht="15">
      <c r="A2068" s="90" t="s">
        <v>251</v>
      </c>
      <c r="B2068" s="89" t="s">
        <v>1091</v>
      </c>
      <c r="C2068" s="98" t="s">
        <v>466</v>
      </c>
    </row>
    <row r="2069" spans="1:3" ht="15">
      <c r="A2069" s="90" t="s">
        <v>251</v>
      </c>
      <c r="B2069" s="89" t="s">
        <v>299</v>
      </c>
      <c r="C2069" s="98" t="s">
        <v>466</v>
      </c>
    </row>
    <row r="2070" spans="1:3" ht="15">
      <c r="A2070" s="90" t="s">
        <v>293</v>
      </c>
      <c r="B2070" s="89" t="s">
        <v>2459</v>
      </c>
      <c r="C2070" s="98" t="s">
        <v>2231</v>
      </c>
    </row>
    <row r="2071" spans="1:3" ht="15">
      <c r="A2071" s="90" t="s">
        <v>293</v>
      </c>
      <c r="B2071" s="89" t="s">
        <v>1087</v>
      </c>
      <c r="C2071" s="98" t="s">
        <v>2231</v>
      </c>
    </row>
    <row r="2072" spans="1:3" ht="15">
      <c r="A2072" s="90" t="s">
        <v>293</v>
      </c>
      <c r="B2072" s="89" t="s">
        <v>2395</v>
      </c>
      <c r="C2072" s="98" t="s">
        <v>2231</v>
      </c>
    </row>
    <row r="2073" spans="1:3" ht="15">
      <c r="A2073" s="90" t="s">
        <v>293</v>
      </c>
      <c r="B2073" s="89" t="s">
        <v>934</v>
      </c>
      <c r="C2073" s="98" t="s">
        <v>2231</v>
      </c>
    </row>
    <row r="2074" spans="1:3" ht="15">
      <c r="A2074" s="90" t="s">
        <v>293</v>
      </c>
      <c r="B2074" s="89" t="s">
        <v>1094</v>
      </c>
      <c r="C2074" s="98" t="s">
        <v>2231</v>
      </c>
    </row>
    <row r="2075" spans="1:3" ht="15">
      <c r="A2075" s="90" t="s">
        <v>293</v>
      </c>
      <c r="B2075" s="89" t="s">
        <v>1292</v>
      </c>
      <c r="C2075" s="98" t="s">
        <v>2231</v>
      </c>
    </row>
    <row r="2076" spans="1:3" ht="15">
      <c r="A2076" s="90" t="s">
        <v>293</v>
      </c>
      <c r="B2076" s="89" t="s">
        <v>1428</v>
      </c>
      <c r="C2076" s="98" t="s">
        <v>2231</v>
      </c>
    </row>
    <row r="2077" spans="1:3" ht="15">
      <c r="A2077" s="90" t="s">
        <v>293</v>
      </c>
      <c r="B2077" s="89" t="s">
        <v>2396</v>
      </c>
      <c r="C2077" s="98" t="s">
        <v>2231</v>
      </c>
    </row>
    <row r="2078" spans="1:3" ht="15">
      <c r="A2078" s="90" t="s">
        <v>293</v>
      </c>
      <c r="B2078" s="89" t="s">
        <v>2397</v>
      </c>
      <c r="C2078" s="98" t="s">
        <v>2231</v>
      </c>
    </row>
    <row r="2079" spans="1:3" ht="15">
      <c r="A2079" s="90" t="s">
        <v>293</v>
      </c>
      <c r="B2079" s="89" t="s">
        <v>1832</v>
      </c>
      <c r="C2079" s="98" t="s">
        <v>2231</v>
      </c>
    </row>
    <row r="2080" spans="1:3" ht="15">
      <c r="A2080" s="90" t="s">
        <v>293</v>
      </c>
      <c r="B2080" s="89" t="s">
        <v>1683</v>
      </c>
      <c r="C2080" s="98" t="s">
        <v>2231</v>
      </c>
    </row>
    <row r="2081" spans="1:3" ht="15">
      <c r="A2081" s="90" t="s">
        <v>293</v>
      </c>
      <c r="B2081" s="89" t="s">
        <v>2460</v>
      </c>
      <c r="C2081" s="98" t="s">
        <v>2231</v>
      </c>
    </row>
    <row r="2082" spans="1:3" ht="15">
      <c r="A2082" s="90" t="s">
        <v>293</v>
      </c>
      <c r="B2082" s="89" t="s">
        <v>2398</v>
      </c>
      <c r="C2082" s="98" t="s">
        <v>2231</v>
      </c>
    </row>
    <row r="2083" spans="1:3" ht="15">
      <c r="A2083" s="90" t="s">
        <v>293</v>
      </c>
      <c r="B2083" s="89" t="s">
        <v>2399</v>
      </c>
      <c r="C2083" s="98" t="s">
        <v>2231</v>
      </c>
    </row>
    <row r="2084" spans="1:3" ht="15">
      <c r="A2084" s="90" t="s">
        <v>293</v>
      </c>
      <c r="B2084" s="89" t="s">
        <v>2400</v>
      </c>
      <c r="C2084" s="98" t="s">
        <v>2231</v>
      </c>
    </row>
    <row r="2085" spans="1:3" ht="15">
      <c r="A2085" s="90" t="s">
        <v>293</v>
      </c>
      <c r="B2085" s="89" t="s">
        <v>1468</v>
      </c>
      <c r="C2085" s="98" t="s">
        <v>2231</v>
      </c>
    </row>
    <row r="2086" spans="1:3" ht="15">
      <c r="A2086" s="90" t="s">
        <v>293</v>
      </c>
      <c r="B2086" s="89" t="s">
        <v>1027</v>
      </c>
      <c r="C2086" s="98" t="s">
        <v>2231</v>
      </c>
    </row>
    <row r="2087" spans="1:3" ht="15">
      <c r="A2087" s="90" t="s">
        <v>293</v>
      </c>
      <c r="B2087" s="89" t="s">
        <v>945</v>
      </c>
      <c r="C2087" s="98" t="s">
        <v>2231</v>
      </c>
    </row>
    <row r="2088" spans="1:3" ht="15">
      <c r="A2088" s="90" t="s">
        <v>293</v>
      </c>
      <c r="B2088" s="89" t="s">
        <v>1090</v>
      </c>
      <c r="C2088" s="98" t="s">
        <v>2231</v>
      </c>
    </row>
    <row r="2089" spans="1:3" ht="15">
      <c r="A2089" s="90" t="s">
        <v>293</v>
      </c>
      <c r="B2089" s="89" t="s">
        <v>2461</v>
      </c>
      <c r="C2089" s="98" t="s">
        <v>2231</v>
      </c>
    </row>
    <row r="2090" spans="1:3" ht="15">
      <c r="A2090" s="90" t="s">
        <v>293</v>
      </c>
      <c r="B2090" s="89" t="s">
        <v>2462</v>
      </c>
      <c r="C2090" s="98" t="s">
        <v>2231</v>
      </c>
    </row>
    <row r="2091" spans="1:3" ht="15">
      <c r="A2091" s="90" t="s">
        <v>293</v>
      </c>
      <c r="B2091" s="89" t="s">
        <v>966</v>
      </c>
      <c r="C2091" s="98" t="s">
        <v>2231</v>
      </c>
    </row>
    <row r="2092" spans="1:3" ht="15">
      <c r="A2092" s="90" t="s">
        <v>293</v>
      </c>
      <c r="B2092" s="89" t="s">
        <v>2463</v>
      </c>
      <c r="C2092" s="98" t="s">
        <v>2231</v>
      </c>
    </row>
    <row r="2093" spans="1:3" ht="15">
      <c r="A2093" s="90" t="s">
        <v>293</v>
      </c>
      <c r="B2093" s="89" t="s">
        <v>2365</v>
      </c>
      <c r="C2093" s="98" t="s">
        <v>2231</v>
      </c>
    </row>
    <row r="2094" spans="1:3" ht="15">
      <c r="A2094" s="90" t="s">
        <v>293</v>
      </c>
      <c r="B2094" s="89" t="s">
        <v>2402</v>
      </c>
      <c r="C2094" s="98" t="s">
        <v>2231</v>
      </c>
    </row>
    <row r="2095" spans="1:3" ht="15">
      <c r="A2095" s="90" t="s">
        <v>293</v>
      </c>
      <c r="B2095" s="89" t="s">
        <v>2403</v>
      </c>
      <c r="C2095" s="98" t="s">
        <v>2231</v>
      </c>
    </row>
    <row r="2096" spans="1:3" ht="15">
      <c r="A2096" s="90" t="s">
        <v>293</v>
      </c>
      <c r="B2096" s="89" t="s">
        <v>996</v>
      </c>
      <c r="C2096" s="98" t="s">
        <v>2231</v>
      </c>
    </row>
    <row r="2097" spans="1:3" ht="15">
      <c r="A2097" s="90" t="s">
        <v>293</v>
      </c>
      <c r="B2097" s="89" t="s">
        <v>997</v>
      </c>
      <c r="C2097" s="98" t="s">
        <v>2231</v>
      </c>
    </row>
    <row r="2098" spans="1:3" ht="15">
      <c r="A2098" s="90" t="s">
        <v>293</v>
      </c>
      <c r="B2098" s="89" t="s">
        <v>998</v>
      </c>
      <c r="C2098" s="98" t="s">
        <v>2231</v>
      </c>
    </row>
    <row r="2099" spans="1:3" ht="15">
      <c r="A2099" s="90" t="s">
        <v>293</v>
      </c>
      <c r="B2099" s="89" t="s">
        <v>2464</v>
      </c>
      <c r="C2099" s="98" t="s">
        <v>2231</v>
      </c>
    </row>
    <row r="2100" spans="1:3" ht="15">
      <c r="A2100" s="90" t="s">
        <v>2133</v>
      </c>
      <c r="B2100" s="89" t="s">
        <v>2459</v>
      </c>
      <c r="C2100" s="98" t="s">
        <v>2230</v>
      </c>
    </row>
    <row r="2101" spans="1:3" ht="15">
      <c r="A2101" s="90" t="s">
        <v>2133</v>
      </c>
      <c r="B2101" s="89" t="s">
        <v>1087</v>
      </c>
      <c r="C2101" s="98" t="s">
        <v>2230</v>
      </c>
    </row>
    <row r="2102" spans="1:3" ht="15">
      <c r="A2102" s="90" t="s">
        <v>2133</v>
      </c>
      <c r="B2102" s="89" t="s">
        <v>2395</v>
      </c>
      <c r="C2102" s="98" t="s">
        <v>2230</v>
      </c>
    </row>
    <row r="2103" spans="1:3" ht="15">
      <c r="A2103" s="90" t="s">
        <v>2133</v>
      </c>
      <c r="B2103" s="89" t="s">
        <v>934</v>
      </c>
      <c r="C2103" s="98" t="s">
        <v>2230</v>
      </c>
    </row>
    <row r="2104" spans="1:3" ht="15">
      <c r="A2104" s="90" t="s">
        <v>2133</v>
      </c>
      <c r="B2104" s="89" t="s">
        <v>1094</v>
      </c>
      <c r="C2104" s="98" t="s">
        <v>2230</v>
      </c>
    </row>
    <row r="2105" spans="1:3" ht="15">
      <c r="A2105" s="90" t="s">
        <v>2133</v>
      </c>
      <c r="B2105" s="89" t="s">
        <v>1292</v>
      </c>
      <c r="C2105" s="98" t="s">
        <v>2230</v>
      </c>
    </row>
    <row r="2106" spans="1:3" ht="15">
      <c r="A2106" s="90" t="s">
        <v>2133</v>
      </c>
      <c r="B2106" s="89" t="s">
        <v>1428</v>
      </c>
      <c r="C2106" s="98" t="s">
        <v>2230</v>
      </c>
    </row>
    <row r="2107" spans="1:3" ht="15">
      <c r="A2107" s="90" t="s">
        <v>2133</v>
      </c>
      <c r="B2107" s="89" t="s">
        <v>2396</v>
      </c>
      <c r="C2107" s="98" t="s">
        <v>2230</v>
      </c>
    </row>
    <row r="2108" spans="1:3" ht="15">
      <c r="A2108" s="90" t="s">
        <v>2133</v>
      </c>
      <c r="B2108" s="89" t="s">
        <v>2397</v>
      </c>
      <c r="C2108" s="98" t="s">
        <v>2230</v>
      </c>
    </row>
    <row r="2109" spans="1:3" ht="15">
      <c r="A2109" s="90" t="s">
        <v>2133</v>
      </c>
      <c r="B2109" s="89" t="s">
        <v>1832</v>
      </c>
      <c r="C2109" s="98" t="s">
        <v>2230</v>
      </c>
    </row>
    <row r="2110" spans="1:3" ht="15">
      <c r="A2110" s="90" t="s">
        <v>2133</v>
      </c>
      <c r="B2110" s="89" t="s">
        <v>1683</v>
      </c>
      <c r="C2110" s="98" t="s">
        <v>2230</v>
      </c>
    </row>
    <row r="2111" spans="1:3" ht="15">
      <c r="A2111" s="90" t="s">
        <v>2133</v>
      </c>
      <c r="B2111" s="89" t="s">
        <v>2460</v>
      </c>
      <c r="C2111" s="98" t="s">
        <v>2230</v>
      </c>
    </row>
    <row r="2112" spans="1:3" ht="15">
      <c r="A2112" s="90" t="s">
        <v>2133</v>
      </c>
      <c r="B2112" s="89" t="s">
        <v>2398</v>
      </c>
      <c r="C2112" s="98" t="s">
        <v>2230</v>
      </c>
    </row>
    <row r="2113" spans="1:3" ht="15">
      <c r="A2113" s="90" t="s">
        <v>2133</v>
      </c>
      <c r="B2113" s="89" t="s">
        <v>2399</v>
      </c>
      <c r="C2113" s="98" t="s">
        <v>2230</v>
      </c>
    </row>
    <row r="2114" spans="1:3" ht="15">
      <c r="A2114" s="90" t="s">
        <v>2133</v>
      </c>
      <c r="B2114" s="89" t="s">
        <v>2400</v>
      </c>
      <c r="C2114" s="98" t="s">
        <v>2230</v>
      </c>
    </row>
    <row r="2115" spans="1:3" ht="15">
      <c r="A2115" s="90" t="s">
        <v>2133</v>
      </c>
      <c r="B2115" s="89" t="s">
        <v>1468</v>
      </c>
      <c r="C2115" s="98" t="s">
        <v>2230</v>
      </c>
    </row>
    <row r="2116" spans="1:3" ht="15">
      <c r="A2116" s="90" t="s">
        <v>2133</v>
      </c>
      <c r="B2116" s="89" t="s">
        <v>1027</v>
      </c>
      <c r="C2116" s="98" t="s">
        <v>2230</v>
      </c>
    </row>
    <row r="2117" spans="1:3" ht="15">
      <c r="A2117" s="90" t="s">
        <v>2133</v>
      </c>
      <c r="B2117" s="89" t="s">
        <v>945</v>
      </c>
      <c r="C2117" s="98" t="s">
        <v>2230</v>
      </c>
    </row>
    <row r="2118" spans="1:3" ht="15">
      <c r="A2118" s="90" t="s">
        <v>2133</v>
      </c>
      <c r="B2118" s="89" t="s">
        <v>1090</v>
      </c>
      <c r="C2118" s="98" t="s">
        <v>2230</v>
      </c>
    </row>
    <row r="2119" spans="1:3" ht="15">
      <c r="A2119" s="90" t="s">
        <v>2133</v>
      </c>
      <c r="B2119" s="89" t="s">
        <v>2461</v>
      </c>
      <c r="C2119" s="98" t="s">
        <v>2230</v>
      </c>
    </row>
    <row r="2120" spans="1:3" ht="15">
      <c r="A2120" s="90" t="s">
        <v>2133</v>
      </c>
      <c r="B2120" s="89" t="s">
        <v>2462</v>
      </c>
      <c r="C2120" s="98" t="s">
        <v>2230</v>
      </c>
    </row>
    <row r="2121" spans="1:3" ht="15">
      <c r="A2121" s="90" t="s">
        <v>2133</v>
      </c>
      <c r="B2121" s="89" t="s">
        <v>966</v>
      </c>
      <c r="C2121" s="98" t="s">
        <v>2230</v>
      </c>
    </row>
    <row r="2122" spans="1:3" ht="15">
      <c r="A2122" s="90" t="s">
        <v>2133</v>
      </c>
      <c r="B2122" s="89" t="s">
        <v>2463</v>
      </c>
      <c r="C2122" s="98" t="s">
        <v>2230</v>
      </c>
    </row>
    <row r="2123" spans="1:3" ht="15">
      <c r="A2123" s="90" t="s">
        <v>2133</v>
      </c>
      <c r="B2123" s="89" t="s">
        <v>2365</v>
      </c>
      <c r="C2123" s="98" t="s">
        <v>2230</v>
      </c>
    </row>
    <row r="2124" spans="1:3" ht="15">
      <c r="A2124" s="90" t="s">
        <v>2133</v>
      </c>
      <c r="B2124" s="89" t="s">
        <v>2402</v>
      </c>
      <c r="C2124" s="98" t="s">
        <v>2230</v>
      </c>
    </row>
    <row r="2125" spans="1:3" ht="15">
      <c r="A2125" s="90" t="s">
        <v>2133</v>
      </c>
      <c r="B2125" s="89" t="s">
        <v>2403</v>
      </c>
      <c r="C2125" s="98" t="s">
        <v>2230</v>
      </c>
    </row>
    <row r="2126" spans="1:3" ht="15">
      <c r="A2126" s="90" t="s">
        <v>2133</v>
      </c>
      <c r="B2126" s="89" t="s">
        <v>996</v>
      </c>
      <c r="C2126" s="98" t="s">
        <v>2230</v>
      </c>
    </row>
    <row r="2127" spans="1:3" ht="15">
      <c r="A2127" s="90" t="s">
        <v>2133</v>
      </c>
      <c r="B2127" s="89" t="s">
        <v>997</v>
      </c>
      <c r="C2127" s="98" t="s">
        <v>2230</v>
      </c>
    </row>
    <row r="2128" spans="1:3" ht="15">
      <c r="A2128" s="90" t="s">
        <v>2133</v>
      </c>
      <c r="B2128" s="89" t="s">
        <v>998</v>
      </c>
      <c r="C2128" s="98" t="s">
        <v>2230</v>
      </c>
    </row>
    <row r="2129" spans="1:3" ht="15">
      <c r="A2129" s="90" t="s">
        <v>2133</v>
      </c>
      <c r="B2129" s="89" t="s">
        <v>2464</v>
      </c>
      <c r="C2129" s="98" t="s">
        <v>2230</v>
      </c>
    </row>
    <row r="2130" spans="1:3" ht="15">
      <c r="A2130" s="90" t="s">
        <v>235</v>
      </c>
      <c r="B2130" s="89" t="s">
        <v>2459</v>
      </c>
      <c r="C2130" s="98" t="s">
        <v>2203</v>
      </c>
    </row>
    <row r="2131" spans="1:3" ht="15">
      <c r="A2131" s="90" t="s">
        <v>235</v>
      </c>
      <c r="B2131" s="89" t="s">
        <v>1087</v>
      </c>
      <c r="C2131" s="98" t="s">
        <v>2203</v>
      </c>
    </row>
    <row r="2132" spans="1:3" ht="15">
      <c r="A2132" s="90" t="s">
        <v>235</v>
      </c>
      <c r="B2132" s="89" t="s">
        <v>2395</v>
      </c>
      <c r="C2132" s="98" t="s">
        <v>2203</v>
      </c>
    </row>
    <row r="2133" spans="1:3" ht="15">
      <c r="A2133" s="90" t="s">
        <v>235</v>
      </c>
      <c r="B2133" s="89" t="s">
        <v>934</v>
      </c>
      <c r="C2133" s="98" t="s">
        <v>2203</v>
      </c>
    </row>
    <row r="2134" spans="1:3" ht="15">
      <c r="A2134" s="90" t="s">
        <v>235</v>
      </c>
      <c r="B2134" s="89" t="s">
        <v>1094</v>
      </c>
      <c r="C2134" s="98" t="s">
        <v>2203</v>
      </c>
    </row>
    <row r="2135" spans="1:3" ht="15">
      <c r="A2135" s="90" t="s">
        <v>235</v>
      </c>
      <c r="B2135" s="89" t="s">
        <v>1292</v>
      </c>
      <c r="C2135" s="98" t="s">
        <v>2203</v>
      </c>
    </row>
    <row r="2136" spans="1:3" ht="15">
      <c r="A2136" s="90" t="s">
        <v>235</v>
      </c>
      <c r="B2136" s="89" t="s">
        <v>1428</v>
      </c>
      <c r="C2136" s="98" t="s">
        <v>2203</v>
      </c>
    </row>
    <row r="2137" spans="1:3" ht="15">
      <c r="A2137" s="90" t="s">
        <v>235</v>
      </c>
      <c r="B2137" s="89" t="s">
        <v>2396</v>
      </c>
      <c r="C2137" s="98" t="s">
        <v>2203</v>
      </c>
    </row>
    <row r="2138" spans="1:3" ht="15">
      <c r="A2138" s="90" t="s">
        <v>235</v>
      </c>
      <c r="B2138" s="89" t="s">
        <v>2397</v>
      </c>
      <c r="C2138" s="98" t="s">
        <v>2203</v>
      </c>
    </row>
    <row r="2139" spans="1:3" ht="15">
      <c r="A2139" s="90" t="s">
        <v>235</v>
      </c>
      <c r="B2139" s="89" t="s">
        <v>1832</v>
      </c>
      <c r="C2139" s="98" t="s">
        <v>2203</v>
      </c>
    </row>
    <row r="2140" spans="1:3" ht="15">
      <c r="A2140" s="90" t="s">
        <v>235</v>
      </c>
      <c r="B2140" s="89" t="s">
        <v>1683</v>
      </c>
      <c r="C2140" s="98" t="s">
        <v>2203</v>
      </c>
    </row>
    <row r="2141" spans="1:3" ht="15">
      <c r="A2141" s="90" t="s">
        <v>235</v>
      </c>
      <c r="B2141" s="89" t="s">
        <v>2460</v>
      </c>
      <c r="C2141" s="98" t="s">
        <v>2203</v>
      </c>
    </row>
    <row r="2142" spans="1:3" ht="15">
      <c r="A2142" s="90" t="s">
        <v>235</v>
      </c>
      <c r="B2142" s="89" t="s">
        <v>2398</v>
      </c>
      <c r="C2142" s="98" t="s">
        <v>2203</v>
      </c>
    </row>
    <row r="2143" spans="1:3" ht="15">
      <c r="A2143" s="90" t="s">
        <v>235</v>
      </c>
      <c r="B2143" s="89" t="s">
        <v>2399</v>
      </c>
      <c r="C2143" s="98" t="s">
        <v>2203</v>
      </c>
    </row>
    <row r="2144" spans="1:3" ht="15">
      <c r="A2144" s="90" t="s">
        <v>235</v>
      </c>
      <c r="B2144" s="89" t="s">
        <v>2400</v>
      </c>
      <c r="C2144" s="98" t="s">
        <v>2203</v>
      </c>
    </row>
    <row r="2145" spans="1:3" ht="15">
      <c r="A2145" s="90" t="s">
        <v>235</v>
      </c>
      <c r="B2145" s="89" t="s">
        <v>1468</v>
      </c>
      <c r="C2145" s="98" t="s">
        <v>2203</v>
      </c>
    </row>
    <row r="2146" spans="1:3" ht="15">
      <c r="A2146" s="90" t="s">
        <v>235</v>
      </c>
      <c r="B2146" s="89" t="s">
        <v>1027</v>
      </c>
      <c r="C2146" s="98" t="s">
        <v>2203</v>
      </c>
    </row>
    <row r="2147" spans="1:3" ht="15">
      <c r="A2147" s="90" t="s">
        <v>235</v>
      </c>
      <c r="B2147" s="89" t="s">
        <v>945</v>
      </c>
      <c r="C2147" s="98" t="s">
        <v>2203</v>
      </c>
    </row>
    <row r="2148" spans="1:3" ht="15">
      <c r="A2148" s="90" t="s">
        <v>235</v>
      </c>
      <c r="B2148" s="89" t="s">
        <v>1090</v>
      </c>
      <c r="C2148" s="98" t="s">
        <v>2203</v>
      </c>
    </row>
    <row r="2149" spans="1:3" ht="15">
      <c r="A2149" s="90" t="s">
        <v>235</v>
      </c>
      <c r="B2149" s="89" t="s">
        <v>2461</v>
      </c>
      <c r="C2149" s="98" t="s">
        <v>2203</v>
      </c>
    </row>
    <row r="2150" spans="1:3" ht="15">
      <c r="A2150" s="90" t="s">
        <v>235</v>
      </c>
      <c r="B2150" s="89" t="s">
        <v>2462</v>
      </c>
      <c r="C2150" s="98" t="s">
        <v>2203</v>
      </c>
    </row>
    <row r="2151" spans="1:3" ht="15">
      <c r="A2151" s="90" t="s">
        <v>235</v>
      </c>
      <c r="B2151" s="89" t="s">
        <v>966</v>
      </c>
      <c r="C2151" s="98" t="s">
        <v>2203</v>
      </c>
    </row>
    <row r="2152" spans="1:3" ht="15">
      <c r="A2152" s="90" t="s">
        <v>235</v>
      </c>
      <c r="B2152" s="89" t="s">
        <v>2463</v>
      </c>
      <c r="C2152" s="98" t="s">
        <v>2203</v>
      </c>
    </row>
    <row r="2153" spans="1:3" ht="15">
      <c r="A2153" s="90" t="s">
        <v>235</v>
      </c>
      <c r="B2153" s="89" t="s">
        <v>2365</v>
      </c>
      <c r="C2153" s="98" t="s">
        <v>2203</v>
      </c>
    </row>
    <row r="2154" spans="1:3" ht="15">
      <c r="A2154" s="90" t="s">
        <v>235</v>
      </c>
      <c r="B2154" s="89" t="s">
        <v>2402</v>
      </c>
      <c r="C2154" s="98" t="s">
        <v>2203</v>
      </c>
    </row>
    <row r="2155" spans="1:3" ht="15">
      <c r="A2155" s="90" t="s">
        <v>235</v>
      </c>
      <c r="B2155" s="89" t="s">
        <v>2403</v>
      </c>
      <c r="C2155" s="98" t="s">
        <v>2203</v>
      </c>
    </row>
    <row r="2156" spans="1:3" ht="15">
      <c r="A2156" s="90" t="s">
        <v>235</v>
      </c>
      <c r="B2156" s="89" t="s">
        <v>996</v>
      </c>
      <c r="C2156" s="98" t="s">
        <v>2203</v>
      </c>
    </row>
    <row r="2157" spans="1:3" ht="15">
      <c r="A2157" s="90" t="s">
        <v>235</v>
      </c>
      <c r="B2157" s="89" t="s">
        <v>997</v>
      </c>
      <c r="C2157" s="98" t="s">
        <v>2203</v>
      </c>
    </row>
    <row r="2158" spans="1:3" ht="15">
      <c r="A2158" s="90" t="s">
        <v>235</v>
      </c>
      <c r="B2158" s="89" t="s">
        <v>998</v>
      </c>
      <c r="C2158" s="98" t="s">
        <v>2203</v>
      </c>
    </row>
    <row r="2159" spans="1:3" ht="15">
      <c r="A2159" s="90" t="s">
        <v>235</v>
      </c>
      <c r="B2159" s="89" t="s">
        <v>2464</v>
      </c>
      <c r="C2159" s="98" t="s">
        <v>2203</v>
      </c>
    </row>
    <row r="2160" spans="1:3" ht="15">
      <c r="A2160" s="90" t="s">
        <v>235</v>
      </c>
      <c r="B2160" s="89" t="s">
        <v>1080</v>
      </c>
      <c r="C2160" s="98" t="s">
        <v>450</v>
      </c>
    </row>
    <row r="2161" spans="1:3" ht="15">
      <c r="A2161" s="90" t="s">
        <v>235</v>
      </c>
      <c r="B2161" s="89" t="s">
        <v>1081</v>
      </c>
      <c r="C2161" s="98" t="s">
        <v>450</v>
      </c>
    </row>
    <row r="2162" spans="1:3" ht="15">
      <c r="A2162" s="90" t="s">
        <v>235</v>
      </c>
      <c r="B2162" s="89" t="s">
        <v>1082</v>
      </c>
      <c r="C2162" s="98" t="s">
        <v>450</v>
      </c>
    </row>
    <row r="2163" spans="1:3" ht="15">
      <c r="A2163" s="90" t="s">
        <v>235</v>
      </c>
      <c r="B2163" s="89" t="s">
        <v>930</v>
      </c>
      <c r="C2163" s="98" t="s">
        <v>450</v>
      </c>
    </row>
    <row r="2164" spans="1:3" ht="15">
      <c r="A2164" s="90" t="s">
        <v>235</v>
      </c>
      <c r="B2164" s="89" t="s">
        <v>940</v>
      </c>
      <c r="C2164" s="98" t="s">
        <v>450</v>
      </c>
    </row>
    <row r="2165" spans="1:3" ht="15">
      <c r="A2165" s="90" t="s">
        <v>235</v>
      </c>
      <c r="B2165" s="89" t="s">
        <v>941</v>
      </c>
      <c r="C2165" s="98" t="s">
        <v>450</v>
      </c>
    </row>
    <row r="2166" spans="1:3" ht="15">
      <c r="A2166" s="90" t="s">
        <v>235</v>
      </c>
      <c r="B2166" s="89" t="s">
        <v>1083</v>
      </c>
      <c r="C2166" s="98" t="s">
        <v>450</v>
      </c>
    </row>
    <row r="2167" spans="1:3" ht="15">
      <c r="A2167" s="90" t="s">
        <v>235</v>
      </c>
      <c r="B2167" s="89" t="s">
        <v>931</v>
      </c>
      <c r="C2167" s="98" t="s">
        <v>450</v>
      </c>
    </row>
    <row r="2168" spans="1:3" ht="15">
      <c r="A2168" s="90" t="s">
        <v>235</v>
      </c>
      <c r="B2168" s="89" t="s">
        <v>1084</v>
      </c>
      <c r="C2168" s="98" t="s">
        <v>450</v>
      </c>
    </row>
    <row r="2169" spans="1:3" ht="15">
      <c r="A2169" s="90" t="s">
        <v>235</v>
      </c>
      <c r="B2169" s="89" t="s">
        <v>1085</v>
      </c>
      <c r="C2169" s="98" t="s">
        <v>450</v>
      </c>
    </row>
    <row r="2170" spans="1:3" ht="15">
      <c r="A2170" s="90" t="s">
        <v>235</v>
      </c>
      <c r="B2170" s="89" t="s">
        <v>1086</v>
      </c>
      <c r="C2170" s="98" t="s">
        <v>450</v>
      </c>
    </row>
    <row r="2171" spans="1:3" ht="15">
      <c r="A2171" s="90" t="s">
        <v>235</v>
      </c>
      <c r="B2171" s="89" t="s">
        <v>942</v>
      </c>
      <c r="C2171" s="98" t="s">
        <v>450</v>
      </c>
    </row>
    <row r="2172" spans="1:3" ht="15">
      <c r="A2172" s="90" t="s">
        <v>235</v>
      </c>
      <c r="B2172" s="89" t="s">
        <v>938</v>
      </c>
      <c r="C2172" s="98" t="s">
        <v>450</v>
      </c>
    </row>
    <row r="2173" spans="1:3" ht="15">
      <c r="A2173" s="90" t="s">
        <v>235</v>
      </c>
      <c r="B2173" s="89" t="s">
        <v>935</v>
      </c>
      <c r="C2173" s="98" t="s">
        <v>450</v>
      </c>
    </row>
    <row r="2174" spans="1:3" ht="15">
      <c r="A2174" s="90" t="s">
        <v>235</v>
      </c>
      <c r="B2174" s="89" t="s">
        <v>934</v>
      </c>
      <c r="C2174" s="98" t="s">
        <v>450</v>
      </c>
    </row>
    <row r="2175" spans="1:3" ht="15">
      <c r="A2175" s="90" t="s">
        <v>235</v>
      </c>
      <c r="B2175" s="89" t="s">
        <v>1087</v>
      </c>
      <c r="C2175" s="98" t="s">
        <v>450</v>
      </c>
    </row>
    <row r="2176" spans="1:3" ht="15">
      <c r="A2176" s="90" t="s">
        <v>235</v>
      </c>
      <c r="B2176" s="89" t="s">
        <v>1088</v>
      </c>
      <c r="C2176" s="98" t="s">
        <v>450</v>
      </c>
    </row>
    <row r="2177" spans="1:3" ht="15">
      <c r="A2177" s="90" t="s">
        <v>235</v>
      </c>
      <c r="B2177" s="89" t="s">
        <v>936</v>
      </c>
      <c r="C2177" s="98" t="s">
        <v>450</v>
      </c>
    </row>
    <row r="2178" spans="1:3" ht="15">
      <c r="A2178" s="90" t="s">
        <v>235</v>
      </c>
      <c r="B2178" s="89" t="s">
        <v>1089</v>
      </c>
      <c r="C2178" s="98" t="s">
        <v>450</v>
      </c>
    </row>
    <row r="2179" spans="1:3" ht="15">
      <c r="A2179" s="90" t="s">
        <v>235</v>
      </c>
      <c r="B2179" s="89" t="s">
        <v>943</v>
      </c>
      <c r="C2179" s="98" t="s">
        <v>450</v>
      </c>
    </row>
    <row r="2180" spans="1:3" ht="15">
      <c r="A2180" s="90" t="s">
        <v>235</v>
      </c>
      <c r="B2180" s="89" t="s">
        <v>1090</v>
      </c>
      <c r="C2180" s="98" t="s">
        <v>450</v>
      </c>
    </row>
    <row r="2181" spans="1:3" ht="15">
      <c r="A2181" s="90" t="s">
        <v>235</v>
      </c>
      <c r="B2181" s="89" t="s">
        <v>933</v>
      </c>
      <c r="C2181" s="98" t="s">
        <v>450</v>
      </c>
    </row>
    <row r="2182" spans="1:3" ht="15">
      <c r="A2182" s="90" t="s">
        <v>235</v>
      </c>
      <c r="B2182" s="89" t="s">
        <v>338</v>
      </c>
      <c r="C2182" s="98" t="s">
        <v>450</v>
      </c>
    </row>
    <row r="2183" spans="1:3" ht="15">
      <c r="A2183" s="90" t="s">
        <v>235</v>
      </c>
      <c r="B2183" s="89" t="s">
        <v>1091</v>
      </c>
      <c r="C2183" s="98" t="s">
        <v>450</v>
      </c>
    </row>
    <row r="2184" spans="1:3" ht="15">
      <c r="A2184" s="90" t="s">
        <v>235</v>
      </c>
      <c r="B2184" s="89" t="s">
        <v>299</v>
      </c>
      <c r="C2184" s="98" t="s">
        <v>450</v>
      </c>
    </row>
    <row r="2185" spans="1:3" ht="15">
      <c r="A2185" s="90" t="s">
        <v>293</v>
      </c>
      <c r="B2185" s="89" t="s">
        <v>2445</v>
      </c>
      <c r="C2185" s="98" t="s">
        <v>2237</v>
      </c>
    </row>
    <row r="2186" spans="1:3" ht="15">
      <c r="A2186" s="90" t="s">
        <v>293</v>
      </c>
      <c r="B2186" s="89" t="s">
        <v>2446</v>
      </c>
      <c r="C2186" s="98" t="s">
        <v>2237</v>
      </c>
    </row>
    <row r="2187" spans="1:3" ht="15">
      <c r="A2187" s="90" t="s">
        <v>293</v>
      </c>
      <c r="B2187" s="89" t="s">
        <v>2367</v>
      </c>
      <c r="C2187" s="98" t="s">
        <v>2237</v>
      </c>
    </row>
    <row r="2188" spans="1:3" ht="15">
      <c r="A2188" s="90" t="s">
        <v>293</v>
      </c>
      <c r="B2188" s="89" t="s">
        <v>1094</v>
      </c>
      <c r="C2188" s="98" t="s">
        <v>2237</v>
      </c>
    </row>
    <row r="2189" spans="1:3" ht="15">
      <c r="A2189" s="90" t="s">
        <v>293</v>
      </c>
      <c r="B2189" s="89" t="s">
        <v>1219</v>
      </c>
      <c r="C2189" s="98" t="s">
        <v>2237</v>
      </c>
    </row>
    <row r="2190" spans="1:3" ht="15">
      <c r="A2190" s="90" t="s">
        <v>293</v>
      </c>
      <c r="B2190" s="89" t="s">
        <v>2368</v>
      </c>
      <c r="C2190" s="98" t="s">
        <v>2237</v>
      </c>
    </row>
    <row r="2191" spans="1:3" ht="15">
      <c r="A2191" s="90" t="s">
        <v>293</v>
      </c>
      <c r="B2191" s="89" t="s">
        <v>2447</v>
      </c>
      <c r="C2191" s="98" t="s">
        <v>2237</v>
      </c>
    </row>
    <row r="2192" spans="1:3" ht="15">
      <c r="A2192" s="90" t="s">
        <v>293</v>
      </c>
      <c r="B2192" s="89" t="s">
        <v>2369</v>
      </c>
      <c r="C2192" s="98" t="s">
        <v>2237</v>
      </c>
    </row>
    <row r="2193" spans="1:3" ht="15">
      <c r="A2193" s="90" t="s">
        <v>293</v>
      </c>
      <c r="B2193" s="89" t="s">
        <v>2370</v>
      </c>
      <c r="C2193" s="98" t="s">
        <v>2237</v>
      </c>
    </row>
    <row r="2194" spans="1:3" ht="15">
      <c r="A2194" s="90" t="s">
        <v>293</v>
      </c>
      <c r="B2194" s="89" t="s">
        <v>1578</v>
      </c>
      <c r="C2194" s="98" t="s">
        <v>2237</v>
      </c>
    </row>
    <row r="2195" spans="1:3" ht="15">
      <c r="A2195" s="90" t="s">
        <v>293</v>
      </c>
      <c r="B2195" s="89" t="s">
        <v>2371</v>
      </c>
      <c r="C2195" s="98" t="s">
        <v>2237</v>
      </c>
    </row>
    <row r="2196" spans="1:3" ht="15">
      <c r="A2196" s="90" t="s">
        <v>293</v>
      </c>
      <c r="B2196" s="89" t="s">
        <v>1087</v>
      </c>
      <c r="C2196" s="98" t="s">
        <v>2237</v>
      </c>
    </row>
    <row r="2197" spans="1:3" ht="15">
      <c r="A2197" s="90" t="s">
        <v>293</v>
      </c>
      <c r="B2197" s="89" t="s">
        <v>2372</v>
      </c>
      <c r="C2197" s="98" t="s">
        <v>2237</v>
      </c>
    </row>
    <row r="2198" spans="1:3" ht="15">
      <c r="A2198" s="90" t="s">
        <v>293</v>
      </c>
      <c r="B2198" s="89" t="s">
        <v>1167</v>
      </c>
      <c r="C2198" s="98" t="s">
        <v>2237</v>
      </c>
    </row>
    <row r="2199" spans="1:3" ht="15">
      <c r="A2199" s="90" t="s">
        <v>293</v>
      </c>
      <c r="B2199" s="89" t="s">
        <v>1575</v>
      </c>
      <c r="C2199" s="98" t="s">
        <v>2237</v>
      </c>
    </row>
    <row r="2200" spans="1:3" ht="15">
      <c r="A2200" s="90" t="s">
        <v>293</v>
      </c>
      <c r="B2200" s="89" t="s">
        <v>2373</v>
      </c>
      <c r="C2200" s="98" t="s">
        <v>2237</v>
      </c>
    </row>
    <row r="2201" spans="1:3" ht="15">
      <c r="A2201" s="90" t="s">
        <v>293</v>
      </c>
      <c r="B2201" s="89" t="s">
        <v>2374</v>
      </c>
      <c r="C2201" s="98" t="s">
        <v>2237</v>
      </c>
    </row>
    <row r="2202" spans="1:3" ht="15">
      <c r="A2202" s="90" t="s">
        <v>293</v>
      </c>
      <c r="B2202" s="89" t="s">
        <v>2375</v>
      </c>
      <c r="C2202" s="98" t="s">
        <v>2237</v>
      </c>
    </row>
    <row r="2203" spans="1:3" ht="15">
      <c r="A2203" s="90" t="s">
        <v>293</v>
      </c>
      <c r="B2203" s="89" t="s">
        <v>2376</v>
      </c>
      <c r="C2203" s="98" t="s">
        <v>2237</v>
      </c>
    </row>
    <row r="2204" spans="1:3" ht="15">
      <c r="A2204" s="90" t="s">
        <v>293</v>
      </c>
      <c r="B2204" s="89" t="s">
        <v>1097</v>
      </c>
      <c r="C2204" s="98" t="s">
        <v>2237</v>
      </c>
    </row>
    <row r="2205" spans="1:3" ht="15">
      <c r="A2205" s="90" t="s">
        <v>293</v>
      </c>
      <c r="B2205" s="89" t="s">
        <v>1155</v>
      </c>
      <c r="C2205" s="98" t="s">
        <v>2237</v>
      </c>
    </row>
    <row r="2206" spans="1:3" ht="15">
      <c r="A2206" s="90" t="s">
        <v>293</v>
      </c>
      <c r="B2206" s="89" t="s">
        <v>1101</v>
      </c>
      <c r="C2206" s="98" t="s">
        <v>2237</v>
      </c>
    </row>
    <row r="2207" spans="1:3" ht="15">
      <c r="A2207" s="90" t="s">
        <v>293</v>
      </c>
      <c r="B2207" s="89" t="s">
        <v>252</v>
      </c>
      <c r="C2207" s="98" t="s">
        <v>2237</v>
      </c>
    </row>
    <row r="2208" spans="1:3" ht="15">
      <c r="A2208" s="90" t="s">
        <v>293</v>
      </c>
      <c r="B2208" s="89" t="s">
        <v>2448</v>
      </c>
      <c r="C2208" s="98" t="s">
        <v>2237</v>
      </c>
    </row>
    <row r="2209" spans="1:3" ht="15">
      <c r="A2209" s="90" t="s">
        <v>293</v>
      </c>
      <c r="B2209" s="89" t="s">
        <v>1796</v>
      </c>
      <c r="C2209" s="98" t="s">
        <v>2237</v>
      </c>
    </row>
    <row r="2210" spans="1:3" ht="15">
      <c r="A2210" s="90" t="s">
        <v>293</v>
      </c>
      <c r="B2210" s="89" t="s">
        <v>996</v>
      </c>
      <c r="C2210" s="98" t="s">
        <v>2237</v>
      </c>
    </row>
    <row r="2211" spans="1:3" ht="15">
      <c r="A2211" s="90" t="s">
        <v>293</v>
      </c>
      <c r="B2211" s="89" t="s">
        <v>997</v>
      </c>
      <c r="C2211" s="98" t="s">
        <v>2237</v>
      </c>
    </row>
    <row r="2212" spans="1:3" ht="15">
      <c r="A2212" s="90" t="s">
        <v>293</v>
      </c>
      <c r="B2212" s="89" t="s">
        <v>998</v>
      </c>
      <c r="C2212" s="98" t="s">
        <v>2237</v>
      </c>
    </row>
    <row r="2213" spans="1:3" ht="15">
      <c r="A2213" s="90" t="s">
        <v>293</v>
      </c>
      <c r="B2213" s="89" t="s">
        <v>2449</v>
      </c>
      <c r="C2213" s="98" t="s">
        <v>2237</v>
      </c>
    </row>
    <row r="2214" spans="1:3" ht="15">
      <c r="A2214" s="90" t="s">
        <v>250</v>
      </c>
      <c r="B2214" s="89" t="s">
        <v>1080</v>
      </c>
      <c r="C2214" s="98" t="s">
        <v>465</v>
      </c>
    </row>
    <row r="2215" spans="1:3" ht="15">
      <c r="A2215" s="90" t="s">
        <v>250</v>
      </c>
      <c r="B2215" s="89" t="s">
        <v>1081</v>
      </c>
      <c r="C2215" s="98" t="s">
        <v>465</v>
      </c>
    </row>
    <row r="2216" spans="1:3" ht="15">
      <c r="A2216" s="90" t="s">
        <v>250</v>
      </c>
      <c r="B2216" s="89" t="s">
        <v>1082</v>
      </c>
      <c r="C2216" s="98" t="s">
        <v>465</v>
      </c>
    </row>
    <row r="2217" spans="1:3" ht="15">
      <c r="A2217" s="90" t="s">
        <v>250</v>
      </c>
      <c r="B2217" s="89" t="s">
        <v>930</v>
      </c>
      <c r="C2217" s="98" t="s">
        <v>465</v>
      </c>
    </row>
    <row r="2218" spans="1:3" ht="15">
      <c r="A2218" s="90" t="s">
        <v>250</v>
      </c>
      <c r="B2218" s="89" t="s">
        <v>940</v>
      </c>
      <c r="C2218" s="98" t="s">
        <v>465</v>
      </c>
    </row>
    <row r="2219" spans="1:3" ht="15">
      <c r="A2219" s="90" t="s">
        <v>250</v>
      </c>
      <c r="B2219" s="89" t="s">
        <v>941</v>
      </c>
      <c r="C2219" s="98" t="s">
        <v>465</v>
      </c>
    </row>
    <row r="2220" spans="1:3" ht="15">
      <c r="A2220" s="90" t="s">
        <v>250</v>
      </c>
      <c r="B2220" s="89" t="s">
        <v>1083</v>
      </c>
      <c r="C2220" s="98" t="s">
        <v>465</v>
      </c>
    </row>
    <row r="2221" spans="1:3" ht="15">
      <c r="A2221" s="90" t="s">
        <v>250</v>
      </c>
      <c r="B2221" s="89" t="s">
        <v>931</v>
      </c>
      <c r="C2221" s="98" t="s">
        <v>465</v>
      </c>
    </row>
    <row r="2222" spans="1:3" ht="15">
      <c r="A2222" s="90" t="s">
        <v>250</v>
      </c>
      <c r="B2222" s="89" t="s">
        <v>1084</v>
      </c>
      <c r="C2222" s="98" t="s">
        <v>465</v>
      </c>
    </row>
    <row r="2223" spans="1:3" ht="15">
      <c r="A2223" s="90" t="s">
        <v>250</v>
      </c>
      <c r="B2223" s="89" t="s">
        <v>1085</v>
      </c>
      <c r="C2223" s="98" t="s">
        <v>465</v>
      </c>
    </row>
    <row r="2224" spans="1:3" ht="15">
      <c r="A2224" s="90" t="s">
        <v>250</v>
      </c>
      <c r="B2224" s="89" t="s">
        <v>1086</v>
      </c>
      <c r="C2224" s="98" t="s">
        <v>465</v>
      </c>
    </row>
    <row r="2225" spans="1:3" ht="15">
      <c r="A2225" s="90" t="s">
        <v>250</v>
      </c>
      <c r="B2225" s="89" t="s">
        <v>942</v>
      </c>
      <c r="C2225" s="98" t="s">
        <v>465</v>
      </c>
    </row>
    <row r="2226" spans="1:3" ht="15">
      <c r="A2226" s="90" t="s">
        <v>250</v>
      </c>
      <c r="B2226" s="89" t="s">
        <v>938</v>
      </c>
      <c r="C2226" s="98" t="s">
        <v>465</v>
      </c>
    </row>
    <row r="2227" spans="1:3" ht="15">
      <c r="A2227" s="90" t="s">
        <v>250</v>
      </c>
      <c r="B2227" s="89" t="s">
        <v>935</v>
      </c>
      <c r="C2227" s="98" t="s">
        <v>465</v>
      </c>
    </row>
    <row r="2228" spans="1:3" ht="15">
      <c r="A2228" s="90" t="s">
        <v>250</v>
      </c>
      <c r="B2228" s="89" t="s">
        <v>934</v>
      </c>
      <c r="C2228" s="98" t="s">
        <v>465</v>
      </c>
    </row>
    <row r="2229" spans="1:3" ht="15">
      <c r="A2229" s="90" t="s">
        <v>250</v>
      </c>
      <c r="B2229" s="89" t="s">
        <v>1087</v>
      </c>
      <c r="C2229" s="98" t="s">
        <v>465</v>
      </c>
    </row>
    <row r="2230" spans="1:3" ht="15">
      <c r="A2230" s="90" t="s">
        <v>250</v>
      </c>
      <c r="B2230" s="89" t="s">
        <v>1088</v>
      </c>
      <c r="C2230" s="98" t="s">
        <v>465</v>
      </c>
    </row>
    <row r="2231" spans="1:3" ht="15">
      <c r="A2231" s="90" t="s">
        <v>250</v>
      </c>
      <c r="B2231" s="89" t="s">
        <v>936</v>
      </c>
      <c r="C2231" s="98" t="s">
        <v>465</v>
      </c>
    </row>
    <row r="2232" spans="1:3" ht="15">
      <c r="A2232" s="90" t="s">
        <v>250</v>
      </c>
      <c r="B2232" s="89" t="s">
        <v>1089</v>
      </c>
      <c r="C2232" s="98" t="s">
        <v>465</v>
      </c>
    </row>
    <row r="2233" spans="1:3" ht="15">
      <c r="A2233" s="90" t="s">
        <v>250</v>
      </c>
      <c r="B2233" s="89" t="s">
        <v>943</v>
      </c>
      <c r="C2233" s="98" t="s">
        <v>465</v>
      </c>
    </row>
    <row r="2234" spans="1:3" ht="15">
      <c r="A2234" s="90" t="s">
        <v>250</v>
      </c>
      <c r="B2234" s="89" t="s">
        <v>1090</v>
      </c>
      <c r="C2234" s="98" t="s">
        <v>465</v>
      </c>
    </row>
    <row r="2235" spans="1:3" ht="15">
      <c r="A2235" s="90" t="s">
        <v>250</v>
      </c>
      <c r="B2235" s="89" t="s">
        <v>933</v>
      </c>
      <c r="C2235" s="98" t="s">
        <v>465</v>
      </c>
    </row>
    <row r="2236" spans="1:3" ht="15">
      <c r="A2236" s="90" t="s">
        <v>250</v>
      </c>
      <c r="B2236" s="89" t="s">
        <v>338</v>
      </c>
      <c r="C2236" s="98" t="s">
        <v>465</v>
      </c>
    </row>
    <row r="2237" spans="1:3" ht="15">
      <c r="A2237" s="90" t="s">
        <v>250</v>
      </c>
      <c r="B2237" s="89" t="s">
        <v>1091</v>
      </c>
      <c r="C2237" s="98" t="s">
        <v>465</v>
      </c>
    </row>
    <row r="2238" spans="1:3" ht="15">
      <c r="A2238" s="90" t="s">
        <v>250</v>
      </c>
      <c r="B2238" s="89" t="s">
        <v>299</v>
      </c>
      <c r="C2238" s="98" t="s">
        <v>465</v>
      </c>
    </row>
    <row r="2239" spans="1:3" ht="15">
      <c r="A2239" s="90" t="s">
        <v>250</v>
      </c>
      <c r="B2239" s="89" t="s">
        <v>2445</v>
      </c>
      <c r="C2239" s="98" t="s">
        <v>538</v>
      </c>
    </row>
    <row r="2240" spans="1:3" ht="15">
      <c r="A2240" s="90" t="s">
        <v>250</v>
      </c>
      <c r="B2240" s="89" t="s">
        <v>2446</v>
      </c>
      <c r="C2240" s="98" t="s">
        <v>538</v>
      </c>
    </row>
    <row r="2241" spans="1:3" ht="15">
      <c r="A2241" s="90" t="s">
        <v>250</v>
      </c>
      <c r="B2241" s="89" t="s">
        <v>2367</v>
      </c>
      <c r="C2241" s="98" t="s">
        <v>538</v>
      </c>
    </row>
    <row r="2242" spans="1:3" ht="15">
      <c r="A2242" s="90" t="s">
        <v>250</v>
      </c>
      <c r="B2242" s="89" t="s">
        <v>1094</v>
      </c>
      <c r="C2242" s="98" t="s">
        <v>538</v>
      </c>
    </row>
    <row r="2243" spans="1:3" ht="15">
      <c r="A2243" s="90" t="s">
        <v>250</v>
      </c>
      <c r="B2243" s="89" t="s">
        <v>1219</v>
      </c>
      <c r="C2243" s="98" t="s">
        <v>538</v>
      </c>
    </row>
    <row r="2244" spans="1:3" ht="15">
      <c r="A2244" s="90" t="s">
        <v>250</v>
      </c>
      <c r="B2244" s="89" t="s">
        <v>2368</v>
      </c>
      <c r="C2244" s="98" t="s">
        <v>538</v>
      </c>
    </row>
    <row r="2245" spans="1:3" ht="15">
      <c r="A2245" s="90" t="s">
        <v>250</v>
      </c>
      <c r="B2245" s="89" t="s">
        <v>2447</v>
      </c>
      <c r="C2245" s="98" t="s">
        <v>538</v>
      </c>
    </row>
    <row r="2246" spans="1:3" ht="15">
      <c r="A2246" s="90" t="s">
        <v>250</v>
      </c>
      <c r="B2246" s="89" t="s">
        <v>2369</v>
      </c>
      <c r="C2246" s="98" t="s">
        <v>538</v>
      </c>
    </row>
    <row r="2247" spans="1:3" ht="15">
      <c r="A2247" s="90" t="s">
        <v>250</v>
      </c>
      <c r="B2247" s="89" t="s">
        <v>2370</v>
      </c>
      <c r="C2247" s="98" t="s">
        <v>538</v>
      </c>
    </row>
    <row r="2248" spans="1:3" ht="15">
      <c r="A2248" s="90" t="s">
        <v>250</v>
      </c>
      <c r="B2248" s="89" t="s">
        <v>1578</v>
      </c>
      <c r="C2248" s="98" t="s">
        <v>538</v>
      </c>
    </row>
    <row r="2249" spans="1:3" ht="15">
      <c r="A2249" s="90" t="s">
        <v>250</v>
      </c>
      <c r="B2249" s="89" t="s">
        <v>2371</v>
      </c>
      <c r="C2249" s="98" t="s">
        <v>538</v>
      </c>
    </row>
    <row r="2250" spans="1:3" ht="15">
      <c r="A2250" s="90" t="s">
        <v>250</v>
      </c>
      <c r="B2250" s="89" t="s">
        <v>1087</v>
      </c>
      <c r="C2250" s="98" t="s">
        <v>538</v>
      </c>
    </row>
    <row r="2251" spans="1:3" ht="15">
      <c r="A2251" s="90" t="s">
        <v>250</v>
      </c>
      <c r="B2251" s="89" t="s">
        <v>2372</v>
      </c>
      <c r="C2251" s="98" t="s">
        <v>538</v>
      </c>
    </row>
    <row r="2252" spans="1:3" ht="15">
      <c r="A2252" s="90" t="s">
        <v>250</v>
      </c>
      <c r="B2252" s="89" t="s">
        <v>1167</v>
      </c>
      <c r="C2252" s="98" t="s">
        <v>538</v>
      </c>
    </row>
    <row r="2253" spans="1:3" ht="15">
      <c r="A2253" s="90" t="s">
        <v>250</v>
      </c>
      <c r="B2253" s="89" t="s">
        <v>1575</v>
      </c>
      <c r="C2253" s="98" t="s">
        <v>538</v>
      </c>
    </row>
    <row r="2254" spans="1:3" ht="15">
      <c r="A2254" s="90" t="s">
        <v>250</v>
      </c>
      <c r="B2254" s="89" t="s">
        <v>2373</v>
      </c>
      <c r="C2254" s="98" t="s">
        <v>538</v>
      </c>
    </row>
    <row r="2255" spans="1:3" ht="15">
      <c r="A2255" s="90" t="s">
        <v>250</v>
      </c>
      <c r="B2255" s="89" t="s">
        <v>2374</v>
      </c>
      <c r="C2255" s="98" t="s">
        <v>538</v>
      </c>
    </row>
    <row r="2256" spans="1:3" ht="15">
      <c r="A2256" s="90" t="s">
        <v>250</v>
      </c>
      <c r="B2256" s="89" t="s">
        <v>2375</v>
      </c>
      <c r="C2256" s="98" t="s">
        <v>538</v>
      </c>
    </row>
    <row r="2257" spans="1:3" ht="15">
      <c r="A2257" s="90" t="s">
        <v>250</v>
      </c>
      <c r="B2257" s="89" t="s">
        <v>2376</v>
      </c>
      <c r="C2257" s="98" t="s">
        <v>538</v>
      </c>
    </row>
    <row r="2258" spans="1:3" ht="15">
      <c r="A2258" s="90" t="s">
        <v>250</v>
      </c>
      <c r="B2258" s="89" t="s">
        <v>1097</v>
      </c>
      <c r="C2258" s="98" t="s">
        <v>538</v>
      </c>
    </row>
    <row r="2259" spans="1:3" ht="15">
      <c r="A2259" s="90" t="s">
        <v>250</v>
      </c>
      <c r="B2259" s="89" t="s">
        <v>1155</v>
      </c>
      <c r="C2259" s="98" t="s">
        <v>538</v>
      </c>
    </row>
    <row r="2260" spans="1:3" ht="15">
      <c r="A2260" s="90" t="s">
        <v>250</v>
      </c>
      <c r="B2260" s="89" t="s">
        <v>1101</v>
      </c>
      <c r="C2260" s="98" t="s">
        <v>538</v>
      </c>
    </row>
    <row r="2261" spans="1:3" ht="15">
      <c r="A2261" s="90" t="s">
        <v>250</v>
      </c>
      <c r="B2261" s="89" t="s">
        <v>252</v>
      </c>
      <c r="C2261" s="98" t="s">
        <v>538</v>
      </c>
    </row>
    <row r="2262" spans="1:3" ht="15">
      <c r="A2262" s="90" t="s">
        <v>250</v>
      </c>
      <c r="B2262" s="89" t="s">
        <v>2448</v>
      </c>
      <c r="C2262" s="98" t="s">
        <v>538</v>
      </c>
    </row>
    <row r="2263" spans="1:3" ht="15">
      <c r="A2263" s="90" t="s">
        <v>250</v>
      </c>
      <c r="B2263" s="89" t="s">
        <v>1796</v>
      </c>
      <c r="C2263" s="98" t="s">
        <v>538</v>
      </c>
    </row>
    <row r="2264" spans="1:3" ht="15">
      <c r="A2264" s="90" t="s">
        <v>250</v>
      </c>
      <c r="B2264" s="89" t="s">
        <v>996</v>
      </c>
      <c r="C2264" s="98" t="s">
        <v>538</v>
      </c>
    </row>
    <row r="2265" spans="1:3" ht="15">
      <c r="A2265" s="90" t="s">
        <v>250</v>
      </c>
      <c r="B2265" s="89" t="s">
        <v>997</v>
      </c>
      <c r="C2265" s="98" t="s">
        <v>538</v>
      </c>
    </row>
    <row r="2266" spans="1:3" ht="15">
      <c r="A2266" s="90" t="s">
        <v>250</v>
      </c>
      <c r="B2266" s="89" t="s">
        <v>998</v>
      </c>
      <c r="C2266" s="98" t="s">
        <v>538</v>
      </c>
    </row>
    <row r="2267" spans="1:3" ht="15">
      <c r="A2267" s="90" t="s">
        <v>250</v>
      </c>
      <c r="B2267" s="89" t="s">
        <v>2449</v>
      </c>
      <c r="C2267" s="98" t="s">
        <v>538</v>
      </c>
    </row>
    <row r="2268" spans="1:3" ht="15">
      <c r="A2268" s="90" t="s">
        <v>252</v>
      </c>
      <c r="B2268" s="89" t="s">
        <v>2445</v>
      </c>
      <c r="C2268" s="98" t="s">
        <v>2236</v>
      </c>
    </row>
    <row r="2269" spans="1:3" ht="15">
      <c r="A2269" s="90" t="s">
        <v>252</v>
      </c>
      <c r="B2269" s="89" t="s">
        <v>2446</v>
      </c>
      <c r="C2269" s="98" t="s">
        <v>2236</v>
      </c>
    </row>
    <row r="2270" spans="1:3" ht="15">
      <c r="A2270" s="90" t="s">
        <v>252</v>
      </c>
      <c r="B2270" s="89" t="s">
        <v>2367</v>
      </c>
      <c r="C2270" s="98" t="s">
        <v>2236</v>
      </c>
    </row>
    <row r="2271" spans="1:3" ht="15">
      <c r="A2271" s="90" t="s">
        <v>252</v>
      </c>
      <c r="B2271" s="89" t="s">
        <v>1094</v>
      </c>
      <c r="C2271" s="98" t="s">
        <v>2236</v>
      </c>
    </row>
    <row r="2272" spans="1:3" ht="15">
      <c r="A2272" s="90" t="s">
        <v>252</v>
      </c>
      <c r="B2272" s="89" t="s">
        <v>1219</v>
      </c>
      <c r="C2272" s="98" t="s">
        <v>2236</v>
      </c>
    </row>
    <row r="2273" spans="1:3" ht="15">
      <c r="A2273" s="90" t="s">
        <v>252</v>
      </c>
      <c r="B2273" s="89" t="s">
        <v>2368</v>
      </c>
      <c r="C2273" s="98" t="s">
        <v>2236</v>
      </c>
    </row>
    <row r="2274" spans="1:3" ht="15">
      <c r="A2274" s="90" t="s">
        <v>252</v>
      </c>
      <c r="B2274" s="89" t="s">
        <v>2447</v>
      </c>
      <c r="C2274" s="98" t="s">
        <v>2236</v>
      </c>
    </row>
    <row r="2275" spans="1:3" ht="15">
      <c r="A2275" s="90" t="s">
        <v>252</v>
      </c>
      <c r="B2275" s="89" t="s">
        <v>2369</v>
      </c>
      <c r="C2275" s="98" t="s">
        <v>2236</v>
      </c>
    </row>
    <row r="2276" spans="1:3" ht="15">
      <c r="A2276" s="90" t="s">
        <v>252</v>
      </c>
      <c r="B2276" s="89" t="s">
        <v>2370</v>
      </c>
      <c r="C2276" s="98" t="s">
        <v>2236</v>
      </c>
    </row>
    <row r="2277" spans="1:3" ht="15">
      <c r="A2277" s="90" t="s">
        <v>252</v>
      </c>
      <c r="B2277" s="89" t="s">
        <v>1578</v>
      </c>
      <c r="C2277" s="98" t="s">
        <v>2236</v>
      </c>
    </row>
    <row r="2278" spans="1:3" ht="15">
      <c r="A2278" s="90" t="s">
        <v>252</v>
      </c>
      <c r="B2278" s="89" t="s">
        <v>2371</v>
      </c>
      <c r="C2278" s="98" t="s">
        <v>2236</v>
      </c>
    </row>
    <row r="2279" spans="1:3" ht="15">
      <c r="A2279" s="90" t="s">
        <v>252</v>
      </c>
      <c r="B2279" s="89" t="s">
        <v>1087</v>
      </c>
      <c r="C2279" s="98" t="s">
        <v>2236</v>
      </c>
    </row>
    <row r="2280" spans="1:3" ht="15">
      <c r="A2280" s="90" t="s">
        <v>252</v>
      </c>
      <c r="B2280" s="89" t="s">
        <v>2372</v>
      </c>
      <c r="C2280" s="98" t="s">
        <v>2236</v>
      </c>
    </row>
    <row r="2281" spans="1:3" ht="15">
      <c r="A2281" s="90" t="s">
        <v>252</v>
      </c>
      <c r="B2281" s="89" t="s">
        <v>1167</v>
      </c>
      <c r="C2281" s="98" t="s">
        <v>2236</v>
      </c>
    </row>
    <row r="2282" spans="1:3" ht="15">
      <c r="A2282" s="90" t="s">
        <v>252</v>
      </c>
      <c r="B2282" s="89" t="s">
        <v>1575</v>
      </c>
      <c r="C2282" s="98" t="s">
        <v>2236</v>
      </c>
    </row>
    <row r="2283" spans="1:3" ht="15">
      <c r="A2283" s="90" t="s">
        <v>252</v>
      </c>
      <c r="B2283" s="89" t="s">
        <v>2373</v>
      </c>
      <c r="C2283" s="98" t="s">
        <v>2236</v>
      </c>
    </row>
    <row r="2284" spans="1:3" ht="15">
      <c r="A2284" s="90" t="s">
        <v>252</v>
      </c>
      <c r="B2284" s="89" t="s">
        <v>2374</v>
      </c>
      <c r="C2284" s="98" t="s">
        <v>2236</v>
      </c>
    </row>
    <row r="2285" spans="1:3" ht="15">
      <c r="A2285" s="90" t="s">
        <v>252</v>
      </c>
      <c r="B2285" s="89" t="s">
        <v>2375</v>
      </c>
      <c r="C2285" s="98" t="s">
        <v>2236</v>
      </c>
    </row>
    <row r="2286" spans="1:3" ht="15">
      <c r="A2286" s="90" t="s">
        <v>252</v>
      </c>
      <c r="B2286" s="89" t="s">
        <v>2376</v>
      </c>
      <c r="C2286" s="98" t="s">
        <v>2236</v>
      </c>
    </row>
    <row r="2287" spans="1:3" ht="15">
      <c r="A2287" s="90" t="s">
        <v>252</v>
      </c>
      <c r="B2287" s="89" t="s">
        <v>1097</v>
      </c>
      <c r="C2287" s="98" t="s">
        <v>2236</v>
      </c>
    </row>
    <row r="2288" spans="1:3" ht="15">
      <c r="A2288" s="90" t="s">
        <v>252</v>
      </c>
      <c r="B2288" s="89" t="s">
        <v>1155</v>
      </c>
      <c r="C2288" s="98" t="s">
        <v>2236</v>
      </c>
    </row>
    <row r="2289" spans="1:3" ht="15">
      <c r="A2289" s="90" t="s">
        <v>252</v>
      </c>
      <c r="B2289" s="89" t="s">
        <v>1101</v>
      </c>
      <c r="C2289" s="98" t="s">
        <v>2236</v>
      </c>
    </row>
    <row r="2290" spans="1:3" ht="15">
      <c r="A2290" s="90" t="s">
        <v>252</v>
      </c>
      <c r="B2290" s="89" t="s">
        <v>252</v>
      </c>
      <c r="C2290" s="98" t="s">
        <v>2236</v>
      </c>
    </row>
    <row r="2291" spans="1:3" ht="15">
      <c r="A2291" s="90" t="s">
        <v>252</v>
      </c>
      <c r="B2291" s="89" t="s">
        <v>2448</v>
      </c>
      <c r="C2291" s="98" t="s">
        <v>2236</v>
      </c>
    </row>
    <row r="2292" spans="1:3" ht="15">
      <c r="A2292" s="90" t="s">
        <v>252</v>
      </c>
      <c r="B2292" s="89" t="s">
        <v>1796</v>
      </c>
      <c r="C2292" s="98" t="s">
        <v>2236</v>
      </c>
    </row>
    <row r="2293" spans="1:3" ht="15">
      <c r="A2293" s="90" t="s">
        <v>252</v>
      </c>
      <c r="B2293" s="89" t="s">
        <v>996</v>
      </c>
      <c r="C2293" s="98" t="s">
        <v>2236</v>
      </c>
    </row>
    <row r="2294" spans="1:3" ht="15">
      <c r="A2294" s="90" t="s">
        <v>252</v>
      </c>
      <c r="B2294" s="89" t="s">
        <v>997</v>
      </c>
      <c r="C2294" s="98" t="s">
        <v>2236</v>
      </c>
    </row>
    <row r="2295" spans="1:3" ht="15">
      <c r="A2295" s="90" t="s">
        <v>252</v>
      </c>
      <c r="B2295" s="89" t="s">
        <v>998</v>
      </c>
      <c r="C2295" s="98" t="s">
        <v>2236</v>
      </c>
    </row>
    <row r="2296" spans="1:3" ht="15">
      <c r="A2296" s="90" t="s">
        <v>252</v>
      </c>
      <c r="B2296" s="89" t="s">
        <v>2449</v>
      </c>
      <c r="C2296" s="98" t="s">
        <v>2236</v>
      </c>
    </row>
    <row r="2297" spans="1:3" ht="15">
      <c r="A2297" s="90" t="s">
        <v>2115</v>
      </c>
      <c r="B2297" s="89" t="s">
        <v>2445</v>
      </c>
      <c r="C2297" s="98" t="s">
        <v>2202</v>
      </c>
    </row>
    <row r="2298" spans="1:3" ht="15">
      <c r="A2298" s="90" t="s">
        <v>2115</v>
      </c>
      <c r="B2298" s="89" t="s">
        <v>2446</v>
      </c>
      <c r="C2298" s="98" t="s">
        <v>2202</v>
      </c>
    </row>
    <row r="2299" spans="1:3" ht="15">
      <c r="A2299" s="90" t="s">
        <v>2115</v>
      </c>
      <c r="B2299" s="89" t="s">
        <v>2367</v>
      </c>
      <c r="C2299" s="98" t="s">
        <v>2202</v>
      </c>
    </row>
    <row r="2300" spans="1:3" ht="15">
      <c r="A2300" s="90" t="s">
        <v>2115</v>
      </c>
      <c r="B2300" s="89" t="s">
        <v>1094</v>
      </c>
      <c r="C2300" s="98" t="s">
        <v>2202</v>
      </c>
    </row>
    <row r="2301" spans="1:3" ht="15">
      <c r="A2301" s="90" t="s">
        <v>2115</v>
      </c>
      <c r="B2301" s="89" t="s">
        <v>1219</v>
      </c>
      <c r="C2301" s="98" t="s">
        <v>2202</v>
      </c>
    </row>
    <row r="2302" spans="1:3" ht="15">
      <c r="A2302" s="90" t="s">
        <v>2115</v>
      </c>
      <c r="B2302" s="89" t="s">
        <v>2368</v>
      </c>
      <c r="C2302" s="98" t="s">
        <v>2202</v>
      </c>
    </row>
    <row r="2303" spans="1:3" ht="15">
      <c r="A2303" s="90" t="s">
        <v>2115</v>
      </c>
      <c r="B2303" s="89" t="s">
        <v>2447</v>
      </c>
      <c r="C2303" s="98" t="s">
        <v>2202</v>
      </c>
    </row>
    <row r="2304" spans="1:3" ht="15">
      <c r="A2304" s="90" t="s">
        <v>2115</v>
      </c>
      <c r="B2304" s="89" t="s">
        <v>2369</v>
      </c>
      <c r="C2304" s="98" t="s">
        <v>2202</v>
      </c>
    </row>
    <row r="2305" spans="1:3" ht="15">
      <c r="A2305" s="90" t="s">
        <v>2115</v>
      </c>
      <c r="B2305" s="89" t="s">
        <v>2370</v>
      </c>
      <c r="C2305" s="98" t="s">
        <v>2202</v>
      </c>
    </row>
    <row r="2306" spans="1:3" ht="15">
      <c r="A2306" s="90" t="s">
        <v>2115</v>
      </c>
      <c r="B2306" s="89" t="s">
        <v>1578</v>
      </c>
      <c r="C2306" s="98" t="s">
        <v>2202</v>
      </c>
    </row>
    <row r="2307" spans="1:3" ht="15">
      <c r="A2307" s="90" t="s">
        <v>2115</v>
      </c>
      <c r="B2307" s="89" t="s">
        <v>2371</v>
      </c>
      <c r="C2307" s="98" t="s">
        <v>2202</v>
      </c>
    </row>
    <row r="2308" spans="1:3" ht="15">
      <c r="A2308" s="90" t="s">
        <v>2115</v>
      </c>
      <c r="B2308" s="89" t="s">
        <v>1087</v>
      </c>
      <c r="C2308" s="98" t="s">
        <v>2202</v>
      </c>
    </row>
    <row r="2309" spans="1:3" ht="15">
      <c r="A2309" s="90" t="s">
        <v>2115</v>
      </c>
      <c r="B2309" s="89" t="s">
        <v>2372</v>
      </c>
      <c r="C2309" s="98" t="s">
        <v>2202</v>
      </c>
    </row>
    <row r="2310" spans="1:3" ht="15">
      <c r="A2310" s="90" t="s">
        <v>2115</v>
      </c>
      <c r="B2310" s="89" t="s">
        <v>1167</v>
      </c>
      <c r="C2310" s="98" t="s">
        <v>2202</v>
      </c>
    </row>
    <row r="2311" spans="1:3" ht="15">
      <c r="A2311" s="90" t="s">
        <v>2115</v>
      </c>
      <c r="B2311" s="89" t="s">
        <v>1575</v>
      </c>
      <c r="C2311" s="98" t="s">
        <v>2202</v>
      </c>
    </row>
    <row r="2312" spans="1:3" ht="15">
      <c r="A2312" s="90" t="s">
        <v>2115</v>
      </c>
      <c r="B2312" s="89" t="s">
        <v>2373</v>
      </c>
      <c r="C2312" s="98" t="s">
        <v>2202</v>
      </c>
    </row>
    <row r="2313" spans="1:3" ht="15">
      <c r="A2313" s="90" t="s">
        <v>2115</v>
      </c>
      <c r="B2313" s="89" t="s">
        <v>2374</v>
      </c>
      <c r="C2313" s="98" t="s">
        <v>2202</v>
      </c>
    </row>
    <row r="2314" spans="1:3" ht="15">
      <c r="A2314" s="90" t="s">
        <v>2115</v>
      </c>
      <c r="B2314" s="89" t="s">
        <v>2375</v>
      </c>
      <c r="C2314" s="98" t="s">
        <v>2202</v>
      </c>
    </row>
    <row r="2315" spans="1:3" ht="15">
      <c r="A2315" s="90" t="s">
        <v>2115</v>
      </c>
      <c r="B2315" s="89" t="s">
        <v>2376</v>
      </c>
      <c r="C2315" s="98" t="s">
        <v>2202</v>
      </c>
    </row>
    <row r="2316" spans="1:3" ht="15">
      <c r="A2316" s="90" t="s">
        <v>2115</v>
      </c>
      <c r="B2316" s="89" t="s">
        <v>1097</v>
      </c>
      <c r="C2316" s="98" t="s">
        <v>2202</v>
      </c>
    </row>
    <row r="2317" spans="1:3" ht="15">
      <c r="A2317" s="90" t="s">
        <v>2115</v>
      </c>
      <c r="B2317" s="89" t="s">
        <v>1155</v>
      </c>
      <c r="C2317" s="98" t="s">
        <v>2202</v>
      </c>
    </row>
    <row r="2318" spans="1:3" ht="15">
      <c r="A2318" s="90" t="s">
        <v>2115</v>
      </c>
      <c r="B2318" s="89" t="s">
        <v>1101</v>
      </c>
      <c r="C2318" s="98" t="s">
        <v>2202</v>
      </c>
    </row>
    <row r="2319" spans="1:3" ht="15">
      <c r="A2319" s="90" t="s">
        <v>2115</v>
      </c>
      <c r="B2319" s="89" t="s">
        <v>252</v>
      </c>
      <c r="C2319" s="98" t="s">
        <v>2202</v>
      </c>
    </row>
    <row r="2320" spans="1:3" ht="15">
      <c r="A2320" s="90" t="s">
        <v>2115</v>
      </c>
      <c r="B2320" s="89" t="s">
        <v>2448</v>
      </c>
      <c r="C2320" s="98" t="s">
        <v>2202</v>
      </c>
    </row>
    <row r="2321" spans="1:3" ht="15">
      <c r="A2321" s="90" t="s">
        <v>2115</v>
      </c>
      <c r="B2321" s="89" t="s">
        <v>1796</v>
      </c>
      <c r="C2321" s="98" t="s">
        <v>2202</v>
      </c>
    </row>
    <row r="2322" spans="1:3" ht="15">
      <c r="A2322" s="90" t="s">
        <v>2115</v>
      </c>
      <c r="B2322" s="89" t="s">
        <v>996</v>
      </c>
      <c r="C2322" s="98" t="s">
        <v>2202</v>
      </c>
    </row>
    <row r="2323" spans="1:3" ht="15">
      <c r="A2323" s="90" t="s">
        <v>2115</v>
      </c>
      <c r="B2323" s="89" t="s">
        <v>997</v>
      </c>
      <c r="C2323" s="98" t="s">
        <v>2202</v>
      </c>
    </row>
    <row r="2324" spans="1:3" ht="15">
      <c r="A2324" s="90" t="s">
        <v>2115</v>
      </c>
      <c r="B2324" s="89" t="s">
        <v>998</v>
      </c>
      <c r="C2324" s="98" t="s">
        <v>2202</v>
      </c>
    </row>
    <row r="2325" spans="1:3" ht="15">
      <c r="A2325" s="90" t="s">
        <v>2115</v>
      </c>
      <c r="B2325" s="89" t="s">
        <v>2449</v>
      </c>
      <c r="C2325" s="98" t="s">
        <v>2202</v>
      </c>
    </row>
    <row r="2326" spans="1:3" ht="15">
      <c r="A2326" s="90" t="s">
        <v>252</v>
      </c>
      <c r="B2326" s="89" t="s">
        <v>1080</v>
      </c>
      <c r="C2326" s="98" t="s">
        <v>467</v>
      </c>
    </row>
    <row r="2327" spans="1:3" ht="15">
      <c r="A2327" s="90" t="s">
        <v>252</v>
      </c>
      <c r="B2327" s="89" t="s">
        <v>1081</v>
      </c>
      <c r="C2327" s="98" t="s">
        <v>467</v>
      </c>
    </row>
    <row r="2328" spans="1:3" ht="15">
      <c r="A2328" s="90" t="s">
        <v>252</v>
      </c>
      <c r="B2328" s="89" t="s">
        <v>1082</v>
      </c>
      <c r="C2328" s="98" t="s">
        <v>467</v>
      </c>
    </row>
    <row r="2329" spans="1:3" ht="15">
      <c r="A2329" s="90" t="s">
        <v>252</v>
      </c>
      <c r="B2329" s="89" t="s">
        <v>930</v>
      </c>
      <c r="C2329" s="98" t="s">
        <v>467</v>
      </c>
    </row>
    <row r="2330" spans="1:3" ht="15">
      <c r="A2330" s="90" t="s">
        <v>252</v>
      </c>
      <c r="B2330" s="89" t="s">
        <v>940</v>
      </c>
      <c r="C2330" s="98" t="s">
        <v>467</v>
      </c>
    </row>
    <row r="2331" spans="1:3" ht="15">
      <c r="A2331" s="90" t="s">
        <v>252</v>
      </c>
      <c r="B2331" s="89" t="s">
        <v>941</v>
      </c>
      <c r="C2331" s="98" t="s">
        <v>467</v>
      </c>
    </row>
    <row r="2332" spans="1:3" ht="15">
      <c r="A2332" s="90" t="s">
        <v>252</v>
      </c>
      <c r="B2332" s="89" t="s">
        <v>1083</v>
      </c>
      <c r="C2332" s="98" t="s">
        <v>467</v>
      </c>
    </row>
    <row r="2333" spans="1:3" ht="15">
      <c r="A2333" s="90" t="s">
        <v>252</v>
      </c>
      <c r="B2333" s="89" t="s">
        <v>931</v>
      </c>
      <c r="C2333" s="98" t="s">
        <v>467</v>
      </c>
    </row>
    <row r="2334" spans="1:3" ht="15">
      <c r="A2334" s="90" t="s">
        <v>252</v>
      </c>
      <c r="B2334" s="89" t="s">
        <v>1084</v>
      </c>
      <c r="C2334" s="98" t="s">
        <v>467</v>
      </c>
    </row>
    <row r="2335" spans="1:3" ht="15">
      <c r="A2335" s="90" t="s">
        <v>252</v>
      </c>
      <c r="B2335" s="89" t="s">
        <v>1085</v>
      </c>
      <c r="C2335" s="98" t="s">
        <v>467</v>
      </c>
    </row>
    <row r="2336" spans="1:3" ht="15">
      <c r="A2336" s="90" t="s">
        <v>252</v>
      </c>
      <c r="B2336" s="89" t="s">
        <v>1086</v>
      </c>
      <c r="C2336" s="98" t="s">
        <v>467</v>
      </c>
    </row>
    <row r="2337" spans="1:3" ht="15">
      <c r="A2337" s="90" t="s">
        <v>252</v>
      </c>
      <c r="B2337" s="89" t="s">
        <v>942</v>
      </c>
      <c r="C2337" s="98" t="s">
        <v>467</v>
      </c>
    </row>
    <row r="2338" spans="1:3" ht="15">
      <c r="A2338" s="90" t="s">
        <v>252</v>
      </c>
      <c r="B2338" s="89" t="s">
        <v>938</v>
      </c>
      <c r="C2338" s="98" t="s">
        <v>467</v>
      </c>
    </row>
    <row r="2339" spans="1:3" ht="15">
      <c r="A2339" s="90" t="s">
        <v>252</v>
      </c>
      <c r="B2339" s="89" t="s">
        <v>935</v>
      </c>
      <c r="C2339" s="98" t="s">
        <v>467</v>
      </c>
    </row>
    <row r="2340" spans="1:3" ht="15">
      <c r="A2340" s="90" t="s">
        <v>252</v>
      </c>
      <c r="B2340" s="89" t="s">
        <v>934</v>
      </c>
      <c r="C2340" s="98" t="s">
        <v>467</v>
      </c>
    </row>
    <row r="2341" spans="1:3" ht="15">
      <c r="A2341" s="90" t="s">
        <v>252</v>
      </c>
      <c r="B2341" s="89" t="s">
        <v>1087</v>
      </c>
      <c r="C2341" s="98" t="s">
        <v>467</v>
      </c>
    </row>
    <row r="2342" spans="1:3" ht="15">
      <c r="A2342" s="90" t="s">
        <v>252</v>
      </c>
      <c r="B2342" s="89" t="s">
        <v>1088</v>
      </c>
      <c r="C2342" s="98" t="s">
        <v>467</v>
      </c>
    </row>
    <row r="2343" spans="1:3" ht="15">
      <c r="A2343" s="90" t="s">
        <v>252</v>
      </c>
      <c r="B2343" s="89" t="s">
        <v>936</v>
      </c>
      <c r="C2343" s="98" t="s">
        <v>467</v>
      </c>
    </row>
    <row r="2344" spans="1:3" ht="15">
      <c r="A2344" s="90" t="s">
        <v>252</v>
      </c>
      <c r="B2344" s="89" t="s">
        <v>1089</v>
      </c>
      <c r="C2344" s="98" t="s">
        <v>467</v>
      </c>
    </row>
    <row r="2345" spans="1:3" ht="15">
      <c r="A2345" s="90" t="s">
        <v>252</v>
      </c>
      <c r="B2345" s="89" t="s">
        <v>943</v>
      </c>
      <c r="C2345" s="98" t="s">
        <v>467</v>
      </c>
    </row>
    <row r="2346" spans="1:3" ht="15">
      <c r="A2346" s="90" t="s">
        <v>252</v>
      </c>
      <c r="B2346" s="89" t="s">
        <v>1090</v>
      </c>
      <c r="C2346" s="98" t="s">
        <v>467</v>
      </c>
    </row>
    <row r="2347" spans="1:3" ht="15">
      <c r="A2347" s="90" t="s">
        <v>252</v>
      </c>
      <c r="B2347" s="89" t="s">
        <v>933</v>
      </c>
      <c r="C2347" s="98" t="s">
        <v>467</v>
      </c>
    </row>
    <row r="2348" spans="1:3" ht="15">
      <c r="A2348" s="90" t="s">
        <v>252</v>
      </c>
      <c r="B2348" s="89" t="s">
        <v>338</v>
      </c>
      <c r="C2348" s="98" t="s">
        <v>467</v>
      </c>
    </row>
    <row r="2349" spans="1:3" ht="15">
      <c r="A2349" s="90" t="s">
        <v>252</v>
      </c>
      <c r="B2349" s="89" t="s">
        <v>1091</v>
      </c>
      <c r="C2349" s="98" t="s">
        <v>467</v>
      </c>
    </row>
    <row r="2350" spans="1:3" ht="15">
      <c r="A2350" s="90" t="s">
        <v>252</v>
      </c>
      <c r="B2350" s="89" t="s">
        <v>299</v>
      </c>
      <c r="C2350" s="98" t="s">
        <v>467</v>
      </c>
    </row>
    <row r="2351" spans="1:3" ht="15">
      <c r="A2351" s="90" t="s">
        <v>293</v>
      </c>
      <c r="B2351" s="89" t="s">
        <v>2443</v>
      </c>
      <c r="C2351" s="98" t="s">
        <v>2240</v>
      </c>
    </row>
    <row r="2352" spans="1:3" ht="15">
      <c r="A2352" s="90" t="s">
        <v>293</v>
      </c>
      <c r="B2352" s="89" t="s">
        <v>1048</v>
      </c>
      <c r="C2352" s="98" t="s">
        <v>2240</v>
      </c>
    </row>
    <row r="2353" spans="1:3" ht="15">
      <c r="A2353" s="90" t="s">
        <v>293</v>
      </c>
      <c r="B2353" s="89" t="s">
        <v>2380</v>
      </c>
      <c r="C2353" s="98" t="s">
        <v>2240</v>
      </c>
    </row>
    <row r="2354" spans="1:3" ht="15">
      <c r="A2354" s="90" t="s">
        <v>293</v>
      </c>
      <c r="B2354" s="89" t="s">
        <v>1087</v>
      </c>
      <c r="C2354" s="98" t="s">
        <v>2240</v>
      </c>
    </row>
    <row r="2355" spans="1:3" ht="15">
      <c r="A2355" s="90" t="s">
        <v>293</v>
      </c>
      <c r="B2355" s="89" t="s">
        <v>2381</v>
      </c>
      <c r="C2355" s="98" t="s">
        <v>2240</v>
      </c>
    </row>
    <row r="2356" spans="1:3" ht="15">
      <c r="A2356" s="90" t="s">
        <v>293</v>
      </c>
      <c r="B2356" s="89" t="s">
        <v>2382</v>
      </c>
      <c r="C2356" s="98" t="s">
        <v>2240</v>
      </c>
    </row>
    <row r="2357" spans="1:3" ht="15">
      <c r="A2357" s="90" t="s">
        <v>293</v>
      </c>
      <c r="B2357" s="89" t="s">
        <v>2383</v>
      </c>
      <c r="C2357" s="98" t="s">
        <v>2240</v>
      </c>
    </row>
    <row r="2358" spans="1:3" ht="15">
      <c r="A2358" s="90" t="s">
        <v>293</v>
      </c>
      <c r="B2358" s="89" t="s">
        <v>1200</v>
      </c>
      <c r="C2358" s="98" t="s">
        <v>2240</v>
      </c>
    </row>
    <row r="2359" spans="1:3" ht="15">
      <c r="A2359" s="90" t="s">
        <v>293</v>
      </c>
      <c r="B2359" s="89" t="s">
        <v>2384</v>
      </c>
      <c r="C2359" s="98" t="s">
        <v>2240</v>
      </c>
    </row>
    <row r="2360" spans="1:3" ht="15">
      <c r="A2360" s="90" t="s">
        <v>293</v>
      </c>
      <c r="B2360" s="89" t="s">
        <v>2385</v>
      </c>
      <c r="C2360" s="98" t="s">
        <v>2240</v>
      </c>
    </row>
    <row r="2361" spans="1:3" ht="15">
      <c r="A2361" s="90" t="s">
        <v>293</v>
      </c>
      <c r="B2361" s="89" t="s">
        <v>949</v>
      </c>
      <c r="C2361" s="98" t="s">
        <v>2240</v>
      </c>
    </row>
    <row r="2362" spans="1:3" ht="15">
      <c r="A2362" s="90" t="s">
        <v>293</v>
      </c>
      <c r="B2362" s="89" t="s">
        <v>2386</v>
      </c>
      <c r="C2362" s="98" t="s">
        <v>2240</v>
      </c>
    </row>
    <row r="2363" spans="1:3" ht="15">
      <c r="A2363" s="90" t="s">
        <v>293</v>
      </c>
      <c r="B2363" s="89" t="s">
        <v>2387</v>
      </c>
      <c r="C2363" s="98" t="s">
        <v>2240</v>
      </c>
    </row>
    <row r="2364" spans="1:3" ht="15">
      <c r="A2364" s="90" t="s">
        <v>293</v>
      </c>
      <c r="B2364" s="89" t="s">
        <v>2444</v>
      </c>
      <c r="C2364" s="98" t="s">
        <v>2240</v>
      </c>
    </row>
    <row r="2365" spans="1:3" ht="15">
      <c r="A2365" s="90" t="s">
        <v>293</v>
      </c>
      <c r="B2365" s="89" t="s">
        <v>2389</v>
      </c>
      <c r="C2365" s="98" t="s">
        <v>2240</v>
      </c>
    </row>
    <row r="2366" spans="1:3" ht="15">
      <c r="A2366" s="90" t="s">
        <v>293</v>
      </c>
      <c r="B2366" s="89" t="s">
        <v>2390</v>
      </c>
      <c r="C2366" s="98" t="s">
        <v>2240</v>
      </c>
    </row>
    <row r="2367" spans="1:3" ht="15">
      <c r="A2367" s="90" t="s">
        <v>293</v>
      </c>
      <c r="B2367" s="89" t="s">
        <v>1568</v>
      </c>
      <c r="C2367" s="98" t="s">
        <v>2240</v>
      </c>
    </row>
    <row r="2368" spans="1:3" ht="15">
      <c r="A2368" s="90" t="s">
        <v>293</v>
      </c>
      <c r="B2368" s="89" t="s">
        <v>1153</v>
      </c>
      <c r="C2368" s="98" t="s">
        <v>2240</v>
      </c>
    </row>
    <row r="2369" spans="1:3" ht="15">
      <c r="A2369" s="90" t="s">
        <v>293</v>
      </c>
      <c r="B2369" s="89" t="s">
        <v>1097</v>
      </c>
      <c r="C2369" s="98" t="s">
        <v>2240</v>
      </c>
    </row>
    <row r="2370" spans="1:3" ht="15">
      <c r="A2370" s="90" t="s">
        <v>293</v>
      </c>
      <c r="B2370" s="89" t="s">
        <v>299</v>
      </c>
      <c r="C2370" s="98" t="s">
        <v>2240</v>
      </c>
    </row>
    <row r="2371" spans="1:3" ht="15">
      <c r="A2371" s="90" t="s">
        <v>293</v>
      </c>
      <c r="B2371" s="89" t="s">
        <v>1155</v>
      </c>
      <c r="C2371" s="98" t="s">
        <v>2240</v>
      </c>
    </row>
    <row r="2372" spans="1:3" ht="15">
      <c r="A2372" s="90" t="s">
        <v>293</v>
      </c>
      <c r="B2372" s="89" t="s">
        <v>1101</v>
      </c>
      <c r="C2372" s="98" t="s">
        <v>2240</v>
      </c>
    </row>
    <row r="2373" spans="1:3" ht="15">
      <c r="A2373" s="90" t="s">
        <v>2135</v>
      </c>
      <c r="B2373" s="89" t="s">
        <v>2443</v>
      </c>
      <c r="C2373" s="98" t="s">
        <v>2239</v>
      </c>
    </row>
    <row r="2374" spans="1:3" ht="15">
      <c r="A2374" s="90" t="s">
        <v>2135</v>
      </c>
      <c r="B2374" s="89" t="s">
        <v>1048</v>
      </c>
      <c r="C2374" s="98" t="s">
        <v>2239</v>
      </c>
    </row>
    <row r="2375" spans="1:3" ht="15">
      <c r="A2375" s="90" t="s">
        <v>2135</v>
      </c>
      <c r="B2375" s="89" t="s">
        <v>2380</v>
      </c>
      <c r="C2375" s="98" t="s">
        <v>2239</v>
      </c>
    </row>
    <row r="2376" spans="1:3" ht="15">
      <c r="A2376" s="90" t="s">
        <v>2135</v>
      </c>
      <c r="B2376" s="89" t="s">
        <v>1087</v>
      </c>
      <c r="C2376" s="98" t="s">
        <v>2239</v>
      </c>
    </row>
    <row r="2377" spans="1:3" ht="15">
      <c r="A2377" s="90" t="s">
        <v>2135</v>
      </c>
      <c r="B2377" s="89" t="s">
        <v>2381</v>
      </c>
      <c r="C2377" s="98" t="s">
        <v>2239</v>
      </c>
    </row>
    <row r="2378" spans="1:3" ht="15">
      <c r="A2378" s="90" t="s">
        <v>2135</v>
      </c>
      <c r="B2378" s="89" t="s">
        <v>2382</v>
      </c>
      <c r="C2378" s="98" t="s">
        <v>2239</v>
      </c>
    </row>
    <row r="2379" spans="1:3" ht="15">
      <c r="A2379" s="90" t="s">
        <v>2135</v>
      </c>
      <c r="B2379" s="89" t="s">
        <v>2383</v>
      </c>
      <c r="C2379" s="98" t="s">
        <v>2239</v>
      </c>
    </row>
    <row r="2380" spans="1:3" ht="15">
      <c r="A2380" s="90" t="s">
        <v>2135</v>
      </c>
      <c r="B2380" s="89" t="s">
        <v>1200</v>
      </c>
      <c r="C2380" s="98" t="s">
        <v>2239</v>
      </c>
    </row>
    <row r="2381" spans="1:3" ht="15">
      <c r="A2381" s="90" t="s">
        <v>2135</v>
      </c>
      <c r="B2381" s="89" t="s">
        <v>2384</v>
      </c>
      <c r="C2381" s="98" t="s">
        <v>2239</v>
      </c>
    </row>
    <row r="2382" spans="1:3" ht="15">
      <c r="A2382" s="90" t="s">
        <v>2135</v>
      </c>
      <c r="B2382" s="89" t="s">
        <v>2385</v>
      </c>
      <c r="C2382" s="98" t="s">
        <v>2239</v>
      </c>
    </row>
    <row r="2383" spans="1:3" ht="15">
      <c r="A2383" s="90" t="s">
        <v>2135</v>
      </c>
      <c r="B2383" s="89" t="s">
        <v>949</v>
      </c>
      <c r="C2383" s="98" t="s">
        <v>2239</v>
      </c>
    </row>
    <row r="2384" spans="1:3" ht="15">
      <c r="A2384" s="90" t="s">
        <v>2135</v>
      </c>
      <c r="B2384" s="89" t="s">
        <v>2386</v>
      </c>
      <c r="C2384" s="98" t="s">
        <v>2239</v>
      </c>
    </row>
    <row r="2385" spans="1:3" ht="15">
      <c r="A2385" s="90" t="s">
        <v>2135</v>
      </c>
      <c r="B2385" s="89" t="s">
        <v>2387</v>
      </c>
      <c r="C2385" s="98" t="s">
        <v>2239</v>
      </c>
    </row>
    <row r="2386" spans="1:3" ht="15">
      <c r="A2386" s="90" t="s">
        <v>2135</v>
      </c>
      <c r="B2386" s="89" t="s">
        <v>2444</v>
      </c>
      <c r="C2386" s="98" t="s">
        <v>2239</v>
      </c>
    </row>
    <row r="2387" spans="1:3" ht="15">
      <c r="A2387" s="90" t="s">
        <v>2135</v>
      </c>
      <c r="B2387" s="89" t="s">
        <v>2389</v>
      </c>
      <c r="C2387" s="98" t="s">
        <v>2239</v>
      </c>
    </row>
    <row r="2388" spans="1:3" ht="15">
      <c r="A2388" s="90" t="s">
        <v>2135</v>
      </c>
      <c r="B2388" s="89" t="s">
        <v>2390</v>
      </c>
      <c r="C2388" s="98" t="s">
        <v>2239</v>
      </c>
    </row>
    <row r="2389" spans="1:3" ht="15">
      <c r="A2389" s="90" t="s">
        <v>2135</v>
      </c>
      <c r="B2389" s="89" t="s">
        <v>1568</v>
      </c>
      <c r="C2389" s="98" t="s">
        <v>2239</v>
      </c>
    </row>
    <row r="2390" spans="1:3" ht="15">
      <c r="A2390" s="90" t="s">
        <v>2135</v>
      </c>
      <c r="B2390" s="89" t="s">
        <v>1153</v>
      </c>
      <c r="C2390" s="98" t="s">
        <v>2239</v>
      </c>
    </row>
    <row r="2391" spans="1:3" ht="15">
      <c r="A2391" s="90" t="s">
        <v>2135</v>
      </c>
      <c r="B2391" s="89" t="s">
        <v>1097</v>
      </c>
      <c r="C2391" s="98" t="s">
        <v>2239</v>
      </c>
    </row>
    <row r="2392" spans="1:3" ht="15">
      <c r="A2392" s="90" t="s">
        <v>2135</v>
      </c>
      <c r="B2392" s="89" t="s">
        <v>299</v>
      </c>
      <c r="C2392" s="98" t="s">
        <v>2239</v>
      </c>
    </row>
    <row r="2393" spans="1:3" ht="15">
      <c r="A2393" s="90" t="s">
        <v>2135</v>
      </c>
      <c r="B2393" s="89" t="s">
        <v>1155</v>
      </c>
      <c r="C2393" s="98" t="s">
        <v>2239</v>
      </c>
    </row>
    <row r="2394" spans="1:3" ht="15">
      <c r="A2394" s="90" t="s">
        <v>2135</v>
      </c>
      <c r="B2394" s="89" t="s">
        <v>1101</v>
      </c>
      <c r="C2394" s="98" t="s">
        <v>2239</v>
      </c>
    </row>
    <row r="2395" spans="1:3" ht="15">
      <c r="A2395" s="90" t="s">
        <v>248</v>
      </c>
      <c r="B2395" s="89" t="s">
        <v>2443</v>
      </c>
      <c r="C2395" s="98" t="s">
        <v>2201</v>
      </c>
    </row>
    <row r="2396" spans="1:3" ht="15">
      <c r="A2396" s="90" t="s">
        <v>248</v>
      </c>
      <c r="B2396" s="89" t="s">
        <v>1048</v>
      </c>
      <c r="C2396" s="98" t="s">
        <v>2201</v>
      </c>
    </row>
    <row r="2397" spans="1:3" ht="15">
      <c r="A2397" s="90" t="s">
        <v>248</v>
      </c>
      <c r="B2397" s="89" t="s">
        <v>2380</v>
      </c>
      <c r="C2397" s="98" t="s">
        <v>2201</v>
      </c>
    </row>
    <row r="2398" spans="1:3" ht="15">
      <c r="A2398" s="90" t="s">
        <v>248</v>
      </c>
      <c r="B2398" s="89" t="s">
        <v>1087</v>
      </c>
      <c r="C2398" s="98" t="s">
        <v>2201</v>
      </c>
    </row>
    <row r="2399" spans="1:3" ht="15">
      <c r="A2399" s="90" t="s">
        <v>248</v>
      </c>
      <c r="B2399" s="89" t="s">
        <v>2381</v>
      </c>
      <c r="C2399" s="98" t="s">
        <v>2201</v>
      </c>
    </row>
    <row r="2400" spans="1:3" ht="15">
      <c r="A2400" s="90" t="s">
        <v>248</v>
      </c>
      <c r="B2400" s="89" t="s">
        <v>2382</v>
      </c>
      <c r="C2400" s="98" t="s">
        <v>2201</v>
      </c>
    </row>
    <row r="2401" spans="1:3" ht="15">
      <c r="A2401" s="90" t="s">
        <v>248</v>
      </c>
      <c r="B2401" s="89" t="s">
        <v>2383</v>
      </c>
      <c r="C2401" s="98" t="s">
        <v>2201</v>
      </c>
    </row>
    <row r="2402" spans="1:3" ht="15">
      <c r="A2402" s="90" t="s">
        <v>248</v>
      </c>
      <c r="B2402" s="89" t="s">
        <v>1200</v>
      </c>
      <c r="C2402" s="98" t="s">
        <v>2201</v>
      </c>
    </row>
    <row r="2403" spans="1:3" ht="15">
      <c r="A2403" s="90" t="s">
        <v>248</v>
      </c>
      <c r="B2403" s="89" t="s">
        <v>2384</v>
      </c>
      <c r="C2403" s="98" t="s">
        <v>2201</v>
      </c>
    </row>
    <row r="2404" spans="1:3" ht="15">
      <c r="A2404" s="90" t="s">
        <v>248</v>
      </c>
      <c r="B2404" s="89" t="s">
        <v>2385</v>
      </c>
      <c r="C2404" s="98" t="s">
        <v>2201</v>
      </c>
    </row>
    <row r="2405" spans="1:3" ht="15">
      <c r="A2405" s="90" t="s">
        <v>248</v>
      </c>
      <c r="B2405" s="89" t="s">
        <v>949</v>
      </c>
      <c r="C2405" s="98" t="s">
        <v>2201</v>
      </c>
    </row>
    <row r="2406" spans="1:3" ht="15">
      <c r="A2406" s="90" t="s">
        <v>248</v>
      </c>
      <c r="B2406" s="89" t="s">
        <v>2386</v>
      </c>
      <c r="C2406" s="98" t="s">
        <v>2201</v>
      </c>
    </row>
    <row r="2407" spans="1:3" ht="15">
      <c r="A2407" s="90" t="s">
        <v>248</v>
      </c>
      <c r="B2407" s="89" t="s">
        <v>2387</v>
      </c>
      <c r="C2407" s="98" t="s">
        <v>2201</v>
      </c>
    </row>
    <row r="2408" spans="1:3" ht="15">
      <c r="A2408" s="90" t="s">
        <v>248</v>
      </c>
      <c r="B2408" s="89" t="s">
        <v>2444</v>
      </c>
      <c r="C2408" s="98" t="s">
        <v>2201</v>
      </c>
    </row>
    <row r="2409" spans="1:3" ht="15">
      <c r="A2409" s="90" t="s">
        <v>248</v>
      </c>
      <c r="B2409" s="89" t="s">
        <v>2389</v>
      </c>
      <c r="C2409" s="98" t="s">
        <v>2201</v>
      </c>
    </row>
    <row r="2410" spans="1:3" ht="15">
      <c r="A2410" s="90" t="s">
        <v>248</v>
      </c>
      <c r="B2410" s="89" t="s">
        <v>2390</v>
      </c>
      <c r="C2410" s="98" t="s">
        <v>2201</v>
      </c>
    </row>
    <row r="2411" spans="1:3" ht="15">
      <c r="A2411" s="90" t="s">
        <v>248</v>
      </c>
      <c r="B2411" s="89" t="s">
        <v>1568</v>
      </c>
      <c r="C2411" s="98" t="s">
        <v>2201</v>
      </c>
    </row>
    <row r="2412" spans="1:3" ht="15">
      <c r="A2412" s="90" t="s">
        <v>248</v>
      </c>
      <c r="B2412" s="89" t="s">
        <v>1153</v>
      </c>
      <c r="C2412" s="98" t="s">
        <v>2201</v>
      </c>
    </row>
    <row r="2413" spans="1:3" ht="15">
      <c r="A2413" s="90" t="s">
        <v>248</v>
      </c>
      <c r="B2413" s="89" t="s">
        <v>1097</v>
      </c>
      <c r="C2413" s="98" t="s">
        <v>2201</v>
      </c>
    </row>
    <row r="2414" spans="1:3" ht="15">
      <c r="A2414" s="90" t="s">
        <v>248</v>
      </c>
      <c r="B2414" s="89" t="s">
        <v>299</v>
      </c>
      <c r="C2414" s="98" t="s">
        <v>2201</v>
      </c>
    </row>
    <row r="2415" spans="1:3" ht="15">
      <c r="A2415" s="90" t="s">
        <v>248</v>
      </c>
      <c r="B2415" s="89" t="s">
        <v>1155</v>
      </c>
      <c r="C2415" s="98" t="s">
        <v>2201</v>
      </c>
    </row>
    <row r="2416" spans="1:3" ht="15">
      <c r="A2416" s="90" t="s">
        <v>248</v>
      </c>
      <c r="B2416" s="89" t="s">
        <v>1101</v>
      </c>
      <c r="C2416" s="98" t="s">
        <v>2201</v>
      </c>
    </row>
    <row r="2417" spans="1:3" ht="15">
      <c r="A2417" s="90" t="s">
        <v>260</v>
      </c>
      <c r="B2417" s="89" t="s">
        <v>338</v>
      </c>
      <c r="C2417" s="98" t="s">
        <v>476</v>
      </c>
    </row>
    <row r="2418" spans="1:3" ht="15">
      <c r="A2418" s="90" t="s">
        <v>260</v>
      </c>
      <c r="B2418" s="89" t="s">
        <v>1094</v>
      </c>
      <c r="C2418" s="98" t="s">
        <v>476</v>
      </c>
    </row>
    <row r="2419" spans="1:3" ht="15">
      <c r="A2419" s="90" t="s">
        <v>260</v>
      </c>
      <c r="B2419" s="89" t="s">
        <v>1092</v>
      </c>
      <c r="C2419" s="98" t="s">
        <v>476</v>
      </c>
    </row>
    <row r="2420" spans="1:3" ht="15">
      <c r="A2420" s="90" t="s">
        <v>260</v>
      </c>
      <c r="B2420" s="89" t="s">
        <v>945</v>
      </c>
      <c r="C2420" s="98" t="s">
        <v>476</v>
      </c>
    </row>
    <row r="2421" spans="1:3" ht="15">
      <c r="A2421" s="90" t="s">
        <v>260</v>
      </c>
      <c r="B2421" s="89" t="s">
        <v>966</v>
      </c>
      <c r="C2421" s="98" t="s">
        <v>476</v>
      </c>
    </row>
    <row r="2422" spans="1:3" ht="15">
      <c r="A2422" s="90" t="s">
        <v>260</v>
      </c>
      <c r="B2422" s="89" t="s">
        <v>934</v>
      </c>
      <c r="C2422" s="98" t="s">
        <v>476</v>
      </c>
    </row>
    <row r="2423" spans="1:3" ht="15">
      <c r="A2423" s="90" t="s">
        <v>260</v>
      </c>
      <c r="B2423" s="89" t="s">
        <v>1087</v>
      </c>
      <c r="C2423" s="98" t="s">
        <v>476</v>
      </c>
    </row>
    <row r="2424" spans="1:3" ht="15">
      <c r="A2424" s="90" t="s">
        <v>260</v>
      </c>
      <c r="B2424" s="89" t="s">
        <v>1088</v>
      </c>
      <c r="C2424" s="98" t="s">
        <v>476</v>
      </c>
    </row>
    <row r="2425" spans="1:3" ht="15">
      <c r="A2425" s="90" t="s">
        <v>260</v>
      </c>
      <c r="B2425" s="89" t="s">
        <v>1033</v>
      </c>
      <c r="C2425" s="98" t="s">
        <v>476</v>
      </c>
    </row>
    <row r="2426" spans="1:3" ht="15">
      <c r="A2426" s="90" t="s">
        <v>260</v>
      </c>
      <c r="B2426" s="89" t="s">
        <v>1034</v>
      </c>
      <c r="C2426" s="98" t="s">
        <v>476</v>
      </c>
    </row>
    <row r="2427" spans="1:3" ht="15">
      <c r="A2427" s="90" t="s">
        <v>260</v>
      </c>
      <c r="B2427" s="89" t="s">
        <v>1035</v>
      </c>
      <c r="C2427" s="98" t="s">
        <v>476</v>
      </c>
    </row>
    <row r="2428" spans="1:3" ht="15">
      <c r="A2428" s="90" t="s">
        <v>260</v>
      </c>
      <c r="B2428" s="89" t="s">
        <v>1097</v>
      </c>
      <c r="C2428" s="98" t="s">
        <v>476</v>
      </c>
    </row>
    <row r="2429" spans="1:3" ht="15">
      <c r="A2429" s="90" t="s">
        <v>260</v>
      </c>
      <c r="B2429" s="89" t="s">
        <v>1036</v>
      </c>
      <c r="C2429" s="98" t="s">
        <v>476</v>
      </c>
    </row>
    <row r="2430" spans="1:3" ht="15">
      <c r="A2430" s="90" t="s">
        <v>260</v>
      </c>
      <c r="B2430" s="89" t="s">
        <v>1086</v>
      </c>
      <c r="C2430" s="98" t="s">
        <v>476</v>
      </c>
    </row>
    <row r="2431" spans="1:3" ht="15">
      <c r="A2431" s="90" t="s">
        <v>260</v>
      </c>
      <c r="B2431" s="89" t="s">
        <v>1037</v>
      </c>
      <c r="C2431" s="98" t="s">
        <v>476</v>
      </c>
    </row>
    <row r="2432" spans="1:3" ht="15">
      <c r="A2432" s="90" t="s">
        <v>260</v>
      </c>
      <c r="B2432" s="89" t="s">
        <v>944</v>
      </c>
      <c r="C2432" s="98" t="s">
        <v>476</v>
      </c>
    </row>
    <row r="2433" spans="1:3" ht="15">
      <c r="A2433" s="90" t="s">
        <v>260</v>
      </c>
      <c r="B2433" s="89" t="s">
        <v>1154</v>
      </c>
      <c r="C2433" s="98" t="s">
        <v>476</v>
      </c>
    </row>
    <row r="2434" spans="1:3" ht="15">
      <c r="A2434" s="90" t="s">
        <v>260</v>
      </c>
      <c r="B2434" s="89" t="s">
        <v>1038</v>
      </c>
      <c r="C2434" s="98" t="s">
        <v>476</v>
      </c>
    </row>
    <row r="2435" spans="1:3" ht="15">
      <c r="A2435" s="90" t="s">
        <v>260</v>
      </c>
      <c r="B2435" s="89" t="s">
        <v>1039</v>
      </c>
      <c r="C2435" s="98" t="s">
        <v>476</v>
      </c>
    </row>
    <row r="2436" spans="1:3" ht="15">
      <c r="A2436" s="90" t="s">
        <v>260</v>
      </c>
      <c r="B2436" s="89" t="s">
        <v>965</v>
      </c>
      <c r="C2436" s="98" t="s">
        <v>476</v>
      </c>
    </row>
    <row r="2437" spans="1:3" ht="15">
      <c r="A2437" s="90" t="s">
        <v>260</v>
      </c>
      <c r="B2437" s="89" t="s">
        <v>1040</v>
      </c>
      <c r="C2437" s="98" t="s">
        <v>476</v>
      </c>
    </row>
    <row r="2438" spans="1:3" ht="15">
      <c r="A2438" s="90" t="s">
        <v>260</v>
      </c>
      <c r="B2438" s="89" t="s">
        <v>1041</v>
      </c>
      <c r="C2438" s="98" t="s">
        <v>476</v>
      </c>
    </row>
    <row r="2439" spans="1:3" ht="15">
      <c r="A2439" s="90" t="s">
        <v>260</v>
      </c>
      <c r="B2439" s="89" t="s">
        <v>1155</v>
      </c>
      <c r="C2439" s="98" t="s">
        <v>476</v>
      </c>
    </row>
    <row r="2440" spans="1:3" ht="15">
      <c r="A2440" s="90" t="s">
        <v>260</v>
      </c>
      <c r="B2440" s="89" t="s">
        <v>1042</v>
      </c>
      <c r="C2440" s="98" t="s">
        <v>476</v>
      </c>
    </row>
    <row r="2441" spans="1:3" ht="15">
      <c r="A2441" s="90" t="s">
        <v>260</v>
      </c>
      <c r="B2441" s="89" t="s">
        <v>1156</v>
      </c>
      <c r="C2441" s="98" t="s">
        <v>476</v>
      </c>
    </row>
    <row r="2442" spans="1:3" ht="15">
      <c r="A2442" s="90" t="s">
        <v>260</v>
      </c>
      <c r="B2442" s="89" t="s">
        <v>1043</v>
      </c>
      <c r="C2442" s="98" t="s">
        <v>476</v>
      </c>
    </row>
    <row r="2443" spans="1:3" ht="15">
      <c r="A2443" s="90" t="s">
        <v>248</v>
      </c>
      <c r="B2443" s="89" t="s">
        <v>1080</v>
      </c>
      <c r="C2443" s="98" t="s">
        <v>463</v>
      </c>
    </row>
    <row r="2444" spans="1:3" ht="15">
      <c r="A2444" s="90" t="s">
        <v>248</v>
      </c>
      <c r="B2444" s="89" t="s">
        <v>1081</v>
      </c>
      <c r="C2444" s="98" t="s">
        <v>463</v>
      </c>
    </row>
    <row r="2445" spans="1:3" ht="15">
      <c r="A2445" s="90" t="s">
        <v>248</v>
      </c>
      <c r="B2445" s="89" t="s">
        <v>1082</v>
      </c>
      <c r="C2445" s="98" t="s">
        <v>463</v>
      </c>
    </row>
    <row r="2446" spans="1:3" ht="15">
      <c r="A2446" s="90" t="s">
        <v>248</v>
      </c>
      <c r="B2446" s="89" t="s">
        <v>930</v>
      </c>
      <c r="C2446" s="98" t="s">
        <v>463</v>
      </c>
    </row>
    <row r="2447" spans="1:3" ht="15">
      <c r="A2447" s="90" t="s">
        <v>248</v>
      </c>
      <c r="B2447" s="89" t="s">
        <v>940</v>
      </c>
      <c r="C2447" s="98" t="s">
        <v>463</v>
      </c>
    </row>
    <row r="2448" spans="1:3" ht="15">
      <c r="A2448" s="90" t="s">
        <v>248</v>
      </c>
      <c r="B2448" s="89" t="s">
        <v>941</v>
      </c>
      <c r="C2448" s="98" t="s">
        <v>463</v>
      </c>
    </row>
    <row r="2449" spans="1:3" ht="15">
      <c r="A2449" s="90" t="s">
        <v>248</v>
      </c>
      <c r="B2449" s="89" t="s">
        <v>1083</v>
      </c>
      <c r="C2449" s="98" t="s">
        <v>463</v>
      </c>
    </row>
    <row r="2450" spans="1:3" ht="15">
      <c r="A2450" s="90" t="s">
        <v>248</v>
      </c>
      <c r="B2450" s="89" t="s">
        <v>931</v>
      </c>
      <c r="C2450" s="98" t="s">
        <v>463</v>
      </c>
    </row>
    <row r="2451" spans="1:3" ht="15">
      <c r="A2451" s="90" t="s">
        <v>248</v>
      </c>
      <c r="B2451" s="89" t="s">
        <v>1084</v>
      </c>
      <c r="C2451" s="98" t="s">
        <v>463</v>
      </c>
    </row>
    <row r="2452" spans="1:3" ht="15">
      <c r="A2452" s="90" t="s">
        <v>248</v>
      </c>
      <c r="B2452" s="89" t="s">
        <v>1085</v>
      </c>
      <c r="C2452" s="98" t="s">
        <v>463</v>
      </c>
    </row>
    <row r="2453" spans="1:3" ht="15">
      <c r="A2453" s="90" t="s">
        <v>248</v>
      </c>
      <c r="B2453" s="89" t="s">
        <v>1086</v>
      </c>
      <c r="C2453" s="98" t="s">
        <v>463</v>
      </c>
    </row>
    <row r="2454" spans="1:3" ht="15">
      <c r="A2454" s="90" t="s">
        <v>248</v>
      </c>
      <c r="B2454" s="89" t="s">
        <v>942</v>
      </c>
      <c r="C2454" s="98" t="s">
        <v>463</v>
      </c>
    </row>
    <row r="2455" spans="1:3" ht="15">
      <c r="A2455" s="90" t="s">
        <v>248</v>
      </c>
      <c r="B2455" s="89" t="s">
        <v>938</v>
      </c>
      <c r="C2455" s="98" t="s">
        <v>463</v>
      </c>
    </row>
    <row r="2456" spans="1:3" ht="15">
      <c r="A2456" s="90" t="s">
        <v>248</v>
      </c>
      <c r="B2456" s="89" t="s">
        <v>935</v>
      </c>
      <c r="C2456" s="98" t="s">
        <v>463</v>
      </c>
    </row>
    <row r="2457" spans="1:3" ht="15">
      <c r="A2457" s="90" t="s">
        <v>248</v>
      </c>
      <c r="B2457" s="89" t="s">
        <v>934</v>
      </c>
      <c r="C2457" s="98" t="s">
        <v>463</v>
      </c>
    </row>
    <row r="2458" spans="1:3" ht="15">
      <c r="A2458" s="90" t="s">
        <v>248</v>
      </c>
      <c r="B2458" s="89" t="s">
        <v>1087</v>
      </c>
      <c r="C2458" s="98" t="s">
        <v>463</v>
      </c>
    </row>
    <row r="2459" spans="1:3" ht="15">
      <c r="A2459" s="90" t="s">
        <v>248</v>
      </c>
      <c r="B2459" s="89" t="s">
        <v>1088</v>
      </c>
      <c r="C2459" s="98" t="s">
        <v>463</v>
      </c>
    </row>
    <row r="2460" spans="1:3" ht="15">
      <c r="A2460" s="90" t="s">
        <v>248</v>
      </c>
      <c r="B2460" s="89" t="s">
        <v>936</v>
      </c>
      <c r="C2460" s="98" t="s">
        <v>463</v>
      </c>
    </row>
    <row r="2461" spans="1:3" ht="15">
      <c r="A2461" s="90" t="s">
        <v>248</v>
      </c>
      <c r="B2461" s="89" t="s">
        <v>1089</v>
      </c>
      <c r="C2461" s="98" t="s">
        <v>463</v>
      </c>
    </row>
    <row r="2462" spans="1:3" ht="15">
      <c r="A2462" s="90" t="s">
        <v>248</v>
      </c>
      <c r="B2462" s="89" t="s">
        <v>943</v>
      </c>
      <c r="C2462" s="98" t="s">
        <v>463</v>
      </c>
    </row>
    <row r="2463" spans="1:3" ht="15">
      <c r="A2463" s="90" t="s">
        <v>248</v>
      </c>
      <c r="B2463" s="89" t="s">
        <v>1090</v>
      </c>
      <c r="C2463" s="98" t="s">
        <v>463</v>
      </c>
    </row>
    <row r="2464" spans="1:3" ht="15">
      <c r="A2464" s="90" t="s">
        <v>248</v>
      </c>
      <c r="B2464" s="89" t="s">
        <v>933</v>
      </c>
      <c r="C2464" s="98" t="s">
        <v>463</v>
      </c>
    </row>
    <row r="2465" spans="1:3" ht="15">
      <c r="A2465" s="90" t="s">
        <v>248</v>
      </c>
      <c r="B2465" s="89" t="s">
        <v>338</v>
      </c>
      <c r="C2465" s="98" t="s">
        <v>463</v>
      </c>
    </row>
    <row r="2466" spans="1:3" ht="15">
      <c r="A2466" s="90" t="s">
        <v>248</v>
      </c>
      <c r="B2466" s="89" t="s">
        <v>1091</v>
      </c>
      <c r="C2466" s="98" t="s">
        <v>463</v>
      </c>
    </row>
    <row r="2467" spans="1:3" ht="15">
      <c r="A2467" s="90" t="s">
        <v>248</v>
      </c>
      <c r="B2467" s="89" t="s">
        <v>299</v>
      </c>
      <c r="C2467" s="98" t="s">
        <v>463</v>
      </c>
    </row>
    <row r="2468" spans="1:3" ht="15">
      <c r="A2468" s="90" t="s">
        <v>247</v>
      </c>
      <c r="B2468" s="89" t="s">
        <v>1080</v>
      </c>
      <c r="C2468" s="98" t="s">
        <v>462</v>
      </c>
    </row>
    <row r="2469" spans="1:3" ht="15">
      <c r="A2469" s="90" t="s">
        <v>247</v>
      </c>
      <c r="B2469" s="89" t="s">
        <v>1081</v>
      </c>
      <c r="C2469" s="98" t="s">
        <v>462</v>
      </c>
    </row>
    <row r="2470" spans="1:3" ht="15">
      <c r="A2470" s="90" t="s">
        <v>247</v>
      </c>
      <c r="B2470" s="89" t="s">
        <v>1082</v>
      </c>
      <c r="C2470" s="98" t="s">
        <v>462</v>
      </c>
    </row>
    <row r="2471" spans="1:3" ht="15">
      <c r="A2471" s="90" t="s">
        <v>247</v>
      </c>
      <c r="B2471" s="89" t="s">
        <v>930</v>
      </c>
      <c r="C2471" s="98" t="s">
        <v>462</v>
      </c>
    </row>
    <row r="2472" spans="1:3" ht="15">
      <c r="A2472" s="90" t="s">
        <v>247</v>
      </c>
      <c r="B2472" s="89" t="s">
        <v>940</v>
      </c>
      <c r="C2472" s="98" t="s">
        <v>462</v>
      </c>
    </row>
    <row r="2473" spans="1:3" ht="15">
      <c r="A2473" s="90" t="s">
        <v>247</v>
      </c>
      <c r="B2473" s="89" t="s">
        <v>941</v>
      </c>
      <c r="C2473" s="98" t="s">
        <v>462</v>
      </c>
    </row>
    <row r="2474" spans="1:3" ht="15">
      <c r="A2474" s="90" t="s">
        <v>247</v>
      </c>
      <c r="B2474" s="89" t="s">
        <v>1083</v>
      </c>
      <c r="C2474" s="98" t="s">
        <v>462</v>
      </c>
    </row>
    <row r="2475" spans="1:3" ht="15">
      <c r="A2475" s="90" t="s">
        <v>247</v>
      </c>
      <c r="B2475" s="89" t="s">
        <v>931</v>
      </c>
      <c r="C2475" s="98" t="s">
        <v>462</v>
      </c>
    </row>
    <row r="2476" spans="1:3" ht="15">
      <c r="A2476" s="90" t="s">
        <v>247</v>
      </c>
      <c r="B2476" s="89" t="s">
        <v>1084</v>
      </c>
      <c r="C2476" s="98" t="s">
        <v>462</v>
      </c>
    </row>
    <row r="2477" spans="1:3" ht="15">
      <c r="A2477" s="90" t="s">
        <v>247</v>
      </c>
      <c r="B2477" s="89" t="s">
        <v>1085</v>
      </c>
      <c r="C2477" s="98" t="s">
        <v>462</v>
      </c>
    </row>
    <row r="2478" spans="1:3" ht="15">
      <c r="A2478" s="90" t="s">
        <v>247</v>
      </c>
      <c r="B2478" s="89" t="s">
        <v>1086</v>
      </c>
      <c r="C2478" s="98" t="s">
        <v>462</v>
      </c>
    </row>
    <row r="2479" spans="1:3" ht="15">
      <c r="A2479" s="90" t="s">
        <v>247</v>
      </c>
      <c r="B2479" s="89" t="s">
        <v>942</v>
      </c>
      <c r="C2479" s="98" t="s">
        <v>462</v>
      </c>
    </row>
    <row r="2480" spans="1:3" ht="15">
      <c r="A2480" s="90" t="s">
        <v>247</v>
      </c>
      <c r="B2480" s="89" t="s">
        <v>938</v>
      </c>
      <c r="C2480" s="98" t="s">
        <v>462</v>
      </c>
    </row>
    <row r="2481" spans="1:3" ht="15">
      <c r="A2481" s="90" t="s">
        <v>247</v>
      </c>
      <c r="B2481" s="89" t="s">
        <v>935</v>
      </c>
      <c r="C2481" s="98" t="s">
        <v>462</v>
      </c>
    </row>
    <row r="2482" spans="1:3" ht="15">
      <c r="A2482" s="90" t="s">
        <v>247</v>
      </c>
      <c r="B2482" s="89" t="s">
        <v>934</v>
      </c>
      <c r="C2482" s="98" t="s">
        <v>462</v>
      </c>
    </row>
    <row r="2483" spans="1:3" ht="15">
      <c r="A2483" s="90" t="s">
        <v>247</v>
      </c>
      <c r="B2483" s="89" t="s">
        <v>1087</v>
      </c>
      <c r="C2483" s="98" t="s">
        <v>462</v>
      </c>
    </row>
    <row r="2484" spans="1:3" ht="15">
      <c r="A2484" s="90" t="s">
        <v>247</v>
      </c>
      <c r="B2484" s="89" t="s">
        <v>1088</v>
      </c>
      <c r="C2484" s="98" t="s">
        <v>462</v>
      </c>
    </row>
    <row r="2485" spans="1:3" ht="15">
      <c r="A2485" s="90" t="s">
        <v>247</v>
      </c>
      <c r="B2485" s="89" t="s">
        <v>936</v>
      </c>
      <c r="C2485" s="98" t="s">
        <v>462</v>
      </c>
    </row>
    <row r="2486" spans="1:3" ht="15">
      <c r="A2486" s="90" t="s">
        <v>247</v>
      </c>
      <c r="B2486" s="89" t="s">
        <v>1089</v>
      </c>
      <c r="C2486" s="98" t="s">
        <v>462</v>
      </c>
    </row>
    <row r="2487" spans="1:3" ht="15">
      <c r="A2487" s="90" t="s">
        <v>247</v>
      </c>
      <c r="B2487" s="89" t="s">
        <v>943</v>
      </c>
      <c r="C2487" s="98" t="s">
        <v>462</v>
      </c>
    </row>
    <row r="2488" spans="1:3" ht="15">
      <c r="A2488" s="90" t="s">
        <v>247</v>
      </c>
      <c r="B2488" s="89" t="s">
        <v>1090</v>
      </c>
      <c r="C2488" s="98" t="s">
        <v>462</v>
      </c>
    </row>
    <row r="2489" spans="1:3" ht="15">
      <c r="A2489" s="90" t="s">
        <v>247</v>
      </c>
      <c r="B2489" s="89" t="s">
        <v>933</v>
      </c>
      <c r="C2489" s="98" t="s">
        <v>462</v>
      </c>
    </row>
    <row r="2490" spans="1:3" ht="15">
      <c r="A2490" s="90" t="s">
        <v>247</v>
      </c>
      <c r="B2490" s="89" t="s">
        <v>338</v>
      </c>
      <c r="C2490" s="98" t="s">
        <v>462</v>
      </c>
    </row>
    <row r="2491" spans="1:3" ht="15">
      <c r="A2491" s="90" t="s">
        <v>247</v>
      </c>
      <c r="B2491" s="89" t="s">
        <v>1091</v>
      </c>
      <c r="C2491" s="98" t="s">
        <v>462</v>
      </c>
    </row>
    <row r="2492" spans="1:3" ht="15">
      <c r="A2492" s="90" t="s">
        <v>247</v>
      </c>
      <c r="B2492" s="89" t="s">
        <v>299</v>
      </c>
      <c r="C2492" s="98" t="s">
        <v>462</v>
      </c>
    </row>
    <row r="2493" spans="1:3" ht="15">
      <c r="A2493" s="90" t="s">
        <v>293</v>
      </c>
      <c r="B2493" s="89" t="s">
        <v>1121</v>
      </c>
      <c r="C2493" s="98" t="s">
        <v>517</v>
      </c>
    </row>
    <row r="2494" spans="1:3" ht="15">
      <c r="A2494" s="90" t="s">
        <v>293</v>
      </c>
      <c r="B2494" s="89" t="s">
        <v>303</v>
      </c>
      <c r="C2494" s="98" t="s">
        <v>517</v>
      </c>
    </row>
    <row r="2495" spans="1:3" ht="15">
      <c r="A2495" s="90" t="s">
        <v>293</v>
      </c>
      <c r="B2495" s="89" t="s">
        <v>951</v>
      </c>
      <c r="C2495" s="98" t="s">
        <v>517</v>
      </c>
    </row>
    <row r="2496" spans="1:3" ht="15">
      <c r="A2496" s="90" t="s">
        <v>293</v>
      </c>
      <c r="B2496" s="89">
        <v>12</v>
      </c>
      <c r="C2496" s="98" t="s">
        <v>517</v>
      </c>
    </row>
    <row r="2497" spans="1:3" ht="15">
      <c r="A2497" s="90" t="s">
        <v>293</v>
      </c>
      <c r="B2497" s="89">
        <v>18</v>
      </c>
      <c r="C2497" s="98" t="s">
        <v>517</v>
      </c>
    </row>
    <row r="2498" spans="1:3" ht="15">
      <c r="A2498" s="90" t="s">
        <v>293</v>
      </c>
      <c r="B2498" s="89" t="s">
        <v>954</v>
      </c>
      <c r="C2498" s="98" t="s">
        <v>517</v>
      </c>
    </row>
    <row r="2499" spans="1:3" ht="15">
      <c r="A2499" s="90" t="s">
        <v>293</v>
      </c>
      <c r="B2499" s="89" t="s">
        <v>1122</v>
      </c>
      <c r="C2499" s="98" t="s">
        <v>517</v>
      </c>
    </row>
    <row r="2500" spans="1:3" ht="15">
      <c r="A2500" s="90" t="s">
        <v>293</v>
      </c>
      <c r="B2500" s="89" t="s">
        <v>944</v>
      </c>
      <c r="C2500" s="98" t="s">
        <v>517</v>
      </c>
    </row>
    <row r="2501" spans="1:3" ht="15">
      <c r="A2501" s="90" t="s">
        <v>293</v>
      </c>
      <c r="B2501" s="89" t="s">
        <v>955</v>
      </c>
      <c r="C2501" s="98" t="s">
        <v>517</v>
      </c>
    </row>
    <row r="2502" spans="1:3" ht="15">
      <c r="A2502" s="90" t="s">
        <v>293</v>
      </c>
      <c r="B2502" s="89" t="s">
        <v>956</v>
      </c>
      <c r="C2502" s="98" t="s">
        <v>517</v>
      </c>
    </row>
    <row r="2503" spans="1:3" ht="15">
      <c r="A2503" s="90" t="s">
        <v>293</v>
      </c>
      <c r="B2503" s="89" t="s">
        <v>957</v>
      </c>
      <c r="C2503" s="98" t="s">
        <v>517</v>
      </c>
    </row>
    <row r="2504" spans="1:3" ht="15">
      <c r="A2504" s="90" t="s">
        <v>293</v>
      </c>
      <c r="B2504" s="89" t="s">
        <v>1116</v>
      </c>
      <c r="C2504" s="98" t="s">
        <v>517</v>
      </c>
    </row>
    <row r="2505" spans="1:3" ht="15">
      <c r="A2505" s="90" t="s">
        <v>293</v>
      </c>
      <c r="B2505" s="89" t="s">
        <v>1117</v>
      </c>
      <c r="C2505" s="98" t="s">
        <v>517</v>
      </c>
    </row>
    <row r="2506" spans="1:3" ht="15">
      <c r="A2506" s="90" t="s">
        <v>293</v>
      </c>
      <c r="B2506" s="89" t="s">
        <v>948</v>
      </c>
      <c r="C2506" s="98" t="s">
        <v>517</v>
      </c>
    </row>
    <row r="2507" spans="1:3" ht="15">
      <c r="A2507" s="90" t="s">
        <v>293</v>
      </c>
      <c r="B2507" s="89" t="s">
        <v>958</v>
      </c>
      <c r="C2507" s="98" t="s">
        <v>517</v>
      </c>
    </row>
    <row r="2508" spans="1:3" ht="15">
      <c r="A2508" s="90" t="s">
        <v>293</v>
      </c>
      <c r="B2508" s="89" t="s">
        <v>338</v>
      </c>
      <c r="C2508" s="98" t="s">
        <v>517</v>
      </c>
    </row>
    <row r="2509" spans="1:3" ht="15">
      <c r="A2509" s="90" t="s">
        <v>246</v>
      </c>
      <c r="B2509" s="89" t="s">
        <v>1121</v>
      </c>
      <c r="C2509" s="98" t="s">
        <v>461</v>
      </c>
    </row>
    <row r="2510" spans="1:3" ht="15">
      <c r="A2510" s="90" t="s">
        <v>246</v>
      </c>
      <c r="B2510" s="89" t="s">
        <v>303</v>
      </c>
      <c r="C2510" s="98" t="s">
        <v>461</v>
      </c>
    </row>
    <row r="2511" spans="1:3" ht="15">
      <c r="A2511" s="90" t="s">
        <v>246</v>
      </c>
      <c r="B2511" s="89" t="s">
        <v>951</v>
      </c>
      <c r="C2511" s="98" t="s">
        <v>461</v>
      </c>
    </row>
    <row r="2512" spans="1:3" ht="15">
      <c r="A2512" s="90" t="s">
        <v>246</v>
      </c>
      <c r="B2512" s="89">
        <v>12</v>
      </c>
      <c r="C2512" s="98" t="s">
        <v>461</v>
      </c>
    </row>
    <row r="2513" spans="1:3" ht="15">
      <c r="A2513" s="90" t="s">
        <v>246</v>
      </c>
      <c r="B2513" s="89">
        <v>18</v>
      </c>
      <c r="C2513" s="98" t="s">
        <v>461</v>
      </c>
    </row>
    <row r="2514" spans="1:3" ht="15">
      <c r="A2514" s="90" t="s">
        <v>246</v>
      </c>
      <c r="B2514" s="89" t="s">
        <v>954</v>
      </c>
      <c r="C2514" s="98" t="s">
        <v>461</v>
      </c>
    </row>
    <row r="2515" spans="1:3" ht="15">
      <c r="A2515" s="90" t="s">
        <v>246</v>
      </c>
      <c r="B2515" s="89" t="s">
        <v>1122</v>
      </c>
      <c r="C2515" s="98" t="s">
        <v>461</v>
      </c>
    </row>
    <row r="2516" spans="1:3" ht="15">
      <c r="A2516" s="90" t="s">
        <v>246</v>
      </c>
      <c r="B2516" s="89" t="s">
        <v>944</v>
      </c>
      <c r="C2516" s="98" t="s">
        <v>461</v>
      </c>
    </row>
    <row r="2517" spans="1:3" ht="15">
      <c r="A2517" s="90" t="s">
        <v>246</v>
      </c>
      <c r="B2517" s="89" t="s">
        <v>955</v>
      </c>
      <c r="C2517" s="98" t="s">
        <v>461</v>
      </c>
    </row>
    <row r="2518" spans="1:3" ht="15">
      <c r="A2518" s="90" t="s">
        <v>246</v>
      </c>
      <c r="B2518" s="89" t="s">
        <v>956</v>
      </c>
      <c r="C2518" s="98" t="s">
        <v>461</v>
      </c>
    </row>
    <row r="2519" spans="1:3" ht="15">
      <c r="A2519" s="90" t="s">
        <v>246</v>
      </c>
      <c r="B2519" s="89" t="s">
        <v>957</v>
      </c>
      <c r="C2519" s="98" t="s">
        <v>461</v>
      </c>
    </row>
    <row r="2520" spans="1:3" ht="15">
      <c r="A2520" s="90" t="s">
        <v>246</v>
      </c>
      <c r="B2520" s="89" t="s">
        <v>1116</v>
      </c>
      <c r="C2520" s="98" t="s">
        <v>461</v>
      </c>
    </row>
    <row r="2521" spans="1:3" ht="15">
      <c r="A2521" s="90" t="s">
        <v>246</v>
      </c>
      <c r="B2521" s="89" t="s">
        <v>1117</v>
      </c>
      <c r="C2521" s="98" t="s">
        <v>461</v>
      </c>
    </row>
    <row r="2522" spans="1:3" ht="15">
      <c r="A2522" s="90" t="s">
        <v>246</v>
      </c>
      <c r="B2522" s="89" t="s">
        <v>948</v>
      </c>
      <c r="C2522" s="98" t="s">
        <v>461</v>
      </c>
    </row>
    <row r="2523" spans="1:3" ht="15">
      <c r="A2523" s="90" t="s">
        <v>246</v>
      </c>
      <c r="B2523" s="89" t="s">
        <v>958</v>
      </c>
      <c r="C2523" s="98" t="s">
        <v>461</v>
      </c>
    </row>
    <row r="2524" spans="1:3" ht="15">
      <c r="A2524" s="90" t="s">
        <v>246</v>
      </c>
      <c r="B2524" s="89" t="s">
        <v>338</v>
      </c>
      <c r="C2524" s="98" t="s">
        <v>461</v>
      </c>
    </row>
    <row r="2525" spans="1:3" ht="15">
      <c r="A2525" s="90" t="s">
        <v>245</v>
      </c>
      <c r="B2525" s="89" t="s">
        <v>1080</v>
      </c>
      <c r="C2525" s="98" t="s">
        <v>460</v>
      </c>
    </row>
    <row r="2526" spans="1:3" ht="15">
      <c r="A2526" s="90" t="s">
        <v>245</v>
      </c>
      <c r="B2526" s="89" t="s">
        <v>1081</v>
      </c>
      <c r="C2526" s="98" t="s">
        <v>460</v>
      </c>
    </row>
    <row r="2527" spans="1:3" ht="15">
      <c r="A2527" s="90" t="s">
        <v>245</v>
      </c>
      <c r="B2527" s="89" t="s">
        <v>1082</v>
      </c>
      <c r="C2527" s="98" t="s">
        <v>460</v>
      </c>
    </row>
    <row r="2528" spans="1:3" ht="15">
      <c r="A2528" s="90" t="s">
        <v>245</v>
      </c>
      <c r="B2528" s="89" t="s">
        <v>930</v>
      </c>
      <c r="C2528" s="98" t="s">
        <v>460</v>
      </c>
    </row>
    <row r="2529" spans="1:3" ht="15">
      <c r="A2529" s="90" t="s">
        <v>245</v>
      </c>
      <c r="B2529" s="89" t="s">
        <v>940</v>
      </c>
      <c r="C2529" s="98" t="s">
        <v>460</v>
      </c>
    </row>
    <row r="2530" spans="1:3" ht="15">
      <c r="A2530" s="90" t="s">
        <v>245</v>
      </c>
      <c r="B2530" s="89" t="s">
        <v>941</v>
      </c>
      <c r="C2530" s="98" t="s">
        <v>460</v>
      </c>
    </row>
    <row r="2531" spans="1:3" ht="15">
      <c r="A2531" s="90" t="s">
        <v>245</v>
      </c>
      <c r="B2531" s="89" t="s">
        <v>1083</v>
      </c>
      <c r="C2531" s="98" t="s">
        <v>460</v>
      </c>
    </row>
    <row r="2532" spans="1:3" ht="15">
      <c r="A2532" s="90" t="s">
        <v>245</v>
      </c>
      <c r="B2532" s="89" t="s">
        <v>931</v>
      </c>
      <c r="C2532" s="98" t="s">
        <v>460</v>
      </c>
    </row>
    <row r="2533" spans="1:3" ht="15">
      <c r="A2533" s="90" t="s">
        <v>245</v>
      </c>
      <c r="B2533" s="89" t="s">
        <v>1084</v>
      </c>
      <c r="C2533" s="98" t="s">
        <v>460</v>
      </c>
    </row>
    <row r="2534" spans="1:3" ht="15">
      <c r="A2534" s="90" t="s">
        <v>245</v>
      </c>
      <c r="B2534" s="89" t="s">
        <v>1085</v>
      </c>
      <c r="C2534" s="98" t="s">
        <v>460</v>
      </c>
    </row>
    <row r="2535" spans="1:3" ht="15">
      <c r="A2535" s="90" t="s">
        <v>245</v>
      </c>
      <c r="B2535" s="89" t="s">
        <v>1086</v>
      </c>
      <c r="C2535" s="98" t="s">
        <v>460</v>
      </c>
    </row>
    <row r="2536" spans="1:3" ht="15">
      <c r="A2536" s="90" t="s">
        <v>245</v>
      </c>
      <c r="B2536" s="89" t="s">
        <v>942</v>
      </c>
      <c r="C2536" s="98" t="s">
        <v>460</v>
      </c>
    </row>
    <row r="2537" spans="1:3" ht="15">
      <c r="A2537" s="90" t="s">
        <v>245</v>
      </c>
      <c r="B2537" s="89" t="s">
        <v>938</v>
      </c>
      <c r="C2537" s="98" t="s">
        <v>460</v>
      </c>
    </row>
    <row r="2538" spans="1:3" ht="15">
      <c r="A2538" s="90" t="s">
        <v>245</v>
      </c>
      <c r="B2538" s="89" t="s">
        <v>935</v>
      </c>
      <c r="C2538" s="98" t="s">
        <v>460</v>
      </c>
    </row>
    <row r="2539" spans="1:3" ht="15">
      <c r="A2539" s="90" t="s">
        <v>245</v>
      </c>
      <c r="B2539" s="89" t="s">
        <v>934</v>
      </c>
      <c r="C2539" s="98" t="s">
        <v>460</v>
      </c>
    </row>
    <row r="2540" spans="1:3" ht="15">
      <c r="A2540" s="90" t="s">
        <v>245</v>
      </c>
      <c r="B2540" s="89" t="s">
        <v>1087</v>
      </c>
      <c r="C2540" s="98" t="s">
        <v>460</v>
      </c>
    </row>
    <row r="2541" spans="1:3" ht="15">
      <c r="A2541" s="90" t="s">
        <v>245</v>
      </c>
      <c r="B2541" s="89" t="s">
        <v>1088</v>
      </c>
      <c r="C2541" s="98" t="s">
        <v>460</v>
      </c>
    </row>
    <row r="2542" spans="1:3" ht="15">
      <c r="A2542" s="90" t="s">
        <v>245</v>
      </c>
      <c r="B2542" s="89" t="s">
        <v>936</v>
      </c>
      <c r="C2542" s="98" t="s">
        <v>460</v>
      </c>
    </row>
    <row r="2543" spans="1:3" ht="15">
      <c r="A2543" s="90" t="s">
        <v>245</v>
      </c>
      <c r="B2543" s="89" t="s">
        <v>1089</v>
      </c>
      <c r="C2543" s="98" t="s">
        <v>460</v>
      </c>
    </row>
    <row r="2544" spans="1:3" ht="15">
      <c r="A2544" s="90" t="s">
        <v>245</v>
      </c>
      <c r="B2544" s="89" t="s">
        <v>943</v>
      </c>
      <c r="C2544" s="98" t="s">
        <v>460</v>
      </c>
    </row>
    <row r="2545" spans="1:3" ht="15">
      <c r="A2545" s="90" t="s">
        <v>245</v>
      </c>
      <c r="B2545" s="89" t="s">
        <v>1090</v>
      </c>
      <c r="C2545" s="98" t="s">
        <v>460</v>
      </c>
    </row>
    <row r="2546" spans="1:3" ht="15">
      <c r="A2546" s="90" t="s">
        <v>245</v>
      </c>
      <c r="B2546" s="89" t="s">
        <v>933</v>
      </c>
      <c r="C2546" s="98" t="s">
        <v>460</v>
      </c>
    </row>
    <row r="2547" spans="1:3" ht="15">
      <c r="A2547" s="90" t="s">
        <v>245</v>
      </c>
      <c r="B2547" s="89" t="s">
        <v>338</v>
      </c>
      <c r="C2547" s="98" t="s">
        <v>460</v>
      </c>
    </row>
    <row r="2548" spans="1:3" ht="15">
      <c r="A2548" s="90" t="s">
        <v>245</v>
      </c>
      <c r="B2548" s="89" t="s">
        <v>1091</v>
      </c>
      <c r="C2548" s="98" t="s">
        <v>460</v>
      </c>
    </row>
    <row r="2549" spans="1:3" ht="15">
      <c r="A2549" s="90" t="s">
        <v>245</v>
      </c>
      <c r="B2549" s="89" t="s">
        <v>299</v>
      </c>
      <c r="C2549" s="98" t="s">
        <v>460</v>
      </c>
    </row>
    <row r="2550" spans="1:3" ht="15">
      <c r="A2550" s="90" t="s">
        <v>244</v>
      </c>
      <c r="B2550" s="89" t="s">
        <v>1167</v>
      </c>
      <c r="C2550" s="98" t="s">
        <v>459</v>
      </c>
    </row>
    <row r="2551" spans="1:3" ht="15">
      <c r="A2551" s="90" t="s">
        <v>244</v>
      </c>
      <c r="B2551" s="89" t="s">
        <v>1094</v>
      </c>
      <c r="C2551" s="98" t="s">
        <v>459</v>
      </c>
    </row>
    <row r="2552" spans="1:3" ht="15">
      <c r="A2552" s="90" t="s">
        <v>244</v>
      </c>
      <c r="B2552" s="89" t="s">
        <v>1168</v>
      </c>
      <c r="C2552" s="98" t="s">
        <v>459</v>
      </c>
    </row>
    <row r="2553" spans="1:3" ht="15">
      <c r="A2553" s="90" t="s">
        <v>244</v>
      </c>
      <c r="B2553" s="89" t="s">
        <v>1169</v>
      </c>
      <c r="C2553" s="98" t="s">
        <v>459</v>
      </c>
    </row>
    <row r="2554" spans="1:3" ht="15">
      <c r="A2554" s="90" t="s">
        <v>244</v>
      </c>
      <c r="B2554" s="89" t="s">
        <v>1170</v>
      </c>
      <c r="C2554" s="98" t="s">
        <v>459</v>
      </c>
    </row>
    <row r="2555" spans="1:3" ht="15">
      <c r="A2555" s="90" t="s">
        <v>244</v>
      </c>
      <c r="B2555" s="89" t="s">
        <v>1171</v>
      </c>
      <c r="C2555" s="98" t="s">
        <v>459</v>
      </c>
    </row>
    <row r="2556" spans="1:3" ht="15">
      <c r="A2556" s="90" t="s">
        <v>244</v>
      </c>
      <c r="B2556" s="89" t="s">
        <v>1172</v>
      </c>
      <c r="C2556" s="98" t="s">
        <v>459</v>
      </c>
    </row>
    <row r="2557" spans="1:3" ht="15">
      <c r="A2557" s="90" t="s">
        <v>244</v>
      </c>
      <c r="B2557" s="89" t="s">
        <v>1173</v>
      </c>
      <c r="C2557" s="98" t="s">
        <v>459</v>
      </c>
    </row>
    <row r="2558" spans="1:3" ht="15">
      <c r="A2558" s="90" t="s">
        <v>244</v>
      </c>
      <c r="B2558" s="89" t="s">
        <v>299</v>
      </c>
      <c r="C2558" s="98" t="s">
        <v>459</v>
      </c>
    </row>
    <row r="2559" spans="1:3" ht="15">
      <c r="A2559" s="90" t="s">
        <v>244</v>
      </c>
      <c r="B2559" s="89" t="s">
        <v>1174</v>
      </c>
      <c r="C2559" s="98" t="s">
        <v>459</v>
      </c>
    </row>
    <row r="2560" spans="1:3" ht="15">
      <c r="A2560" s="90" t="s">
        <v>244</v>
      </c>
      <c r="B2560" s="89" t="s">
        <v>1087</v>
      </c>
      <c r="C2560" s="98" t="s">
        <v>459</v>
      </c>
    </row>
    <row r="2561" spans="1:3" ht="15">
      <c r="A2561" s="90" t="s">
        <v>244</v>
      </c>
      <c r="B2561" s="89" t="s">
        <v>1175</v>
      </c>
      <c r="C2561" s="98" t="s">
        <v>459</v>
      </c>
    </row>
    <row r="2562" spans="1:3" ht="15">
      <c r="A2562" s="90" t="s">
        <v>244</v>
      </c>
      <c r="B2562" s="89" t="s">
        <v>1176</v>
      </c>
      <c r="C2562" s="98" t="s">
        <v>459</v>
      </c>
    </row>
    <row r="2563" spans="1:3" ht="15">
      <c r="A2563" s="90" t="s">
        <v>244</v>
      </c>
      <c r="B2563" s="89" t="s">
        <v>1177</v>
      </c>
      <c r="C2563" s="98" t="s">
        <v>459</v>
      </c>
    </row>
    <row r="2564" spans="1:3" ht="15">
      <c r="A2564" s="90" t="s">
        <v>244</v>
      </c>
      <c r="B2564" s="89" t="s">
        <v>1178</v>
      </c>
      <c r="C2564" s="98" t="s">
        <v>459</v>
      </c>
    </row>
    <row r="2565" spans="1:3" ht="15">
      <c r="A2565" s="90" t="s">
        <v>244</v>
      </c>
      <c r="B2565" s="89" t="s">
        <v>338</v>
      </c>
      <c r="C2565" s="98" t="s">
        <v>459</v>
      </c>
    </row>
    <row r="2566" spans="1:3" ht="15">
      <c r="A2566" s="90" t="s">
        <v>244</v>
      </c>
      <c r="B2566" s="89" t="s">
        <v>1179</v>
      </c>
      <c r="C2566" s="98" t="s">
        <v>459</v>
      </c>
    </row>
    <row r="2567" spans="1:3" ht="15">
      <c r="A2567" s="90" t="s">
        <v>244</v>
      </c>
      <c r="B2567" s="89" t="s">
        <v>1028</v>
      </c>
      <c r="C2567" s="98" t="s">
        <v>459</v>
      </c>
    </row>
    <row r="2568" spans="1:3" ht="15">
      <c r="A2568" s="90" t="s">
        <v>244</v>
      </c>
      <c r="B2568" s="89" t="s">
        <v>930</v>
      </c>
      <c r="C2568" s="98" t="s">
        <v>459</v>
      </c>
    </row>
    <row r="2569" spans="1:3" ht="15">
      <c r="A2569" s="90" t="s">
        <v>243</v>
      </c>
      <c r="B2569" s="89" t="s">
        <v>1080</v>
      </c>
      <c r="C2569" s="98" t="s">
        <v>458</v>
      </c>
    </row>
    <row r="2570" spans="1:3" ht="15">
      <c r="A2570" s="90" t="s">
        <v>243</v>
      </c>
      <c r="B2570" s="89" t="s">
        <v>1081</v>
      </c>
      <c r="C2570" s="98" t="s">
        <v>458</v>
      </c>
    </row>
    <row r="2571" spans="1:3" ht="15">
      <c r="A2571" s="90" t="s">
        <v>243</v>
      </c>
      <c r="B2571" s="89" t="s">
        <v>1082</v>
      </c>
      <c r="C2571" s="98" t="s">
        <v>458</v>
      </c>
    </row>
    <row r="2572" spans="1:3" ht="15">
      <c r="A2572" s="90" t="s">
        <v>243</v>
      </c>
      <c r="B2572" s="89" t="s">
        <v>930</v>
      </c>
      <c r="C2572" s="98" t="s">
        <v>458</v>
      </c>
    </row>
    <row r="2573" spans="1:3" ht="15">
      <c r="A2573" s="90" t="s">
        <v>243</v>
      </c>
      <c r="B2573" s="89" t="s">
        <v>940</v>
      </c>
      <c r="C2573" s="98" t="s">
        <v>458</v>
      </c>
    </row>
    <row r="2574" spans="1:3" ht="15">
      <c r="A2574" s="90" t="s">
        <v>243</v>
      </c>
      <c r="B2574" s="89" t="s">
        <v>941</v>
      </c>
      <c r="C2574" s="98" t="s">
        <v>458</v>
      </c>
    </row>
    <row r="2575" spans="1:3" ht="15">
      <c r="A2575" s="90" t="s">
        <v>243</v>
      </c>
      <c r="B2575" s="89" t="s">
        <v>1083</v>
      </c>
      <c r="C2575" s="98" t="s">
        <v>458</v>
      </c>
    </row>
    <row r="2576" spans="1:3" ht="15">
      <c r="A2576" s="90" t="s">
        <v>243</v>
      </c>
      <c r="B2576" s="89" t="s">
        <v>931</v>
      </c>
      <c r="C2576" s="98" t="s">
        <v>458</v>
      </c>
    </row>
    <row r="2577" spans="1:3" ht="15">
      <c r="A2577" s="90" t="s">
        <v>243</v>
      </c>
      <c r="B2577" s="89" t="s">
        <v>1084</v>
      </c>
      <c r="C2577" s="98" t="s">
        <v>458</v>
      </c>
    </row>
    <row r="2578" spans="1:3" ht="15">
      <c r="A2578" s="90" t="s">
        <v>243</v>
      </c>
      <c r="B2578" s="89" t="s">
        <v>1085</v>
      </c>
      <c r="C2578" s="98" t="s">
        <v>458</v>
      </c>
    </row>
    <row r="2579" spans="1:3" ht="15">
      <c r="A2579" s="90" t="s">
        <v>243</v>
      </c>
      <c r="B2579" s="89" t="s">
        <v>1086</v>
      </c>
      <c r="C2579" s="98" t="s">
        <v>458</v>
      </c>
    </row>
    <row r="2580" spans="1:3" ht="15">
      <c r="A2580" s="90" t="s">
        <v>243</v>
      </c>
      <c r="B2580" s="89" t="s">
        <v>942</v>
      </c>
      <c r="C2580" s="98" t="s">
        <v>458</v>
      </c>
    </row>
    <row r="2581" spans="1:3" ht="15">
      <c r="A2581" s="90" t="s">
        <v>243</v>
      </c>
      <c r="B2581" s="89" t="s">
        <v>938</v>
      </c>
      <c r="C2581" s="98" t="s">
        <v>458</v>
      </c>
    </row>
    <row r="2582" spans="1:3" ht="15">
      <c r="A2582" s="90" t="s">
        <v>243</v>
      </c>
      <c r="B2582" s="89" t="s">
        <v>935</v>
      </c>
      <c r="C2582" s="98" t="s">
        <v>458</v>
      </c>
    </row>
    <row r="2583" spans="1:3" ht="15">
      <c r="A2583" s="90" t="s">
        <v>243</v>
      </c>
      <c r="B2583" s="89" t="s">
        <v>934</v>
      </c>
      <c r="C2583" s="98" t="s">
        <v>458</v>
      </c>
    </row>
    <row r="2584" spans="1:3" ht="15">
      <c r="A2584" s="90" t="s">
        <v>243</v>
      </c>
      <c r="B2584" s="89" t="s">
        <v>1087</v>
      </c>
      <c r="C2584" s="98" t="s">
        <v>458</v>
      </c>
    </row>
    <row r="2585" spans="1:3" ht="15">
      <c r="A2585" s="90" t="s">
        <v>243</v>
      </c>
      <c r="B2585" s="89" t="s">
        <v>1088</v>
      </c>
      <c r="C2585" s="98" t="s">
        <v>458</v>
      </c>
    </row>
    <row r="2586" spans="1:3" ht="15">
      <c r="A2586" s="90" t="s">
        <v>243</v>
      </c>
      <c r="B2586" s="89" t="s">
        <v>936</v>
      </c>
      <c r="C2586" s="98" t="s">
        <v>458</v>
      </c>
    </row>
    <row r="2587" spans="1:3" ht="15">
      <c r="A2587" s="90" t="s">
        <v>243</v>
      </c>
      <c r="B2587" s="89" t="s">
        <v>1089</v>
      </c>
      <c r="C2587" s="98" t="s">
        <v>458</v>
      </c>
    </row>
    <row r="2588" spans="1:3" ht="15">
      <c r="A2588" s="90" t="s">
        <v>243</v>
      </c>
      <c r="B2588" s="89" t="s">
        <v>943</v>
      </c>
      <c r="C2588" s="98" t="s">
        <v>458</v>
      </c>
    </row>
    <row r="2589" spans="1:3" ht="15">
      <c r="A2589" s="90" t="s">
        <v>243</v>
      </c>
      <c r="B2589" s="89" t="s">
        <v>1090</v>
      </c>
      <c r="C2589" s="98" t="s">
        <v>458</v>
      </c>
    </row>
    <row r="2590" spans="1:3" ht="15">
      <c r="A2590" s="90" t="s">
        <v>243</v>
      </c>
      <c r="B2590" s="89" t="s">
        <v>933</v>
      </c>
      <c r="C2590" s="98" t="s">
        <v>458</v>
      </c>
    </row>
    <row r="2591" spans="1:3" ht="15">
      <c r="A2591" s="90" t="s">
        <v>243</v>
      </c>
      <c r="B2591" s="89" t="s">
        <v>338</v>
      </c>
      <c r="C2591" s="98" t="s">
        <v>458</v>
      </c>
    </row>
    <row r="2592" spans="1:3" ht="15">
      <c r="A2592" s="90" t="s">
        <v>243</v>
      </c>
      <c r="B2592" s="89" t="s">
        <v>1091</v>
      </c>
      <c r="C2592" s="98" t="s">
        <v>458</v>
      </c>
    </row>
    <row r="2593" spans="1:3" ht="15">
      <c r="A2593" s="90" t="s">
        <v>243</v>
      </c>
      <c r="B2593" s="89" t="s">
        <v>299</v>
      </c>
      <c r="C2593" s="98" t="s">
        <v>458</v>
      </c>
    </row>
    <row r="2594" spans="1:3" ht="15">
      <c r="A2594" s="90" t="s">
        <v>242</v>
      </c>
      <c r="B2594" s="89" t="s">
        <v>1080</v>
      </c>
      <c r="C2594" s="98" t="s">
        <v>457</v>
      </c>
    </row>
    <row r="2595" spans="1:3" ht="15">
      <c r="A2595" s="90" t="s">
        <v>242</v>
      </c>
      <c r="B2595" s="89" t="s">
        <v>1081</v>
      </c>
      <c r="C2595" s="98" t="s">
        <v>457</v>
      </c>
    </row>
    <row r="2596" spans="1:3" ht="15">
      <c r="A2596" s="90" t="s">
        <v>242</v>
      </c>
      <c r="B2596" s="89" t="s">
        <v>1082</v>
      </c>
      <c r="C2596" s="98" t="s">
        <v>457</v>
      </c>
    </row>
    <row r="2597" spans="1:3" ht="15">
      <c r="A2597" s="90" t="s">
        <v>242</v>
      </c>
      <c r="B2597" s="89" t="s">
        <v>930</v>
      </c>
      <c r="C2597" s="98" t="s">
        <v>457</v>
      </c>
    </row>
    <row r="2598" spans="1:3" ht="15">
      <c r="A2598" s="90" t="s">
        <v>242</v>
      </c>
      <c r="B2598" s="89" t="s">
        <v>940</v>
      </c>
      <c r="C2598" s="98" t="s">
        <v>457</v>
      </c>
    </row>
    <row r="2599" spans="1:3" ht="15">
      <c r="A2599" s="90" t="s">
        <v>242</v>
      </c>
      <c r="B2599" s="89" t="s">
        <v>941</v>
      </c>
      <c r="C2599" s="98" t="s">
        <v>457</v>
      </c>
    </row>
    <row r="2600" spans="1:3" ht="15">
      <c r="A2600" s="90" t="s">
        <v>242</v>
      </c>
      <c r="B2600" s="89" t="s">
        <v>1083</v>
      </c>
      <c r="C2600" s="98" t="s">
        <v>457</v>
      </c>
    </row>
    <row r="2601" spans="1:3" ht="15">
      <c r="A2601" s="90" t="s">
        <v>242</v>
      </c>
      <c r="B2601" s="89" t="s">
        <v>931</v>
      </c>
      <c r="C2601" s="98" t="s">
        <v>457</v>
      </c>
    </row>
    <row r="2602" spans="1:3" ht="15">
      <c r="A2602" s="90" t="s">
        <v>242</v>
      </c>
      <c r="B2602" s="89" t="s">
        <v>1084</v>
      </c>
      <c r="C2602" s="98" t="s">
        <v>457</v>
      </c>
    </row>
    <row r="2603" spans="1:3" ht="15">
      <c r="A2603" s="90" t="s">
        <v>242</v>
      </c>
      <c r="B2603" s="89" t="s">
        <v>1085</v>
      </c>
      <c r="C2603" s="98" t="s">
        <v>457</v>
      </c>
    </row>
    <row r="2604" spans="1:3" ht="15">
      <c r="A2604" s="90" t="s">
        <v>242</v>
      </c>
      <c r="B2604" s="89" t="s">
        <v>1086</v>
      </c>
      <c r="C2604" s="98" t="s">
        <v>457</v>
      </c>
    </row>
    <row r="2605" spans="1:3" ht="15">
      <c r="A2605" s="90" t="s">
        <v>242</v>
      </c>
      <c r="B2605" s="89" t="s">
        <v>942</v>
      </c>
      <c r="C2605" s="98" t="s">
        <v>457</v>
      </c>
    </row>
    <row r="2606" spans="1:3" ht="15">
      <c r="A2606" s="90" t="s">
        <v>242</v>
      </c>
      <c r="B2606" s="89" t="s">
        <v>938</v>
      </c>
      <c r="C2606" s="98" t="s">
        <v>457</v>
      </c>
    </row>
    <row r="2607" spans="1:3" ht="15">
      <c r="A2607" s="90" t="s">
        <v>242</v>
      </c>
      <c r="B2607" s="89" t="s">
        <v>935</v>
      </c>
      <c r="C2607" s="98" t="s">
        <v>457</v>
      </c>
    </row>
    <row r="2608" spans="1:3" ht="15">
      <c r="A2608" s="90" t="s">
        <v>242</v>
      </c>
      <c r="B2608" s="89" t="s">
        <v>934</v>
      </c>
      <c r="C2608" s="98" t="s">
        <v>457</v>
      </c>
    </row>
    <row r="2609" spans="1:3" ht="15">
      <c r="A2609" s="90" t="s">
        <v>242</v>
      </c>
      <c r="B2609" s="89" t="s">
        <v>1087</v>
      </c>
      <c r="C2609" s="98" t="s">
        <v>457</v>
      </c>
    </row>
    <row r="2610" spans="1:3" ht="15">
      <c r="A2610" s="90" t="s">
        <v>242</v>
      </c>
      <c r="B2610" s="89" t="s">
        <v>1088</v>
      </c>
      <c r="C2610" s="98" t="s">
        <v>457</v>
      </c>
    </row>
    <row r="2611" spans="1:3" ht="15">
      <c r="A2611" s="90" t="s">
        <v>242</v>
      </c>
      <c r="B2611" s="89" t="s">
        <v>936</v>
      </c>
      <c r="C2611" s="98" t="s">
        <v>457</v>
      </c>
    </row>
    <row r="2612" spans="1:3" ht="15">
      <c r="A2612" s="90" t="s">
        <v>242</v>
      </c>
      <c r="B2612" s="89" t="s">
        <v>1089</v>
      </c>
      <c r="C2612" s="98" t="s">
        <v>457</v>
      </c>
    </row>
    <row r="2613" spans="1:3" ht="15">
      <c r="A2613" s="90" t="s">
        <v>242</v>
      </c>
      <c r="B2613" s="89" t="s">
        <v>943</v>
      </c>
      <c r="C2613" s="98" t="s">
        <v>457</v>
      </c>
    </row>
    <row r="2614" spans="1:3" ht="15">
      <c r="A2614" s="90" t="s">
        <v>242</v>
      </c>
      <c r="B2614" s="89" t="s">
        <v>1090</v>
      </c>
      <c r="C2614" s="98" t="s">
        <v>457</v>
      </c>
    </row>
    <row r="2615" spans="1:3" ht="15">
      <c r="A2615" s="90" t="s">
        <v>242</v>
      </c>
      <c r="B2615" s="89" t="s">
        <v>933</v>
      </c>
      <c r="C2615" s="98" t="s">
        <v>457</v>
      </c>
    </row>
    <row r="2616" spans="1:3" ht="15">
      <c r="A2616" s="90" t="s">
        <v>242</v>
      </c>
      <c r="B2616" s="89" t="s">
        <v>338</v>
      </c>
      <c r="C2616" s="98" t="s">
        <v>457</v>
      </c>
    </row>
    <row r="2617" spans="1:3" ht="15">
      <c r="A2617" s="90" t="s">
        <v>242</v>
      </c>
      <c r="B2617" s="89" t="s">
        <v>1091</v>
      </c>
      <c r="C2617" s="98" t="s">
        <v>457</v>
      </c>
    </row>
    <row r="2618" spans="1:3" ht="15">
      <c r="A2618" s="90" t="s">
        <v>242</v>
      </c>
      <c r="B2618" s="89" t="s">
        <v>299</v>
      </c>
      <c r="C2618" s="98" t="s">
        <v>457</v>
      </c>
    </row>
    <row r="2619" spans="1:3" ht="15">
      <c r="A2619" s="90" t="s">
        <v>241</v>
      </c>
      <c r="B2619" s="89" t="s">
        <v>1080</v>
      </c>
      <c r="C2619" s="98" t="s">
        <v>456</v>
      </c>
    </row>
    <row r="2620" spans="1:3" ht="15">
      <c r="A2620" s="90" t="s">
        <v>241</v>
      </c>
      <c r="B2620" s="89" t="s">
        <v>1081</v>
      </c>
      <c r="C2620" s="98" t="s">
        <v>456</v>
      </c>
    </row>
    <row r="2621" spans="1:3" ht="15">
      <c r="A2621" s="90" t="s">
        <v>241</v>
      </c>
      <c r="B2621" s="89" t="s">
        <v>1082</v>
      </c>
      <c r="C2621" s="98" t="s">
        <v>456</v>
      </c>
    </row>
    <row r="2622" spans="1:3" ht="15">
      <c r="A2622" s="90" t="s">
        <v>241</v>
      </c>
      <c r="B2622" s="89" t="s">
        <v>930</v>
      </c>
      <c r="C2622" s="98" t="s">
        <v>456</v>
      </c>
    </row>
    <row r="2623" spans="1:3" ht="15">
      <c r="A2623" s="90" t="s">
        <v>241</v>
      </c>
      <c r="B2623" s="89" t="s">
        <v>940</v>
      </c>
      <c r="C2623" s="98" t="s">
        <v>456</v>
      </c>
    </row>
    <row r="2624" spans="1:3" ht="15">
      <c r="A2624" s="90" t="s">
        <v>241</v>
      </c>
      <c r="B2624" s="89" t="s">
        <v>941</v>
      </c>
      <c r="C2624" s="98" t="s">
        <v>456</v>
      </c>
    </row>
    <row r="2625" spans="1:3" ht="15">
      <c r="A2625" s="90" t="s">
        <v>241</v>
      </c>
      <c r="B2625" s="89" t="s">
        <v>1083</v>
      </c>
      <c r="C2625" s="98" t="s">
        <v>456</v>
      </c>
    </row>
    <row r="2626" spans="1:3" ht="15">
      <c r="A2626" s="90" t="s">
        <v>241</v>
      </c>
      <c r="B2626" s="89" t="s">
        <v>931</v>
      </c>
      <c r="C2626" s="98" t="s">
        <v>456</v>
      </c>
    </row>
    <row r="2627" spans="1:3" ht="15">
      <c r="A2627" s="90" t="s">
        <v>241</v>
      </c>
      <c r="B2627" s="89" t="s">
        <v>1084</v>
      </c>
      <c r="C2627" s="98" t="s">
        <v>456</v>
      </c>
    </row>
    <row r="2628" spans="1:3" ht="15">
      <c r="A2628" s="90" t="s">
        <v>241</v>
      </c>
      <c r="B2628" s="89" t="s">
        <v>1085</v>
      </c>
      <c r="C2628" s="98" t="s">
        <v>456</v>
      </c>
    </row>
    <row r="2629" spans="1:3" ht="15">
      <c r="A2629" s="90" t="s">
        <v>241</v>
      </c>
      <c r="B2629" s="89" t="s">
        <v>1086</v>
      </c>
      <c r="C2629" s="98" t="s">
        <v>456</v>
      </c>
    </row>
    <row r="2630" spans="1:3" ht="15">
      <c r="A2630" s="90" t="s">
        <v>241</v>
      </c>
      <c r="B2630" s="89" t="s">
        <v>942</v>
      </c>
      <c r="C2630" s="98" t="s">
        <v>456</v>
      </c>
    </row>
    <row r="2631" spans="1:3" ht="15">
      <c r="A2631" s="90" t="s">
        <v>241</v>
      </c>
      <c r="B2631" s="89" t="s">
        <v>938</v>
      </c>
      <c r="C2631" s="98" t="s">
        <v>456</v>
      </c>
    </row>
    <row r="2632" spans="1:3" ht="15">
      <c r="A2632" s="90" t="s">
        <v>241</v>
      </c>
      <c r="B2632" s="89" t="s">
        <v>935</v>
      </c>
      <c r="C2632" s="98" t="s">
        <v>456</v>
      </c>
    </row>
    <row r="2633" spans="1:3" ht="15">
      <c r="A2633" s="90" t="s">
        <v>241</v>
      </c>
      <c r="B2633" s="89" t="s">
        <v>934</v>
      </c>
      <c r="C2633" s="98" t="s">
        <v>456</v>
      </c>
    </row>
    <row r="2634" spans="1:3" ht="15">
      <c r="A2634" s="90" t="s">
        <v>241</v>
      </c>
      <c r="B2634" s="89" t="s">
        <v>1087</v>
      </c>
      <c r="C2634" s="98" t="s">
        <v>456</v>
      </c>
    </row>
    <row r="2635" spans="1:3" ht="15">
      <c r="A2635" s="90" t="s">
        <v>241</v>
      </c>
      <c r="B2635" s="89" t="s">
        <v>1088</v>
      </c>
      <c r="C2635" s="98" t="s">
        <v>456</v>
      </c>
    </row>
    <row r="2636" spans="1:3" ht="15">
      <c r="A2636" s="90" t="s">
        <v>241</v>
      </c>
      <c r="B2636" s="89" t="s">
        <v>936</v>
      </c>
      <c r="C2636" s="98" t="s">
        <v>456</v>
      </c>
    </row>
    <row r="2637" spans="1:3" ht="15">
      <c r="A2637" s="90" t="s">
        <v>241</v>
      </c>
      <c r="B2637" s="89" t="s">
        <v>1089</v>
      </c>
      <c r="C2637" s="98" t="s">
        <v>456</v>
      </c>
    </row>
    <row r="2638" spans="1:3" ht="15">
      <c r="A2638" s="90" t="s">
        <v>241</v>
      </c>
      <c r="B2638" s="89" t="s">
        <v>943</v>
      </c>
      <c r="C2638" s="98" t="s">
        <v>456</v>
      </c>
    </row>
    <row r="2639" spans="1:3" ht="15">
      <c r="A2639" s="90" t="s">
        <v>241</v>
      </c>
      <c r="B2639" s="89" t="s">
        <v>1090</v>
      </c>
      <c r="C2639" s="98" t="s">
        <v>456</v>
      </c>
    </row>
    <row r="2640" spans="1:3" ht="15">
      <c r="A2640" s="90" t="s">
        <v>241</v>
      </c>
      <c r="B2640" s="89" t="s">
        <v>933</v>
      </c>
      <c r="C2640" s="98" t="s">
        <v>456</v>
      </c>
    </row>
    <row r="2641" spans="1:3" ht="15">
      <c r="A2641" s="90" t="s">
        <v>241</v>
      </c>
      <c r="B2641" s="89" t="s">
        <v>338</v>
      </c>
      <c r="C2641" s="98" t="s">
        <v>456</v>
      </c>
    </row>
    <row r="2642" spans="1:3" ht="15">
      <c r="A2642" s="90" t="s">
        <v>241</v>
      </c>
      <c r="B2642" s="89" t="s">
        <v>1091</v>
      </c>
      <c r="C2642" s="98" t="s">
        <v>456</v>
      </c>
    </row>
    <row r="2643" spans="1:3" ht="15">
      <c r="A2643" s="90" t="s">
        <v>241</v>
      </c>
      <c r="B2643" s="89" t="s">
        <v>299</v>
      </c>
      <c r="C2643" s="98" t="s">
        <v>456</v>
      </c>
    </row>
    <row r="2644" spans="1:3" ht="15">
      <c r="A2644" s="90" t="s">
        <v>240</v>
      </c>
      <c r="B2644" s="89" t="s">
        <v>1080</v>
      </c>
      <c r="C2644" s="98" t="s">
        <v>455</v>
      </c>
    </row>
    <row r="2645" spans="1:3" ht="15">
      <c r="A2645" s="90" t="s">
        <v>240</v>
      </c>
      <c r="B2645" s="89" t="s">
        <v>1081</v>
      </c>
      <c r="C2645" s="98" t="s">
        <v>455</v>
      </c>
    </row>
    <row r="2646" spans="1:3" ht="15">
      <c r="A2646" s="90" t="s">
        <v>240</v>
      </c>
      <c r="B2646" s="89" t="s">
        <v>1082</v>
      </c>
      <c r="C2646" s="98" t="s">
        <v>455</v>
      </c>
    </row>
    <row r="2647" spans="1:3" ht="15">
      <c r="A2647" s="90" t="s">
        <v>240</v>
      </c>
      <c r="B2647" s="89" t="s">
        <v>930</v>
      </c>
      <c r="C2647" s="98" t="s">
        <v>455</v>
      </c>
    </row>
    <row r="2648" spans="1:3" ht="15">
      <c r="A2648" s="90" t="s">
        <v>240</v>
      </c>
      <c r="B2648" s="89" t="s">
        <v>940</v>
      </c>
      <c r="C2648" s="98" t="s">
        <v>455</v>
      </c>
    </row>
    <row r="2649" spans="1:3" ht="15">
      <c r="A2649" s="90" t="s">
        <v>240</v>
      </c>
      <c r="B2649" s="89" t="s">
        <v>941</v>
      </c>
      <c r="C2649" s="98" t="s">
        <v>455</v>
      </c>
    </row>
    <row r="2650" spans="1:3" ht="15">
      <c r="A2650" s="90" t="s">
        <v>240</v>
      </c>
      <c r="B2650" s="89" t="s">
        <v>1083</v>
      </c>
      <c r="C2650" s="98" t="s">
        <v>455</v>
      </c>
    </row>
    <row r="2651" spans="1:3" ht="15">
      <c r="A2651" s="90" t="s">
        <v>240</v>
      </c>
      <c r="B2651" s="89" t="s">
        <v>931</v>
      </c>
      <c r="C2651" s="98" t="s">
        <v>455</v>
      </c>
    </row>
    <row r="2652" spans="1:3" ht="15">
      <c r="A2652" s="90" t="s">
        <v>240</v>
      </c>
      <c r="B2652" s="89" t="s">
        <v>1084</v>
      </c>
      <c r="C2652" s="98" t="s">
        <v>455</v>
      </c>
    </row>
    <row r="2653" spans="1:3" ht="15">
      <c r="A2653" s="90" t="s">
        <v>240</v>
      </c>
      <c r="B2653" s="89" t="s">
        <v>1085</v>
      </c>
      <c r="C2653" s="98" t="s">
        <v>455</v>
      </c>
    </row>
    <row r="2654" spans="1:3" ht="15">
      <c r="A2654" s="90" t="s">
        <v>240</v>
      </c>
      <c r="B2654" s="89" t="s">
        <v>1086</v>
      </c>
      <c r="C2654" s="98" t="s">
        <v>455</v>
      </c>
    </row>
    <row r="2655" spans="1:3" ht="15">
      <c r="A2655" s="90" t="s">
        <v>240</v>
      </c>
      <c r="B2655" s="89" t="s">
        <v>942</v>
      </c>
      <c r="C2655" s="98" t="s">
        <v>455</v>
      </c>
    </row>
    <row r="2656" spans="1:3" ht="15">
      <c r="A2656" s="90" t="s">
        <v>240</v>
      </c>
      <c r="B2656" s="89" t="s">
        <v>938</v>
      </c>
      <c r="C2656" s="98" t="s">
        <v>455</v>
      </c>
    </row>
    <row r="2657" spans="1:3" ht="15">
      <c r="A2657" s="90" t="s">
        <v>240</v>
      </c>
      <c r="B2657" s="89" t="s">
        <v>935</v>
      </c>
      <c r="C2657" s="98" t="s">
        <v>455</v>
      </c>
    </row>
    <row r="2658" spans="1:3" ht="15">
      <c r="A2658" s="90" t="s">
        <v>240</v>
      </c>
      <c r="B2658" s="89" t="s">
        <v>934</v>
      </c>
      <c r="C2658" s="98" t="s">
        <v>455</v>
      </c>
    </row>
    <row r="2659" spans="1:3" ht="15">
      <c r="A2659" s="90" t="s">
        <v>240</v>
      </c>
      <c r="B2659" s="89" t="s">
        <v>1087</v>
      </c>
      <c r="C2659" s="98" t="s">
        <v>455</v>
      </c>
    </row>
    <row r="2660" spans="1:3" ht="15">
      <c r="A2660" s="90" t="s">
        <v>240</v>
      </c>
      <c r="B2660" s="89" t="s">
        <v>1088</v>
      </c>
      <c r="C2660" s="98" t="s">
        <v>455</v>
      </c>
    </row>
    <row r="2661" spans="1:3" ht="15">
      <c r="A2661" s="90" t="s">
        <v>240</v>
      </c>
      <c r="B2661" s="89" t="s">
        <v>936</v>
      </c>
      <c r="C2661" s="98" t="s">
        <v>455</v>
      </c>
    </row>
    <row r="2662" spans="1:3" ht="15">
      <c r="A2662" s="90" t="s">
        <v>240</v>
      </c>
      <c r="B2662" s="89" t="s">
        <v>1089</v>
      </c>
      <c r="C2662" s="98" t="s">
        <v>455</v>
      </c>
    </row>
    <row r="2663" spans="1:3" ht="15">
      <c r="A2663" s="90" t="s">
        <v>240</v>
      </c>
      <c r="B2663" s="89" t="s">
        <v>943</v>
      </c>
      <c r="C2663" s="98" t="s">
        <v>455</v>
      </c>
    </row>
    <row r="2664" spans="1:3" ht="15">
      <c r="A2664" s="90" t="s">
        <v>240</v>
      </c>
      <c r="B2664" s="89" t="s">
        <v>1090</v>
      </c>
      <c r="C2664" s="98" t="s">
        <v>455</v>
      </c>
    </row>
    <row r="2665" spans="1:3" ht="15">
      <c r="A2665" s="90" t="s">
        <v>240</v>
      </c>
      <c r="B2665" s="89" t="s">
        <v>933</v>
      </c>
      <c r="C2665" s="98" t="s">
        <v>455</v>
      </c>
    </row>
    <row r="2666" spans="1:3" ht="15">
      <c r="A2666" s="90" t="s">
        <v>240</v>
      </c>
      <c r="B2666" s="89" t="s">
        <v>338</v>
      </c>
      <c r="C2666" s="98" t="s">
        <v>455</v>
      </c>
    </row>
    <row r="2667" spans="1:3" ht="15">
      <c r="A2667" s="90" t="s">
        <v>240</v>
      </c>
      <c r="B2667" s="89" t="s">
        <v>1091</v>
      </c>
      <c r="C2667" s="98" t="s">
        <v>455</v>
      </c>
    </row>
    <row r="2668" spans="1:3" ht="15">
      <c r="A2668" s="90" t="s">
        <v>240</v>
      </c>
      <c r="B2668" s="89" t="s">
        <v>299</v>
      </c>
      <c r="C2668" s="98" t="s">
        <v>455</v>
      </c>
    </row>
    <row r="2669" spans="1:3" ht="15">
      <c r="A2669" s="90" t="s">
        <v>239</v>
      </c>
      <c r="B2669" s="89" t="s">
        <v>1080</v>
      </c>
      <c r="C2669" s="98" t="s">
        <v>454</v>
      </c>
    </row>
    <row r="2670" spans="1:3" ht="15">
      <c r="A2670" s="90" t="s">
        <v>239</v>
      </c>
      <c r="B2670" s="89" t="s">
        <v>1081</v>
      </c>
      <c r="C2670" s="98" t="s">
        <v>454</v>
      </c>
    </row>
    <row r="2671" spans="1:3" ht="15">
      <c r="A2671" s="90" t="s">
        <v>239</v>
      </c>
      <c r="B2671" s="89" t="s">
        <v>1082</v>
      </c>
      <c r="C2671" s="98" t="s">
        <v>454</v>
      </c>
    </row>
    <row r="2672" spans="1:3" ht="15">
      <c r="A2672" s="90" t="s">
        <v>239</v>
      </c>
      <c r="B2672" s="89" t="s">
        <v>930</v>
      </c>
      <c r="C2672" s="98" t="s">
        <v>454</v>
      </c>
    </row>
    <row r="2673" spans="1:3" ht="15">
      <c r="A2673" s="90" t="s">
        <v>239</v>
      </c>
      <c r="B2673" s="89" t="s">
        <v>940</v>
      </c>
      <c r="C2673" s="98" t="s">
        <v>454</v>
      </c>
    </row>
    <row r="2674" spans="1:3" ht="15">
      <c r="A2674" s="90" t="s">
        <v>239</v>
      </c>
      <c r="B2674" s="89" t="s">
        <v>941</v>
      </c>
      <c r="C2674" s="98" t="s">
        <v>454</v>
      </c>
    </row>
    <row r="2675" spans="1:3" ht="15">
      <c r="A2675" s="90" t="s">
        <v>239</v>
      </c>
      <c r="B2675" s="89" t="s">
        <v>1083</v>
      </c>
      <c r="C2675" s="98" t="s">
        <v>454</v>
      </c>
    </row>
    <row r="2676" spans="1:3" ht="15">
      <c r="A2676" s="90" t="s">
        <v>239</v>
      </c>
      <c r="B2676" s="89" t="s">
        <v>931</v>
      </c>
      <c r="C2676" s="98" t="s">
        <v>454</v>
      </c>
    </row>
    <row r="2677" spans="1:3" ht="15">
      <c r="A2677" s="90" t="s">
        <v>239</v>
      </c>
      <c r="B2677" s="89" t="s">
        <v>1084</v>
      </c>
      <c r="C2677" s="98" t="s">
        <v>454</v>
      </c>
    </row>
    <row r="2678" spans="1:3" ht="15">
      <c r="A2678" s="90" t="s">
        <v>239</v>
      </c>
      <c r="B2678" s="89" t="s">
        <v>1085</v>
      </c>
      <c r="C2678" s="98" t="s">
        <v>454</v>
      </c>
    </row>
    <row r="2679" spans="1:3" ht="15">
      <c r="A2679" s="90" t="s">
        <v>239</v>
      </c>
      <c r="B2679" s="89" t="s">
        <v>1086</v>
      </c>
      <c r="C2679" s="98" t="s">
        <v>454</v>
      </c>
    </row>
    <row r="2680" spans="1:3" ht="15">
      <c r="A2680" s="90" t="s">
        <v>239</v>
      </c>
      <c r="B2680" s="89" t="s">
        <v>942</v>
      </c>
      <c r="C2680" s="98" t="s">
        <v>454</v>
      </c>
    </row>
    <row r="2681" spans="1:3" ht="15">
      <c r="A2681" s="90" t="s">
        <v>239</v>
      </c>
      <c r="B2681" s="89" t="s">
        <v>938</v>
      </c>
      <c r="C2681" s="98" t="s">
        <v>454</v>
      </c>
    </row>
    <row r="2682" spans="1:3" ht="15">
      <c r="A2682" s="90" t="s">
        <v>239</v>
      </c>
      <c r="B2682" s="89" t="s">
        <v>935</v>
      </c>
      <c r="C2682" s="98" t="s">
        <v>454</v>
      </c>
    </row>
    <row r="2683" spans="1:3" ht="15">
      <c r="A2683" s="90" t="s">
        <v>239</v>
      </c>
      <c r="B2683" s="89" t="s">
        <v>934</v>
      </c>
      <c r="C2683" s="98" t="s">
        <v>454</v>
      </c>
    </row>
    <row r="2684" spans="1:3" ht="15">
      <c r="A2684" s="90" t="s">
        <v>239</v>
      </c>
      <c r="B2684" s="89" t="s">
        <v>1087</v>
      </c>
      <c r="C2684" s="98" t="s">
        <v>454</v>
      </c>
    </row>
    <row r="2685" spans="1:3" ht="15">
      <c r="A2685" s="90" t="s">
        <v>239</v>
      </c>
      <c r="B2685" s="89" t="s">
        <v>1088</v>
      </c>
      <c r="C2685" s="98" t="s">
        <v>454</v>
      </c>
    </row>
    <row r="2686" spans="1:3" ht="15">
      <c r="A2686" s="90" t="s">
        <v>239</v>
      </c>
      <c r="B2686" s="89" t="s">
        <v>936</v>
      </c>
      <c r="C2686" s="98" t="s">
        <v>454</v>
      </c>
    </row>
    <row r="2687" spans="1:3" ht="15">
      <c r="A2687" s="90" t="s">
        <v>239</v>
      </c>
      <c r="B2687" s="89" t="s">
        <v>1089</v>
      </c>
      <c r="C2687" s="98" t="s">
        <v>454</v>
      </c>
    </row>
    <row r="2688" spans="1:3" ht="15">
      <c r="A2688" s="90" t="s">
        <v>239</v>
      </c>
      <c r="B2688" s="89" t="s">
        <v>943</v>
      </c>
      <c r="C2688" s="98" t="s">
        <v>454</v>
      </c>
    </row>
    <row r="2689" spans="1:3" ht="15">
      <c r="A2689" s="90" t="s">
        <v>239</v>
      </c>
      <c r="B2689" s="89" t="s">
        <v>1090</v>
      </c>
      <c r="C2689" s="98" t="s">
        <v>454</v>
      </c>
    </row>
    <row r="2690" spans="1:3" ht="15">
      <c r="A2690" s="90" t="s">
        <v>239</v>
      </c>
      <c r="B2690" s="89" t="s">
        <v>933</v>
      </c>
      <c r="C2690" s="98" t="s">
        <v>454</v>
      </c>
    </row>
    <row r="2691" spans="1:3" ht="15">
      <c r="A2691" s="90" t="s">
        <v>239</v>
      </c>
      <c r="B2691" s="89" t="s">
        <v>338</v>
      </c>
      <c r="C2691" s="98" t="s">
        <v>454</v>
      </c>
    </row>
    <row r="2692" spans="1:3" ht="15">
      <c r="A2692" s="90" t="s">
        <v>239</v>
      </c>
      <c r="B2692" s="89" t="s">
        <v>1091</v>
      </c>
      <c r="C2692" s="98" t="s">
        <v>454</v>
      </c>
    </row>
    <row r="2693" spans="1:3" ht="15">
      <c r="A2693" s="90" t="s">
        <v>239</v>
      </c>
      <c r="B2693" s="89" t="s">
        <v>299</v>
      </c>
      <c r="C2693" s="98" t="s">
        <v>454</v>
      </c>
    </row>
    <row r="2694" spans="1:3" ht="15">
      <c r="A2694" s="90" t="s">
        <v>238</v>
      </c>
      <c r="B2694" s="89" t="s">
        <v>1180</v>
      </c>
      <c r="C2694" s="98" t="s">
        <v>453</v>
      </c>
    </row>
    <row r="2695" spans="1:3" ht="15">
      <c r="A2695" s="90" t="s">
        <v>238</v>
      </c>
      <c r="B2695" s="89" t="s">
        <v>1097</v>
      </c>
      <c r="C2695" s="98" t="s">
        <v>453</v>
      </c>
    </row>
    <row r="2696" spans="1:3" ht="15">
      <c r="A2696" s="90" t="s">
        <v>238</v>
      </c>
      <c r="B2696" s="89" t="s">
        <v>1181</v>
      </c>
      <c r="C2696" s="98" t="s">
        <v>453</v>
      </c>
    </row>
    <row r="2697" spans="1:3" ht="15">
      <c r="A2697" s="90" t="s">
        <v>238</v>
      </c>
      <c r="B2697" s="89" t="s">
        <v>1092</v>
      </c>
      <c r="C2697" s="98" t="s">
        <v>453</v>
      </c>
    </row>
    <row r="2698" spans="1:3" ht="15">
      <c r="A2698" s="90" t="s">
        <v>238</v>
      </c>
      <c r="B2698" s="89" t="s">
        <v>938</v>
      </c>
      <c r="C2698" s="98" t="s">
        <v>453</v>
      </c>
    </row>
    <row r="2699" spans="1:3" ht="15">
      <c r="A2699" s="90" t="s">
        <v>238</v>
      </c>
      <c r="B2699" s="89" t="s">
        <v>1087</v>
      </c>
      <c r="C2699" s="98" t="s">
        <v>453</v>
      </c>
    </row>
    <row r="2700" spans="1:3" ht="15">
      <c r="A2700" s="90" t="s">
        <v>238</v>
      </c>
      <c r="B2700" s="89" t="s">
        <v>1182</v>
      </c>
      <c r="C2700" s="98" t="s">
        <v>453</v>
      </c>
    </row>
    <row r="2701" spans="1:3" ht="15">
      <c r="A2701" s="90" t="s">
        <v>238</v>
      </c>
      <c r="B2701" s="89" t="s">
        <v>1183</v>
      </c>
      <c r="C2701" s="98" t="s">
        <v>453</v>
      </c>
    </row>
    <row r="2702" spans="1:3" ht="15">
      <c r="A2702" s="90" t="s">
        <v>238</v>
      </c>
      <c r="B2702" s="89" t="s">
        <v>935</v>
      </c>
      <c r="C2702" s="98" t="s">
        <v>453</v>
      </c>
    </row>
    <row r="2703" spans="1:3" ht="15">
      <c r="A2703" s="90" t="s">
        <v>238</v>
      </c>
      <c r="B2703" s="89" t="s">
        <v>1184</v>
      </c>
      <c r="C2703" s="98" t="s">
        <v>453</v>
      </c>
    </row>
    <row r="2704" spans="1:3" ht="15">
      <c r="A2704" s="90" t="s">
        <v>238</v>
      </c>
      <c r="B2704" s="89" t="s">
        <v>1185</v>
      </c>
      <c r="C2704" s="98" t="s">
        <v>453</v>
      </c>
    </row>
    <row r="2705" spans="1:3" ht="15">
      <c r="A2705" s="90" t="s">
        <v>238</v>
      </c>
      <c r="B2705" s="89" t="s">
        <v>1186</v>
      </c>
      <c r="C2705" s="98" t="s">
        <v>453</v>
      </c>
    </row>
    <row r="2706" spans="1:3" ht="15">
      <c r="A2706" s="90" t="s">
        <v>238</v>
      </c>
      <c r="B2706" s="89" t="s">
        <v>1187</v>
      </c>
      <c r="C2706" s="98" t="s">
        <v>453</v>
      </c>
    </row>
    <row r="2707" spans="1:3" ht="15">
      <c r="A2707" s="90" t="s">
        <v>238</v>
      </c>
      <c r="B2707" s="89" t="s">
        <v>1188</v>
      </c>
      <c r="C2707" s="98" t="s">
        <v>453</v>
      </c>
    </row>
    <row r="2708" spans="1:3" ht="15">
      <c r="A2708" s="90" t="s">
        <v>238</v>
      </c>
      <c r="B2708" s="89" t="s">
        <v>1189</v>
      </c>
      <c r="C2708" s="98" t="s">
        <v>453</v>
      </c>
    </row>
    <row r="2709" spans="1:3" ht="15">
      <c r="A2709" s="90" t="s">
        <v>238</v>
      </c>
      <c r="B2709" s="89" t="s">
        <v>1190</v>
      </c>
      <c r="C2709" s="98" t="s">
        <v>453</v>
      </c>
    </row>
    <row r="2710" spans="1:3" ht="15">
      <c r="A2710" s="90" t="s">
        <v>238</v>
      </c>
      <c r="B2710" s="89" t="s">
        <v>1191</v>
      </c>
      <c r="C2710" s="98" t="s">
        <v>453</v>
      </c>
    </row>
    <row r="2711" spans="1:3" ht="15">
      <c r="A2711" s="90" t="s">
        <v>238</v>
      </c>
      <c r="B2711" s="89" t="s">
        <v>1192</v>
      </c>
      <c r="C2711" s="98" t="s">
        <v>453</v>
      </c>
    </row>
    <row r="2712" spans="1:3" ht="15">
      <c r="A2712" s="90" t="s">
        <v>238</v>
      </c>
      <c r="B2712" s="89" t="s">
        <v>1193</v>
      </c>
      <c r="C2712" s="98" t="s">
        <v>453</v>
      </c>
    </row>
    <row r="2713" spans="1:3" ht="15">
      <c r="A2713" s="90" t="s">
        <v>238</v>
      </c>
      <c r="B2713" s="89" t="s">
        <v>1194</v>
      </c>
      <c r="C2713" s="98" t="s">
        <v>453</v>
      </c>
    </row>
    <row r="2714" spans="1:3" ht="15">
      <c r="A2714" s="90" t="s">
        <v>238</v>
      </c>
      <c r="B2714" s="89" t="s">
        <v>338</v>
      </c>
      <c r="C2714" s="98" t="s">
        <v>453</v>
      </c>
    </row>
    <row r="2715" spans="1:3" ht="15">
      <c r="A2715" s="90" t="s">
        <v>238</v>
      </c>
      <c r="B2715" s="89" t="s">
        <v>1091</v>
      </c>
      <c r="C2715" s="98" t="s">
        <v>453</v>
      </c>
    </row>
    <row r="2716" spans="1:3" ht="15">
      <c r="A2716" s="90" t="s">
        <v>238</v>
      </c>
      <c r="B2716" s="89" t="s">
        <v>299</v>
      </c>
      <c r="C2716" s="98" t="s">
        <v>453</v>
      </c>
    </row>
    <row r="2717" spans="1:3" ht="15">
      <c r="A2717" s="90" t="s">
        <v>237</v>
      </c>
      <c r="B2717" s="89" t="s">
        <v>1195</v>
      </c>
      <c r="C2717" s="98" t="s">
        <v>452</v>
      </c>
    </row>
    <row r="2718" spans="1:3" ht="15">
      <c r="A2718" s="90" t="s">
        <v>237</v>
      </c>
      <c r="B2718" s="89" t="s">
        <v>1196</v>
      </c>
      <c r="C2718" s="98" t="s">
        <v>452</v>
      </c>
    </row>
    <row r="2719" spans="1:3" ht="15">
      <c r="A2719" s="90" t="s">
        <v>237</v>
      </c>
      <c r="B2719" s="89" t="s">
        <v>1197</v>
      </c>
      <c r="C2719" s="98" t="s">
        <v>452</v>
      </c>
    </row>
    <row r="2720" spans="1:3" ht="15">
      <c r="A2720" s="90" t="s">
        <v>237</v>
      </c>
      <c r="B2720" s="89" t="s">
        <v>1198</v>
      </c>
      <c r="C2720" s="98" t="s">
        <v>452</v>
      </c>
    </row>
    <row r="2721" spans="1:3" ht="15">
      <c r="A2721" s="90" t="s">
        <v>237</v>
      </c>
      <c r="B2721" s="89" t="s">
        <v>1199</v>
      </c>
      <c r="C2721" s="98" t="s">
        <v>452</v>
      </c>
    </row>
    <row r="2722" spans="1:3" ht="15">
      <c r="A2722" s="90" t="s">
        <v>237</v>
      </c>
      <c r="B2722" s="89" t="s">
        <v>1200</v>
      </c>
      <c r="C2722" s="98" t="s">
        <v>452</v>
      </c>
    </row>
    <row r="2723" spans="1:3" ht="15">
      <c r="A2723" s="90" t="s">
        <v>237</v>
      </c>
      <c r="B2723" s="89" t="s">
        <v>1201</v>
      </c>
      <c r="C2723" s="98" t="s">
        <v>452</v>
      </c>
    </row>
    <row r="2724" spans="1:3" ht="15">
      <c r="A2724" s="90" t="s">
        <v>237</v>
      </c>
      <c r="B2724" s="89" t="s">
        <v>1202</v>
      </c>
      <c r="C2724" s="98" t="s">
        <v>452</v>
      </c>
    </row>
    <row r="2725" spans="1:3" ht="15">
      <c r="A2725" s="90" t="s">
        <v>237</v>
      </c>
      <c r="B2725" s="89" t="s">
        <v>1203</v>
      </c>
      <c r="C2725" s="98" t="s">
        <v>452</v>
      </c>
    </row>
    <row r="2726" spans="1:3" ht="15">
      <c r="A2726" s="90" t="s">
        <v>237</v>
      </c>
      <c r="B2726" s="89" t="s">
        <v>1204</v>
      </c>
      <c r="C2726" s="98" t="s">
        <v>452</v>
      </c>
    </row>
    <row r="2727" spans="1:3" ht="15">
      <c r="A2727" s="90" t="s">
        <v>237</v>
      </c>
      <c r="B2727" s="89" t="s">
        <v>1205</v>
      </c>
      <c r="C2727" s="98" t="s">
        <v>452</v>
      </c>
    </row>
    <row r="2728" spans="1:3" ht="15">
      <c r="A2728" s="90" t="s">
        <v>237</v>
      </c>
      <c r="B2728" s="89" t="s">
        <v>1206</v>
      </c>
      <c r="C2728" s="98" t="s">
        <v>452</v>
      </c>
    </row>
    <row r="2729" spans="1:3" ht="15">
      <c r="A2729" s="90" t="s">
        <v>237</v>
      </c>
      <c r="B2729" s="89" t="s">
        <v>1207</v>
      </c>
      <c r="C2729" s="98" t="s">
        <v>452</v>
      </c>
    </row>
    <row r="2730" spans="1:3" ht="15">
      <c r="A2730" s="90" t="s">
        <v>237</v>
      </c>
      <c r="B2730" s="89" t="s">
        <v>930</v>
      </c>
      <c r="C2730" s="98" t="s">
        <v>452</v>
      </c>
    </row>
    <row r="2731" spans="1:3" ht="15">
      <c r="A2731" s="90" t="s">
        <v>237</v>
      </c>
      <c r="B2731" s="89" t="s">
        <v>1094</v>
      </c>
      <c r="C2731" s="98" t="s">
        <v>452</v>
      </c>
    </row>
    <row r="2732" spans="1:3" ht="15">
      <c r="A2732" s="90" t="s">
        <v>237</v>
      </c>
      <c r="B2732" s="89" t="s">
        <v>1208</v>
      </c>
      <c r="C2732" s="98" t="s">
        <v>452</v>
      </c>
    </row>
    <row r="2733" spans="1:3" ht="15">
      <c r="A2733" s="90" t="s">
        <v>237</v>
      </c>
      <c r="B2733" s="89" t="s">
        <v>1209</v>
      </c>
      <c r="C2733" s="98" t="s">
        <v>452</v>
      </c>
    </row>
    <row r="2734" spans="1:3" ht="15">
      <c r="A2734" s="90" t="s">
        <v>237</v>
      </c>
      <c r="B2734" s="89" t="s">
        <v>1210</v>
      </c>
      <c r="C2734" s="98" t="s">
        <v>452</v>
      </c>
    </row>
    <row r="2735" spans="1:3" ht="15">
      <c r="A2735" s="90" t="s">
        <v>237</v>
      </c>
      <c r="B2735" s="89" t="s">
        <v>1211</v>
      </c>
      <c r="C2735" s="98" t="s">
        <v>452</v>
      </c>
    </row>
    <row r="2736" spans="1:3" ht="15">
      <c r="A2736" s="90" t="s">
        <v>237</v>
      </c>
      <c r="B2736" s="89" t="s">
        <v>1212</v>
      </c>
      <c r="C2736" s="98" t="s">
        <v>452</v>
      </c>
    </row>
    <row r="2737" spans="1:3" ht="15">
      <c r="A2737" s="90" t="s">
        <v>237</v>
      </c>
      <c r="B2737" s="89" t="s">
        <v>1213</v>
      </c>
      <c r="C2737" s="98" t="s">
        <v>452</v>
      </c>
    </row>
    <row r="2738" spans="1:3" ht="15">
      <c r="A2738" s="90" t="s">
        <v>237</v>
      </c>
      <c r="B2738" s="89" t="s">
        <v>1214</v>
      </c>
      <c r="C2738" s="98" t="s">
        <v>452</v>
      </c>
    </row>
    <row r="2739" spans="1:3" ht="15">
      <c r="A2739" s="90" t="s">
        <v>237</v>
      </c>
      <c r="B2739" s="89" t="s">
        <v>1215</v>
      </c>
      <c r="C2739" s="98" t="s">
        <v>452</v>
      </c>
    </row>
    <row r="2740" spans="1:3" ht="15">
      <c r="A2740" s="90" t="s">
        <v>237</v>
      </c>
      <c r="B2740" s="89" t="s">
        <v>1148</v>
      </c>
      <c r="C2740" s="98" t="s">
        <v>452</v>
      </c>
    </row>
    <row r="2741" spans="1:3" ht="15">
      <c r="A2741" s="90" t="s">
        <v>237</v>
      </c>
      <c r="B2741" s="89" t="s">
        <v>1123</v>
      </c>
      <c r="C2741" s="98" t="s">
        <v>452</v>
      </c>
    </row>
    <row r="2742" spans="1:3" ht="15">
      <c r="A2742" s="90" t="s">
        <v>237</v>
      </c>
      <c r="B2742" s="89" t="s">
        <v>933</v>
      </c>
      <c r="C2742" s="98" t="s">
        <v>452</v>
      </c>
    </row>
    <row r="2743" spans="1:3" ht="15">
      <c r="A2743" s="90" t="s">
        <v>237</v>
      </c>
      <c r="B2743" s="89" t="s">
        <v>338</v>
      </c>
      <c r="C2743" s="98" t="s">
        <v>452</v>
      </c>
    </row>
    <row r="2744" spans="1:3" ht="15">
      <c r="A2744" s="90" t="s">
        <v>236</v>
      </c>
      <c r="B2744" s="89" t="s">
        <v>1080</v>
      </c>
      <c r="C2744" s="98" t="s">
        <v>451</v>
      </c>
    </row>
    <row r="2745" spans="1:3" ht="15">
      <c r="A2745" s="90" t="s">
        <v>236</v>
      </c>
      <c r="B2745" s="89" t="s">
        <v>1081</v>
      </c>
      <c r="C2745" s="98" t="s">
        <v>451</v>
      </c>
    </row>
    <row r="2746" spans="1:3" ht="15">
      <c r="A2746" s="90" t="s">
        <v>236</v>
      </c>
      <c r="B2746" s="89" t="s">
        <v>1082</v>
      </c>
      <c r="C2746" s="98" t="s">
        <v>451</v>
      </c>
    </row>
    <row r="2747" spans="1:3" ht="15">
      <c r="A2747" s="90" t="s">
        <v>236</v>
      </c>
      <c r="B2747" s="89" t="s">
        <v>930</v>
      </c>
      <c r="C2747" s="98" t="s">
        <v>451</v>
      </c>
    </row>
    <row r="2748" spans="1:3" ht="15">
      <c r="A2748" s="90" t="s">
        <v>236</v>
      </c>
      <c r="B2748" s="89" t="s">
        <v>940</v>
      </c>
      <c r="C2748" s="98" t="s">
        <v>451</v>
      </c>
    </row>
    <row r="2749" spans="1:3" ht="15">
      <c r="A2749" s="90" t="s">
        <v>236</v>
      </c>
      <c r="B2749" s="89" t="s">
        <v>941</v>
      </c>
      <c r="C2749" s="98" t="s">
        <v>451</v>
      </c>
    </row>
    <row r="2750" spans="1:3" ht="15">
      <c r="A2750" s="90" t="s">
        <v>236</v>
      </c>
      <c r="B2750" s="89" t="s">
        <v>1083</v>
      </c>
      <c r="C2750" s="98" t="s">
        <v>451</v>
      </c>
    </row>
    <row r="2751" spans="1:3" ht="15">
      <c r="A2751" s="90" t="s">
        <v>236</v>
      </c>
      <c r="B2751" s="89" t="s">
        <v>931</v>
      </c>
      <c r="C2751" s="98" t="s">
        <v>451</v>
      </c>
    </row>
    <row r="2752" spans="1:3" ht="15">
      <c r="A2752" s="90" t="s">
        <v>236</v>
      </c>
      <c r="B2752" s="89" t="s">
        <v>1084</v>
      </c>
      <c r="C2752" s="98" t="s">
        <v>451</v>
      </c>
    </row>
    <row r="2753" spans="1:3" ht="15">
      <c r="A2753" s="90" t="s">
        <v>236</v>
      </c>
      <c r="B2753" s="89" t="s">
        <v>1085</v>
      </c>
      <c r="C2753" s="98" t="s">
        <v>451</v>
      </c>
    </row>
    <row r="2754" spans="1:3" ht="15">
      <c r="A2754" s="90" t="s">
        <v>236</v>
      </c>
      <c r="B2754" s="89" t="s">
        <v>1086</v>
      </c>
      <c r="C2754" s="98" t="s">
        <v>451</v>
      </c>
    </row>
    <row r="2755" spans="1:3" ht="15">
      <c r="A2755" s="90" t="s">
        <v>236</v>
      </c>
      <c r="B2755" s="89" t="s">
        <v>942</v>
      </c>
      <c r="C2755" s="98" t="s">
        <v>451</v>
      </c>
    </row>
    <row r="2756" spans="1:3" ht="15">
      <c r="A2756" s="90" t="s">
        <v>236</v>
      </c>
      <c r="B2756" s="89" t="s">
        <v>938</v>
      </c>
      <c r="C2756" s="98" t="s">
        <v>451</v>
      </c>
    </row>
    <row r="2757" spans="1:3" ht="15">
      <c r="A2757" s="90" t="s">
        <v>236</v>
      </c>
      <c r="B2757" s="89" t="s">
        <v>935</v>
      </c>
      <c r="C2757" s="98" t="s">
        <v>451</v>
      </c>
    </row>
    <row r="2758" spans="1:3" ht="15">
      <c r="A2758" s="90" t="s">
        <v>236</v>
      </c>
      <c r="B2758" s="89" t="s">
        <v>934</v>
      </c>
      <c r="C2758" s="98" t="s">
        <v>451</v>
      </c>
    </row>
    <row r="2759" spans="1:3" ht="15">
      <c r="A2759" s="90" t="s">
        <v>236</v>
      </c>
      <c r="B2759" s="89" t="s">
        <v>1087</v>
      </c>
      <c r="C2759" s="98" t="s">
        <v>451</v>
      </c>
    </row>
    <row r="2760" spans="1:3" ht="15">
      <c r="A2760" s="90" t="s">
        <v>236</v>
      </c>
      <c r="B2760" s="89" t="s">
        <v>1088</v>
      </c>
      <c r="C2760" s="98" t="s">
        <v>451</v>
      </c>
    </row>
    <row r="2761" spans="1:3" ht="15">
      <c r="A2761" s="90" t="s">
        <v>236</v>
      </c>
      <c r="B2761" s="89" t="s">
        <v>936</v>
      </c>
      <c r="C2761" s="98" t="s">
        <v>451</v>
      </c>
    </row>
    <row r="2762" spans="1:3" ht="15">
      <c r="A2762" s="90" t="s">
        <v>236</v>
      </c>
      <c r="B2762" s="89" t="s">
        <v>1089</v>
      </c>
      <c r="C2762" s="98" t="s">
        <v>451</v>
      </c>
    </row>
    <row r="2763" spans="1:3" ht="15">
      <c r="A2763" s="90" t="s">
        <v>236</v>
      </c>
      <c r="B2763" s="89" t="s">
        <v>943</v>
      </c>
      <c r="C2763" s="98" t="s">
        <v>451</v>
      </c>
    </row>
    <row r="2764" spans="1:3" ht="15">
      <c r="A2764" s="90" t="s">
        <v>236</v>
      </c>
      <c r="B2764" s="89" t="s">
        <v>1090</v>
      </c>
      <c r="C2764" s="98" t="s">
        <v>451</v>
      </c>
    </row>
    <row r="2765" spans="1:3" ht="15">
      <c r="A2765" s="90" t="s">
        <v>236</v>
      </c>
      <c r="B2765" s="89" t="s">
        <v>933</v>
      </c>
      <c r="C2765" s="98" t="s">
        <v>451</v>
      </c>
    </row>
    <row r="2766" spans="1:3" ht="15">
      <c r="A2766" s="90" t="s">
        <v>236</v>
      </c>
      <c r="B2766" s="89" t="s">
        <v>338</v>
      </c>
      <c r="C2766" s="98" t="s">
        <v>451</v>
      </c>
    </row>
    <row r="2767" spans="1:3" ht="15">
      <c r="A2767" s="90" t="s">
        <v>236</v>
      </c>
      <c r="B2767" s="89" t="s">
        <v>1091</v>
      </c>
      <c r="C2767" s="98" t="s">
        <v>451</v>
      </c>
    </row>
    <row r="2768" spans="1:3" ht="15">
      <c r="A2768" s="90" t="s">
        <v>236</v>
      </c>
      <c r="B2768" s="89" t="s">
        <v>299</v>
      </c>
      <c r="C2768" s="98" t="s">
        <v>451</v>
      </c>
    </row>
    <row r="2769" spans="1:3" ht="15">
      <c r="A2769" s="90" t="s">
        <v>234</v>
      </c>
      <c r="B2769" s="89" t="s">
        <v>1080</v>
      </c>
      <c r="C2769" s="98" t="s">
        <v>449</v>
      </c>
    </row>
    <row r="2770" spans="1:3" ht="15">
      <c r="A2770" s="90" t="s">
        <v>234</v>
      </c>
      <c r="B2770" s="89" t="s">
        <v>1081</v>
      </c>
      <c r="C2770" s="98" t="s">
        <v>449</v>
      </c>
    </row>
    <row r="2771" spans="1:3" ht="15">
      <c r="A2771" s="90" t="s">
        <v>234</v>
      </c>
      <c r="B2771" s="89" t="s">
        <v>1082</v>
      </c>
      <c r="C2771" s="98" t="s">
        <v>449</v>
      </c>
    </row>
    <row r="2772" spans="1:3" ht="15">
      <c r="A2772" s="90" t="s">
        <v>234</v>
      </c>
      <c r="B2772" s="89" t="s">
        <v>930</v>
      </c>
      <c r="C2772" s="98" t="s">
        <v>449</v>
      </c>
    </row>
    <row r="2773" spans="1:3" ht="15">
      <c r="A2773" s="90" t="s">
        <v>234</v>
      </c>
      <c r="B2773" s="89" t="s">
        <v>940</v>
      </c>
      <c r="C2773" s="98" t="s">
        <v>449</v>
      </c>
    </row>
    <row r="2774" spans="1:3" ht="15">
      <c r="A2774" s="90" t="s">
        <v>234</v>
      </c>
      <c r="B2774" s="89" t="s">
        <v>941</v>
      </c>
      <c r="C2774" s="98" t="s">
        <v>449</v>
      </c>
    </row>
    <row r="2775" spans="1:3" ht="15">
      <c r="A2775" s="90" t="s">
        <v>234</v>
      </c>
      <c r="B2775" s="89" t="s">
        <v>1083</v>
      </c>
      <c r="C2775" s="98" t="s">
        <v>449</v>
      </c>
    </row>
    <row r="2776" spans="1:3" ht="15">
      <c r="A2776" s="90" t="s">
        <v>234</v>
      </c>
      <c r="B2776" s="89" t="s">
        <v>931</v>
      </c>
      <c r="C2776" s="98" t="s">
        <v>449</v>
      </c>
    </row>
    <row r="2777" spans="1:3" ht="15">
      <c r="A2777" s="90" t="s">
        <v>234</v>
      </c>
      <c r="B2777" s="89" t="s">
        <v>1084</v>
      </c>
      <c r="C2777" s="98" t="s">
        <v>449</v>
      </c>
    </row>
    <row r="2778" spans="1:3" ht="15">
      <c r="A2778" s="90" t="s">
        <v>234</v>
      </c>
      <c r="B2778" s="89" t="s">
        <v>1085</v>
      </c>
      <c r="C2778" s="98" t="s">
        <v>449</v>
      </c>
    </row>
    <row r="2779" spans="1:3" ht="15">
      <c r="A2779" s="90" t="s">
        <v>234</v>
      </c>
      <c r="B2779" s="89" t="s">
        <v>1086</v>
      </c>
      <c r="C2779" s="98" t="s">
        <v>449</v>
      </c>
    </row>
    <row r="2780" spans="1:3" ht="15">
      <c r="A2780" s="90" t="s">
        <v>234</v>
      </c>
      <c r="B2780" s="89" t="s">
        <v>942</v>
      </c>
      <c r="C2780" s="98" t="s">
        <v>449</v>
      </c>
    </row>
    <row r="2781" spans="1:3" ht="15">
      <c r="A2781" s="90" t="s">
        <v>234</v>
      </c>
      <c r="B2781" s="89" t="s">
        <v>938</v>
      </c>
      <c r="C2781" s="98" t="s">
        <v>449</v>
      </c>
    </row>
    <row r="2782" spans="1:3" ht="15">
      <c r="A2782" s="90" t="s">
        <v>234</v>
      </c>
      <c r="B2782" s="89" t="s">
        <v>935</v>
      </c>
      <c r="C2782" s="98" t="s">
        <v>449</v>
      </c>
    </row>
    <row r="2783" spans="1:3" ht="15">
      <c r="A2783" s="90" t="s">
        <v>234</v>
      </c>
      <c r="B2783" s="89" t="s">
        <v>934</v>
      </c>
      <c r="C2783" s="98" t="s">
        <v>449</v>
      </c>
    </row>
    <row r="2784" spans="1:3" ht="15">
      <c r="A2784" s="90" t="s">
        <v>234</v>
      </c>
      <c r="B2784" s="89" t="s">
        <v>1087</v>
      </c>
      <c r="C2784" s="98" t="s">
        <v>449</v>
      </c>
    </row>
    <row r="2785" spans="1:3" ht="15">
      <c r="A2785" s="90" t="s">
        <v>234</v>
      </c>
      <c r="B2785" s="89" t="s">
        <v>1088</v>
      </c>
      <c r="C2785" s="98" t="s">
        <v>449</v>
      </c>
    </row>
    <row r="2786" spans="1:3" ht="15">
      <c r="A2786" s="90" t="s">
        <v>234</v>
      </c>
      <c r="B2786" s="89" t="s">
        <v>936</v>
      </c>
      <c r="C2786" s="98" t="s">
        <v>449</v>
      </c>
    </row>
    <row r="2787" spans="1:3" ht="15">
      <c r="A2787" s="90" t="s">
        <v>234</v>
      </c>
      <c r="B2787" s="89" t="s">
        <v>1089</v>
      </c>
      <c r="C2787" s="98" t="s">
        <v>449</v>
      </c>
    </row>
    <row r="2788" spans="1:3" ht="15">
      <c r="A2788" s="90" t="s">
        <v>234</v>
      </c>
      <c r="B2788" s="89" t="s">
        <v>943</v>
      </c>
      <c r="C2788" s="98" t="s">
        <v>449</v>
      </c>
    </row>
    <row r="2789" spans="1:3" ht="15">
      <c r="A2789" s="90" t="s">
        <v>234</v>
      </c>
      <c r="B2789" s="89" t="s">
        <v>1090</v>
      </c>
      <c r="C2789" s="98" t="s">
        <v>449</v>
      </c>
    </row>
    <row r="2790" spans="1:3" ht="15">
      <c r="A2790" s="90" t="s">
        <v>234</v>
      </c>
      <c r="B2790" s="89" t="s">
        <v>933</v>
      </c>
      <c r="C2790" s="98" t="s">
        <v>449</v>
      </c>
    </row>
    <row r="2791" spans="1:3" ht="15">
      <c r="A2791" s="90" t="s">
        <v>234</v>
      </c>
      <c r="B2791" s="89" t="s">
        <v>338</v>
      </c>
      <c r="C2791" s="98" t="s">
        <v>449</v>
      </c>
    </row>
    <row r="2792" spans="1:3" ht="15">
      <c r="A2792" s="90" t="s">
        <v>234</v>
      </c>
      <c r="B2792" s="89" t="s">
        <v>1091</v>
      </c>
      <c r="C2792" s="98" t="s">
        <v>449</v>
      </c>
    </row>
    <row r="2793" spans="1:3" ht="15">
      <c r="A2793" s="90" t="s">
        <v>234</v>
      </c>
      <c r="B2793" s="89" t="s">
        <v>299</v>
      </c>
      <c r="C2793" s="98" t="s">
        <v>449</v>
      </c>
    </row>
    <row r="2794" spans="1:3" ht="15">
      <c r="A2794" s="90" t="s">
        <v>233</v>
      </c>
      <c r="B2794" s="89" t="s">
        <v>1080</v>
      </c>
      <c r="C2794" s="98" t="s">
        <v>448</v>
      </c>
    </row>
    <row r="2795" spans="1:3" ht="15">
      <c r="A2795" s="90" t="s">
        <v>233</v>
      </c>
      <c r="B2795" s="89" t="s">
        <v>1081</v>
      </c>
      <c r="C2795" s="98" t="s">
        <v>448</v>
      </c>
    </row>
    <row r="2796" spans="1:3" ht="15">
      <c r="A2796" s="90" t="s">
        <v>233</v>
      </c>
      <c r="B2796" s="89" t="s">
        <v>1082</v>
      </c>
      <c r="C2796" s="98" t="s">
        <v>448</v>
      </c>
    </row>
    <row r="2797" spans="1:3" ht="15">
      <c r="A2797" s="90" t="s">
        <v>233</v>
      </c>
      <c r="B2797" s="89" t="s">
        <v>930</v>
      </c>
      <c r="C2797" s="98" t="s">
        <v>448</v>
      </c>
    </row>
    <row r="2798" spans="1:3" ht="15">
      <c r="A2798" s="90" t="s">
        <v>233</v>
      </c>
      <c r="B2798" s="89" t="s">
        <v>940</v>
      </c>
      <c r="C2798" s="98" t="s">
        <v>448</v>
      </c>
    </row>
    <row r="2799" spans="1:3" ht="15">
      <c r="A2799" s="90" t="s">
        <v>233</v>
      </c>
      <c r="B2799" s="89" t="s">
        <v>941</v>
      </c>
      <c r="C2799" s="98" t="s">
        <v>448</v>
      </c>
    </row>
    <row r="2800" spans="1:3" ht="15">
      <c r="A2800" s="90" t="s">
        <v>233</v>
      </c>
      <c r="B2800" s="89" t="s">
        <v>1083</v>
      </c>
      <c r="C2800" s="98" t="s">
        <v>448</v>
      </c>
    </row>
    <row r="2801" spans="1:3" ht="15">
      <c r="A2801" s="90" t="s">
        <v>233</v>
      </c>
      <c r="B2801" s="89" t="s">
        <v>931</v>
      </c>
      <c r="C2801" s="98" t="s">
        <v>448</v>
      </c>
    </row>
    <row r="2802" spans="1:3" ht="15">
      <c r="A2802" s="90" t="s">
        <v>233</v>
      </c>
      <c r="B2802" s="89" t="s">
        <v>1084</v>
      </c>
      <c r="C2802" s="98" t="s">
        <v>448</v>
      </c>
    </row>
    <row r="2803" spans="1:3" ht="15">
      <c r="A2803" s="90" t="s">
        <v>233</v>
      </c>
      <c r="B2803" s="89" t="s">
        <v>1085</v>
      </c>
      <c r="C2803" s="98" t="s">
        <v>448</v>
      </c>
    </row>
    <row r="2804" spans="1:3" ht="15">
      <c r="A2804" s="90" t="s">
        <v>233</v>
      </c>
      <c r="B2804" s="89" t="s">
        <v>1086</v>
      </c>
      <c r="C2804" s="98" t="s">
        <v>448</v>
      </c>
    </row>
    <row r="2805" spans="1:3" ht="15">
      <c r="A2805" s="90" t="s">
        <v>233</v>
      </c>
      <c r="B2805" s="89" t="s">
        <v>942</v>
      </c>
      <c r="C2805" s="98" t="s">
        <v>448</v>
      </c>
    </row>
    <row r="2806" spans="1:3" ht="15">
      <c r="A2806" s="90" t="s">
        <v>233</v>
      </c>
      <c r="B2806" s="89" t="s">
        <v>938</v>
      </c>
      <c r="C2806" s="98" t="s">
        <v>448</v>
      </c>
    </row>
    <row r="2807" spans="1:3" ht="15">
      <c r="A2807" s="90" t="s">
        <v>233</v>
      </c>
      <c r="B2807" s="89" t="s">
        <v>935</v>
      </c>
      <c r="C2807" s="98" t="s">
        <v>448</v>
      </c>
    </row>
    <row r="2808" spans="1:3" ht="15">
      <c r="A2808" s="90" t="s">
        <v>233</v>
      </c>
      <c r="B2808" s="89" t="s">
        <v>934</v>
      </c>
      <c r="C2808" s="98" t="s">
        <v>448</v>
      </c>
    </row>
    <row r="2809" spans="1:3" ht="15">
      <c r="A2809" s="90" t="s">
        <v>233</v>
      </c>
      <c r="B2809" s="89" t="s">
        <v>1087</v>
      </c>
      <c r="C2809" s="98" t="s">
        <v>448</v>
      </c>
    </row>
    <row r="2810" spans="1:3" ht="15">
      <c r="A2810" s="90" t="s">
        <v>233</v>
      </c>
      <c r="B2810" s="89" t="s">
        <v>1088</v>
      </c>
      <c r="C2810" s="98" t="s">
        <v>448</v>
      </c>
    </row>
    <row r="2811" spans="1:3" ht="15">
      <c r="A2811" s="90" t="s">
        <v>233</v>
      </c>
      <c r="B2811" s="89" t="s">
        <v>936</v>
      </c>
      <c r="C2811" s="98" t="s">
        <v>448</v>
      </c>
    </row>
    <row r="2812" spans="1:3" ht="15">
      <c r="A2812" s="90" t="s">
        <v>233</v>
      </c>
      <c r="B2812" s="89" t="s">
        <v>1089</v>
      </c>
      <c r="C2812" s="98" t="s">
        <v>448</v>
      </c>
    </row>
    <row r="2813" spans="1:3" ht="15">
      <c r="A2813" s="90" t="s">
        <v>233</v>
      </c>
      <c r="B2813" s="89" t="s">
        <v>943</v>
      </c>
      <c r="C2813" s="98" t="s">
        <v>448</v>
      </c>
    </row>
    <row r="2814" spans="1:3" ht="15">
      <c r="A2814" s="90" t="s">
        <v>233</v>
      </c>
      <c r="B2814" s="89" t="s">
        <v>1090</v>
      </c>
      <c r="C2814" s="98" t="s">
        <v>448</v>
      </c>
    </row>
    <row r="2815" spans="1:3" ht="15">
      <c r="A2815" s="90" t="s">
        <v>233</v>
      </c>
      <c r="B2815" s="89" t="s">
        <v>933</v>
      </c>
      <c r="C2815" s="98" t="s">
        <v>448</v>
      </c>
    </row>
    <row r="2816" spans="1:3" ht="15">
      <c r="A2816" s="90" t="s">
        <v>233</v>
      </c>
      <c r="B2816" s="89" t="s">
        <v>338</v>
      </c>
      <c r="C2816" s="98" t="s">
        <v>448</v>
      </c>
    </row>
    <row r="2817" spans="1:3" ht="15">
      <c r="A2817" s="90" t="s">
        <v>233</v>
      </c>
      <c r="B2817" s="89" t="s">
        <v>1091</v>
      </c>
      <c r="C2817" s="98" t="s">
        <v>448</v>
      </c>
    </row>
    <row r="2818" spans="1:3" ht="15">
      <c r="A2818" s="90" t="s">
        <v>233</v>
      </c>
      <c r="B2818" s="89" t="s">
        <v>299</v>
      </c>
      <c r="C2818" s="98" t="s">
        <v>448</v>
      </c>
    </row>
    <row r="2819" spans="1:3" ht="15">
      <c r="A2819" s="90" t="s">
        <v>232</v>
      </c>
      <c r="B2819" s="89" t="s">
        <v>1080</v>
      </c>
      <c r="C2819" s="98" t="s">
        <v>447</v>
      </c>
    </row>
    <row r="2820" spans="1:3" ht="15">
      <c r="A2820" s="90" t="s">
        <v>232</v>
      </c>
      <c r="B2820" s="89" t="s">
        <v>1081</v>
      </c>
      <c r="C2820" s="98" t="s">
        <v>447</v>
      </c>
    </row>
    <row r="2821" spans="1:3" ht="15">
      <c r="A2821" s="90" t="s">
        <v>232</v>
      </c>
      <c r="B2821" s="89" t="s">
        <v>1082</v>
      </c>
      <c r="C2821" s="98" t="s">
        <v>447</v>
      </c>
    </row>
    <row r="2822" spans="1:3" ht="15">
      <c r="A2822" s="90" t="s">
        <v>232</v>
      </c>
      <c r="B2822" s="89" t="s">
        <v>930</v>
      </c>
      <c r="C2822" s="98" t="s">
        <v>447</v>
      </c>
    </row>
    <row r="2823" spans="1:3" ht="15">
      <c r="A2823" s="90" t="s">
        <v>232</v>
      </c>
      <c r="B2823" s="89" t="s">
        <v>940</v>
      </c>
      <c r="C2823" s="98" t="s">
        <v>447</v>
      </c>
    </row>
    <row r="2824" spans="1:3" ht="15">
      <c r="A2824" s="90" t="s">
        <v>232</v>
      </c>
      <c r="B2824" s="89" t="s">
        <v>941</v>
      </c>
      <c r="C2824" s="98" t="s">
        <v>447</v>
      </c>
    </row>
    <row r="2825" spans="1:3" ht="15">
      <c r="A2825" s="90" t="s">
        <v>232</v>
      </c>
      <c r="B2825" s="89" t="s">
        <v>1083</v>
      </c>
      <c r="C2825" s="98" t="s">
        <v>447</v>
      </c>
    </row>
    <row r="2826" spans="1:3" ht="15">
      <c r="A2826" s="90" t="s">
        <v>232</v>
      </c>
      <c r="B2826" s="89" t="s">
        <v>931</v>
      </c>
      <c r="C2826" s="98" t="s">
        <v>447</v>
      </c>
    </row>
    <row r="2827" spans="1:3" ht="15">
      <c r="A2827" s="90" t="s">
        <v>232</v>
      </c>
      <c r="B2827" s="89" t="s">
        <v>1084</v>
      </c>
      <c r="C2827" s="98" t="s">
        <v>447</v>
      </c>
    </row>
    <row r="2828" spans="1:3" ht="15">
      <c r="A2828" s="90" t="s">
        <v>232</v>
      </c>
      <c r="B2828" s="89" t="s">
        <v>1085</v>
      </c>
      <c r="C2828" s="98" t="s">
        <v>447</v>
      </c>
    </row>
    <row r="2829" spans="1:3" ht="15">
      <c r="A2829" s="90" t="s">
        <v>232</v>
      </c>
      <c r="B2829" s="89" t="s">
        <v>1086</v>
      </c>
      <c r="C2829" s="98" t="s">
        <v>447</v>
      </c>
    </row>
    <row r="2830" spans="1:3" ht="15">
      <c r="A2830" s="90" t="s">
        <v>232</v>
      </c>
      <c r="B2830" s="89" t="s">
        <v>942</v>
      </c>
      <c r="C2830" s="98" t="s">
        <v>447</v>
      </c>
    </row>
    <row r="2831" spans="1:3" ht="15">
      <c r="A2831" s="90" t="s">
        <v>232</v>
      </c>
      <c r="B2831" s="89" t="s">
        <v>938</v>
      </c>
      <c r="C2831" s="98" t="s">
        <v>447</v>
      </c>
    </row>
    <row r="2832" spans="1:3" ht="15">
      <c r="A2832" s="90" t="s">
        <v>232</v>
      </c>
      <c r="B2832" s="89" t="s">
        <v>935</v>
      </c>
      <c r="C2832" s="98" t="s">
        <v>447</v>
      </c>
    </row>
    <row r="2833" spans="1:3" ht="15">
      <c r="A2833" s="90" t="s">
        <v>232</v>
      </c>
      <c r="B2833" s="89" t="s">
        <v>934</v>
      </c>
      <c r="C2833" s="98" t="s">
        <v>447</v>
      </c>
    </row>
    <row r="2834" spans="1:3" ht="15">
      <c r="A2834" s="90" t="s">
        <v>232</v>
      </c>
      <c r="B2834" s="89" t="s">
        <v>1087</v>
      </c>
      <c r="C2834" s="98" t="s">
        <v>447</v>
      </c>
    </row>
    <row r="2835" spans="1:3" ht="15">
      <c r="A2835" s="90" t="s">
        <v>232</v>
      </c>
      <c r="B2835" s="89" t="s">
        <v>1088</v>
      </c>
      <c r="C2835" s="98" t="s">
        <v>447</v>
      </c>
    </row>
    <row r="2836" spans="1:3" ht="15">
      <c r="A2836" s="90" t="s">
        <v>232</v>
      </c>
      <c r="B2836" s="89" t="s">
        <v>936</v>
      </c>
      <c r="C2836" s="98" t="s">
        <v>447</v>
      </c>
    </row>
    <row r="2837" spans="1:3" ht="15">
      <c r="A2837" s="90" t="s">
        <v>232</v>
      </c>
      <c r="B2837" s="89" t="s">
        <v>1089</v>
      </c>
      <c r="C2837" s="98" t="s">
        <v>447</v>
      </c>
    </row>
    <row r="2838" spans="1:3" ht="15">
      <c r="A2838" s="90" t="s">
        <v>232</v>
      </c>
      <c r="B2838" s="89" t="s">
        <v>943</v>
      </c>
      <c r="C2838" s="98" t="s">
        <v>447</v>
      </c>
    </row>
    <row r="2839" spans="1:3" ht="15">
      <c r="A2839" s="90" t="s">
        <v>232</v>
      </c>
      <c r="B2839" s="89" t="s">
        <v>1090</v>
      </c>
      <c r="C2839" s="98" t="s">
        <v>447</v>
      </c>
    </row>
    <row r="2840" spans="1:3" ht="15">
      <c r="A2840" s="90" t="s">
        <v>232</v>
      </c>
      <c r="B2840" s="89" t="s">
        <v>933</v>
      </c>
      <c r="C2840" s="98" t="s">
        <v>447</v>
      </c>
    </row>
    <row r="2841" spans="1:3" ht="15">
      <c r="A2841" s="90" t="s">
        <v>232</v>
      </c>
      <c r="B2841" s="89" t="s">
        <v>338</v>
      </c>
      <c r="C2841" s="98" t="s">
        <v>447</v>
      </c>
    </row>
    <row r="2842" spans="1:3" ht="15">
      <c r="A2842" s="90" t="s">
        <v>232</v>
      </c>
      <c r="B2842" s="89" t="s">
        <v>1091</v>
      </c>
      <c r="C2842" s="98" t="s">
        <v>447</v>
      </c>
    </row>
    <row r="2843" spans="1:3" ht="15">
      <c r="A2843" s="90" t="s">
        <v>232</v>
      </c>
      <c r="B2843" s="89" t="s">
        <v>299</v>
      </c>
      <c r="C2843" s="98" t="s">
        <v>447</v>
      </c>
    </row>
    <row r="2844" spans="1:3" ht="15">
      <c r="A2844" s="90" t="s">
        <v>231</v>
      </c>
      <c r="B2844" s="89" t="s">
        <v>1080</v>
      </c>
      <c r="C2844" s="98" t="s">
        <v>446</v>
      </c>
    </row>
    <row r="2845" spans="1:3" ht="15">
      <c r="A2845" s="90" t="s">
        <v>231</v>
      </c>
      <c r="B2845" s="89" t="s">
        <v>1081</v>
      </c>
      <c r="C2845" s="98" t="s">
        <v>446</v>
      </c>
    </row>
    <row r="2846" spans="1:3" ht="15">
      <c r="A2846" s="90" t="s">
        <v>231</v>
      </c>
      <c r="B2846" s="89" t="s">
        <v>1082</v>
      </c>
      <c r="C2846" s="98" t="s">
        <v>446</v>
      </c>
    </row>
    <row r="2847" spans="1:3" ht="15">
      <c r="A2847" s="90" t="s">
        <v>231</v>
      </c>
      <c r="B2847" s="89" t="s">
        <v>930</v>
      </c>
      <c r="C2847" s="98" t="s">
        <v>446</v>
      </c>
    </row>
    <row r="2848" spans="1:3" ht="15">
      <c r="A2848" s="90" t="s">
        <v>231</v>
      </c>
      <c r="B2848" s="89" t="s">
        <v>940</v>
      </c>
      <c r="C2848" s="98" t="s">
        <v>446</v>
      </c>
    </row>
    <row r="2849" spans="1:3" ht="15">
      <c r="A2849" s="90" t="s">
        <v>231</v>
      </c>
      <c r="B2849" s="89" t="s">
        <v>941</v>
      </c>
      <c r="C2849" s="98" t="s">
        <v>446</v>
      </c>
    </row>
    <row r="2850" spans="1:3" ht="15">
      <c r="A2850" s="90" t="s">
        <v>231</v>
      </c>
      <c r="B2850" s="89" t="s">
        <v>1083</v>
      </c>
      <c r="C2850" s="98" t="s">
        <v>446</v>
      </c>
    </row>
    <row r="2851" spans="1:3" ht="15">
      <c r="A2851" s="90" t="s">
        <v>231</v>
      </c>
      <c r="B2851" s="89" t="s">
        <v>931</v>
      </c>
      <c r="C2851" s="98" t="s">
        <v>446</v>
      </c>
    </row>
    <row r="2852" spans="1:3" ht="15">
      <c r="A2852" s="90" t="s">
        <v>231</v>
      </c>
      <c r="B2852" s="89" t="s">
        <v>1084</v>
      </c>
      <c r="C2852" s="98" t="s">
        <v>446</v>
      </c>
    </row>
    <row r="2853" spans="1:3" ht="15">
      <c r="A2853" s="90" t="s">
        <v>231</v>
      </c>
      <c r="B2853" s="89" t="s">
        <v>1085</v>
      </c>
      <c r="C2853" s="98" t="s">
        <v>446</v>
      </c>
    </row>
    <row r="2854" spans="1:3" ht="15">
      <c r="A2854" s="90" t="s">
        <v>231</v>
      </c>
      <c r="B2854" s="89" t="s">
        <v>1086</v>
      </c>
      <c r="C2854" s="98" t="s">
        <v>446</v>
      </c>
    </row>
    <row r="2855" spans="1:3" ht="15">
      <c r="A2855" s="90" t="s">
        <v>231</v>
      </c>
      <c r="B2855" s="89" t="s">
        <v>942</v>
      </c>
      <c r="C2855" s="98" t="s">
        <v>446</v>
      </c>
    </row>
    <row r="2856" spans="1:3" ht="15">
      <c r="A2856" s="90" t="s">
        <v>231</v>
      </c>
      <c r="B2856" s="89" t="s">
        <v>938</v>
      </c>
      <c r="C2856" s="98" t="s">
        <v>446</v>
      </c>
    </row>
    <row r="2857" spans="1:3" ht="15">
      <c r="A2857" s="90" t="s">
        <v>231</v>
      </c>
      <c r="B2857" s="89" t="s">
        <v>935</v>
      </c>
      <c r="C2857" s="98" t="s">
        <v>446</v>
      </c>
    </row>
    <row r="2858" spans="1:3" ht="15">
      <c r="A2858" s="90" t="s">
        <v>231</v>
      </c>
      <c r="B2858" s="89" t="s">
        <v>934</v>
      </c>
      <c r="C2858" s="98" t="s">
        <v>446</v>
      </c>
    </row>
    <row r="2859" spans="1:3" ht="15">
      <c r="A2859" s="90" t="s">
        <v>231</v>
      </c>
      <c r="B2859" s="89" t="s">
        <v>1087</v>
      </c>
      <c r="C2859" s="98" t="s">
        <v>446</v>
      </c>
    </row>
    <row r="2860" spans="1:3" ht="15">
      <c r="A2860" s="90" t="s">
        <v>231</v>
      </c>
      <c r="B2860" s="89" t="s">
        <v>1088</v>
      </c>
      <c r="C2860" s="98" t="s">
        <v>446</v>
      </c>
    </row>
    <row r="2861" spans="1:3" ht="15">
      <c r="A2861" s="90" t="s">
        <v>231</v>
      </c>
      <c r="B2861" s="89" t="s">
        <v>936</v>
      </c>
      <c r="C2861" s="98" t="s">
        <v>446</v>
      </c>
    </row>
    <row r="2862" spans="1:3" ht="15">
      <c r="A2862" s="90" t="s">
        <v>231</v>
      </c>
      <c r="B2862" s="89" t="s">
        <v>1089</v>
      </c>
      <c r="C2862" s="98" t="s">
        <v>446</v>
      </c>
    </row>
    <row r="2863" spans="1:3" ht="15">
      <c r="A2863" s="90" t="s">
        <v>231</v>
      </c>
      <c r="B2863" s="89" t="s">
        <v>943</v>
      </c>
      <c r="C2863" s="98" t="s">
        <v>446</v>
      </c>
    </row>
    <row r="2864" spans="1:3" ht="15">
      <c r="A2864" s="90" t="s">
        <v>231</v>
      </c>
      <c r="B2864" s="89" t="s">
        <v>1090</v>
      </c>
      <c r="C2864" s="98" t="s">
        <v>446</v>
      </c>
    </row>
    <row r="2865" spans="1:3" ht="15">
      <c r="A2865" s="90" t="s">
        <v>231</v>
      </c>
      <c r="B2865" s="89" t="s">
        <v>933</v>
      </c>
      <c r="C2865" s="98" t="s">
        <v>446</v>
      </c>
    </row>
    <row r="2866" spans="1:3" ht="15">
      <c r="A2866" s="90" t="s">
        <v>231</v>
      </c>
      <c r="B2866" s="89" t="s">
        <v>338</v>
      </c>
      <c r="C2866" s="98" t="s">
        <v>446</v>
      </c>
    </row>
    <row r="2867" spans="1:3" ht="15">
      <c r="A2867" s="90" t="s">
        <v>231</v>
      </c>
      <c r="B2867" s="89" t="s">
        <v>1091</v>
      </c>
      <c r="C2867" s="98" t="s">
        <v>446</v>
      </c>
    </row>
    <row r="2868" spans="1:3" ht="15">
      <c r="A2868" s="90" t="s">
        <v>231</v>
      </c>
      <c r="B2868" s="89" t="s">
        <v>299</v>
      </c>
      <c r="C2868" s="98" t="s">
        <v>446</v>
      </c>
    </row>
    <row r="2869" spans="1:3" ht="15">
      <c r="A2869" s="90" t="s">
        <v>230</v>
      </c>
      <c r="B2869" s="89" t="s">
        <v>1080</v>
      </c>
      <c r="C2869" s="98" t="s">
        <v>445</v>
      </c>
    </row>
    <row r="2870" spans="1:3" ht="15">
      <c r="A2870" s="90" t="s">
        <v>230</v>
      </c>
      <c r="B2870" s="89" t="s">
        <v>1081</v>
      </c>
      <c r="C2870" s="98" t="s">
        <v>445</v>
      </c>
    </row>
    <row r="2871" spans="1:3" ht="15">
      <c r="A2871" s="90" t="s">
        <v>230</v>
      </c>
      <c r="B2871" s="89" t="s">
        <v>1082</v>
      </c>
      <c r="C2871" s="98" t="s">
        <v>445</v>
      </c>
    </row>
    <row r="2872" spans="1:3" ht="15">
      <c r="A2872" s="90" t="s">
        <v>230</v>
      </c>
      <c r="B2872" s="89" t="s">
        <v>930</v>
      </c>
      <c r="C2872" s="98" t="s">
        <v>445</v>
      </c>
    </row>
    <row r="2873" spans="1:3" ht="15">
      <c r="A2873" s="90" t="s">
        <v>230</v>
      </c>
      <c r="B2873" s="89" t="s">
        <v>940</v>
      </c>
      <c r="C2873" s="98" t="s">
        <v>445</v>
      </c>
    </row>
    <row r="2874" spans="1:3" ht="15">
      <c r="A2874" s="90" t="s">
        <v>230</v>
      </c>
      <c r="B2874" s="89" t="s">
        <v>941</v>
      </c>
      <c r="C2874" s="98" t="s">
        <v>445</v>
      </c>
    </row>
    <row r="2875" spans="1:3" ht="15">
      <c r="A2875" s="90" t="s">
        <v>230</v>
      </c>
      <c r="B2875" s="89" t="s">
        <v>1083</v>
      </c>
      <c r="C2875" s="98" t="s">
        <v>445</v>
      </c>
    </row>
    <row r="2876" spans="1:3" ht="15">
      <c r="A2876" s="90" t="s">
        <v>230</v>
      </c>
      <c r="B2876" s="89" t="s">
        <v>931</v>
      </c>
      <c r="C2876" s="98" t="s">
        <v>445</v>
      </c>
    </row>
    <row r="2877" spans="1:3" ht="15">
      <c r="A2877" s="90" t="s">
        <v>230</v>
      </c>
      <c r="B2877" s="89" t="s">
        <v>1084</v>
      </c>
      <c r="C2877" s="98" t="s">
        <v>445</v>
      </c>
    </row>
    <row r="2878" spans="1:3" ht="15">
      <c r="A2878" s="90" t="s">
        <v>230</v>
      </c>
      <c r="B2878" s="89" t="s">
        <v>1085</v>
      </c>
      <c r="C2878" s="98" t="s">
        <v>445</v>
      </c>
    </row>
    <row r="2879" spans="1:3" ht="15">
      <c r="A2879" s="90" t="s">
        <v>230</v>
      </c>
      <c r="B2879" s="89" t="s">
        <v>1086</v>
      </c>
      <c r="C2879" s="98" t="s">
        <v>445</v>
      </c>
    </row>
    <row r="2880" spans="1:3" ht="15">
      <c r="A2880" s="90" t="s">
        <v>230</v>
      </c>
      <c r="B2880" s="89" t="s">
        <v>942</v>
      </c>
      <c r="C2880" s="98" t="s">
        <v>445</v>
      </c>
    </row>
    <row r="2881" spans="1:3" ht="15">
      <c r="A2881" s="90" t="s">
        <v>230</v>
      </c>
      <c r="B2881" s="89" t="s">
        <v>938</v>
      </c>
      <c r="C2881" s="98" t="s">
        <v>445</v>
      </c>
    </row>
    <row r="2882" spans="1:3" ht="15">
      <c r="A2882" s="90" t="s">
        <v>230</v>
      </c>
      <c r="B2882" s="89" t="s">
        <v>935</v>
      </c>
      <c r="C2882" s="98" t="s">
        <v>445</v>
      </c>
    </row>
    <row r="2883" spans="1:3" ht="15">
      <c r="A2883" s="90" t="s">
        <v>230</v>
      </c>
      <c r="B2883" s="89" t="s">
        <v>934</v>
      </c>
      <c r="C2883" s="98" t="s">
        <v>445</v>
      </c>
    </row>
    <row r="2884" spans="1:3" ht="15">
      <c r="A2884" s="90" t="s">
        <v>230</v>
      </c>
      <c r="B2884" s="89" t="s">
        <v>1087</v>
      </c>
      <c r="C2884" s="98" t="s">
        <v>445</v>
      </c>
    </row>
    <row r="2885" spans="1:3" ht="15">
      <c r="A2885" s="90" t="s">
        <v>230</v>
      </c>
      <c r="B2885" s="89" t="s">
        <v>1088</v>
      </c>
      <c r="C2885" s="98" t="s">
        <v>445</v>
      </c>
    </row>
    <row r="2886" spans="1:3" ht="15">
      <c r="A2886" s="90" t="s">
        <v>230</v>
      </c>
      <c r="B2886" s="89" t="s">
        <v>936</v>
      </c>
      <c r="C2886" s="98" t="s">
        <v>445</v>
      </c>
    </row>
    <row r="2887" spans="1:3" ht="15">
      <c r="A2887" s="90" t="s">
        <v>230</v>
      </c>
      <c r="B2887" s="89" t="s">
        <v>1089</v>
      </c>
      <c r="C2887" s="98" t="s">
        <v>445</v>
      </c>
    </row>
    <row r="2888" spans="1:3" ht="15">
      <c r="A2888" s="90" t="s">
        <v>230</v>
      </c>
      <c r="B2888" s="89" t="s">
        <v>943</v>
      </c>
      <c r="C2888" s="98" t="s">
        <v>445</v>
      </c>
    </row>
    <row r="2889" spans="1:3" ht="15">
      <c r="A2889" s="90" t="s">
        <v>230</v>
      </c>
      <c r="B2889" s="89" t="s">
        <v>1090</v>
      </c>
      <c r="C2889" s="98" t="s">
        <v>445</v>
      </c>
    </row>
    <row r="2890" spans="1:3" ht="15">
      <c r="A2890" s="90" t="s">
        <v>230</v>
      </c>
      <c r="B2890" s="89" t="s">
        <v>933</v>
      </c>
      <c r="C2890" s="98" t="s">
        <v>445</v>
      </c>
    </row>
    <row r="2891" spans="1:3" ht="15">
      <c r="A2891" s="90" t="s">
        <v>230</v>
      </c>
      <c r="B2891" s="89" t="s">
        <v>338</v>
      </c>
      <c r="C2891" s="98" t="s">
        <v>445</v>
      </c>
    </row>
    <row r="2892" spans="1:3" ht="15">
      <c r="A2892" s="90" t="s">
        <v>230</v>
      </c>
      <c r="B2892" s="89" t="s">
        <v>1091</v>
      </c>
      <c r="C2892" s="98" t="s">
        <v>445</v>
      </c>
    </row>
    <row r="2893" spans="1:3" ht="15">
      <c r="A2893" s="90" t="s">
        <v>230</v>
      </c>
      <c r="B2893" s="89" t="s">
        <v>299</v>
      </c>
      <c r="C2893" s="98" t="s">
        <v>445</v>
      </c>
    </row>
    <row r="2894" spans="1:3" ht="15">
      <c r="A2894" s="90" t="s">
        <v>229</v>
      </c>
      <c r="B2894" s="89" t="s">
        <v>1080</v>
      </c>
      <c r="C2894" s="98" t="s">
        <v>444</v>
      </c>
    </row>
    <row r="2895" spans="1:3" ht="15">
      <c r="A2895" s="90" t="s">
        <v>229</v>
      </c>
      <c r="B2895" s="89" t="s">
        <v>1081</v>
      </c>
      <c r="C2895" s="98" t="s">
        <v>444</v>
      </c>
    </row>
    <row r="2896" spans="1:3" ht="15">
      <c r="A2896" s="90" t="s">
        <v>229</v>
      </c>
      <c r="B2896" s="89" t="s">
        <v>1082</v>
      </c>
      <c r="C2896" s="98" t="s">
        <v>444</v>
      </c>
    </row>
    <row r="2897" spans="1:3" ht="15">
      <c r="A2897" s="90" t="s">
        <v>229</v>
      </c>
      <c r="B2897" s="89" t="s">
        <v>930</v>
      </c>
      <c r="C2897" s="98" t="s">
        <v>444</v>
      </c>
    </row>
    <row r="2898" spans="1:3" ht="15">
      <c r="A2898" s="90" t="s">
        <v>229</v>
      </c>
      <c r="B2898" s="89" t="s">
        <v>940</v>
      </c>
      <c r="C2898" s="98" t="s">
        <v>444</v>
      </c>
    </row>
    <row r="2899" spans="1:3" ht="15">
      <c r="A2899" s="90" t="s">
        <v>229</v>
      </c>
      <c r="B2899" s="89" t="s">
        <v>941</v>
      </c>
      <c r="C2899" s="98" t="s">
        <v>444</v>
      </c>
    </row>
    <row r="2900" spans="1:3" ht="15">
      <c r="A2900" s="90" t="s">
        <v>229</v>
      </c>
      <c r="B2900" s="89" t="s">
        <v>1083</v>
      </c>
      <c r="C2900" s="98" t="s">
        <v>444</v>
      </c>
    </row>
    <row r="2901" spans="1:3" ht="15">
      <c r="A2901" s="90" t="s">
        <v>229</v>
      </c>
      <c r="B2901" s="89" t="s">
        <v>931</v>
      </c>
      <c r="C2901" s="98" t="s">
        <v>444</v>
      </c>
    </row>
    <row r="2902" spans="1:3" ht="15">
      <c r="A2902" s="90" t="s">
        <v>229</v>
      </c>
      <c r="B2902" s="89" t="s">
        <v>1084</v>
      </c>
      <c r="C2902" s="98" t="s">
        <v>444</v>
      </c>
    </row>
    <row r="2903" spans="1:3" ht="15">
      <c r="A2903" s="90" t="s">
        <v>229</v>
      </c>
      <c r="B2903" s="89" t="s">
        <v>1085</v>
      </c>
      <c r="C2903" s="98" t="s">
        <v>444</v>
      </c>
    </row>
    <row r="2904" spans="1:3" ht="15">
      <c r="A2904" s="90" t="s">
        <v>229</v>
      </c>
      <c r="B2904" s="89" t="s">
        <v>1086</v>
      </c>
      <c r="C2904" s="98" t="s">
        <v>444</v>
      </c>
    </row>
    <row r="2905" spans="1:3" ht="15">
      <c r="A2905" s="90" t="s">
        <v>229</v>
      </c>
      <c r="B2905" s="89" t="s">
        <v>942</v>
      </c>
      <c r="C2905" s="98" t="s">
        <v>444</v>
      </c>
    </row>
    <row r="2906" spans="1:3" ht="15">
      <c r="A2906" s="90" t="s">
        <v>229</v>
      </c>
      <c r="B2906" s="89" t="s">
        <v>938</v>
      </c>
      <c r="C2906" s="98" t="s">
        <v>444</v>
      </c>
    </row>
    <row r="2907" spans="1:3" ht="15">
      <c r="A2907" s="90" t="s">
        <v>229</v>
      </c>
      <c r="B2907" s="89" t="s">
        <v>935</v>
      </c>
      <c r="C2907" s="98" t="s">
        <v>444</v>
      </c>
    </row>
    <row r="2908" spans="1:3" ht="15">
      <c r="A2908" s="90" t="s">
        <v>229</v>
      </c>
      <c r="B2908" s="89" t="s">
        <v>934</v>
      </c>
      <c r="C2908" s="98" t="s">
        <v>444</v>
      </c>
    </row>
    <row r="2909" spans="1:3" ht="15">
      <c r="A2909" s="90" t="s">
        <v>229</v>
      </c>
      <c r="B2909" s="89" t="s">
        <v>1087</v>
      </c>
      <c r="C2909" s="98" t="s">
        <v>444</v>
      </c>
    </row>
    <row r="2910" spans="1:3" ht="15">
      <c r="A2910" s="90" t="s">
        <v>229</v>
      </c>
      <c r="B2910" s="89" t="s">
        <v>1088</v>
      </c>
      <c r="C2910" s="98" t="s">
        <v>444</v>
      </c>
    </row>
    <row r="2911" spans="1:3" ht="15">
      <c r="A2911" s="90" t="s">
        <v>229</v>
      </c>
      <c r="B2911" s="89" t="s">
        <v>936</v>
      </c>
      <c r="C2911" s="98" t="s">
        <v>444</v>
      </c>
    </row>
    <row r="2912" spans="1:3" ht="15">
      <c r="A2912" s="90" t="s">
        <v>229</v>
      </c>
      <c r="B2912" s="89" t="s">
        <v>1089</v>
      </c>
      <c r="C2912" s="98" t="s">
        <v>444</v>
      </c>
    </row>
    <row r="2913" spans="1:3" ht="15">
      <c r="A2913" s="90" t="s">
        <v>229</v>
      </c>
      <c r="B2913" s="89" t="s">
        <v>943</v>
      </c>
      <c r="C2913" s="98" t="s">
        <v>444</v>
      </c>
    </row>
    <row r="2914" spans="1:3" ht="15">
      <c r="A2914" s="90" t="s">
        <v>229</v>
      </c>
      <c r="B2914" s="89" t="s">
        <v>1090</v>
      </c>
      <c r="C2914" s="98" t="s">
        <v>444</v>
      </c>
    </row>
    <row r="2915" spans="1:3" ht="15">
      <c r="A2915" s="90" t="s">
        <v>229</v>
      </c>
      <c r="B2915" s="89" t="s">
        <v>933</v>
      </c>
      <c r="C2915" s="98" t="s">
        <v>444</v>
      </c>
    </row>
    <row r="2916" spans="1:3" ht="15">
      <c r="A2916" s="90" t="s">
        <v>229</v>
      </c>
      <c r="B2916" s="89" t="s">
        <v>338</v>
      </c>
      <c r="C2916" s="98" t="s">
        <v>444</v>
      </c>
    </row>
    <row r="2917" spans="1:3" ht="15">
      <c r="A2917" s="90" t="s">
        <v>229</v>
      </c>
      <c r="B2917" s="89" t="s">
        <v>1091</v>
      </c>
      <c r="C2917" s="98" t="s">
        <v>444</v>
      </c>
    </row>
    <row r="2918" spans="1:3" ht="15">
      <c r="A2918" s="90" t="s">
        <v>229</v>
      </c>
      <c r="B2918" s="89" t="s">
        <v>299</v>
      </c>
      <c r="C2918" s="98" t="s">
        <v>444</v>
      </c>
    </row>
    <row r="2919" spans="1:3" ht="15">
      <c r="A2919" s="90" t="s">
        <v>228</v>
      </c>
      <c r="B2919" s="89" t="s">
        <v>1080</v>
      </c>
      <c r="C2919" s="98" t="s">
        <v>443</v>
      </c>
    </row>
    <row r="2920" spans="1:3" ht="15">
      <c r="A2920" s="90" t="s">
        <v>228</v>
      </c>
      <c r="B2920" s="89" t="s">
        <v>1081</v>
      </c>
      <c r="C2920" s="98" t="s">
        <v>443</v>
      </c>
    </row>
    <row r="2921" spans="1:3" ht="15">
      <c r="A2921" s="90" t="s">
        <v>228</v>
      </c>
      <c r="B2921" s="89" t="s">
        <v>1082</v>
      </c>
      <c r="C2921" s="98" t="s">
        <v>443</v>
      </c>
    </row>
    <row r="2922" spans="1:3" ht="15">
      <c r="A2922" s="90" t="s">
        <v>228</v>
      </c>
      <c r="B2922" s="89" t="s">
        <v>930</v>
      </c>
      <c r="C2922" s="98" t="s">
        <v>443</v>
      </c>
    </row>
    <row r="2923" spans="1:3" ht="15">
      <c r="A2923" s="90" t="s">
        <v>228</v>
      </c>
      <c r="B2923" s="89" t="s">
        <v>940</v>
      </c>
      <c r="C2923" s="98" t="s">
        <v>443</v>
      </c>
    </row>
    <row r="2924" spans="1:3" ht="15">
      <c r="A2924" s="90" t="s">
        <v>228</v>
      </c>
      <c r="B2924" s="89" t="s">
        <v>941</v>
      </c>
      <c r="C2924" s="98" t="s">
        <v>443</v>
      </c>
    </row>
    <row r="2925" spans="1:3" ht="15">
      <c r="A2925" s="90" t="s">
        <v>228</v>
      </c>
      <c r="B2925" s="89" t="s">
        <v>1083</v>
      </c>
      <c r="C2925" s="98" t="s">
        <v>443</v>
      </c>
    </row>
    <row r="2926" spans="1:3" ht="15">
      <c r="A2926" s="90" t="s">
        <v>228</v>
      </c>
      <c r="B2926" s="89" t="s">
        <v>931</v>
      </c>
      <c r="C2926" s="98" t="s">
        <v>443</v>
      </c>
    </row>
    <row r="2927" spans="1:3" ht="15">
      <c r="A2927" s="90" t="s">
        <v>228</v>
      </c>
      <c r="B2927" s="89" t="s">
        <v>1084</v>
      </c>
      <c r="C2927" s="98" t="s">
        <v>443</v>
      </c>
    </row>
    <row r="2928" spans="1:3" ht="15">
      <c r="A2928" s="90" t="s">
        <v>228</v>
      </c>
      <c r="B2928" s="89" t="s">
        <v>1085</v>
      </c>
      <c r="C2928" s="98" t="s">
        <v>443</v>
      </c>
    </row>
    <row r="2929" spans="1:3" ht="15">
      <c r="A2929" s="90" t="s">
        <v>228</v>
      </c>
      <c r="B2929" s="89" t="s">
        <v>1086</v>
      </c>
      <c r="C2929" s="98" t="s">
        <v>443</v>
      </c>
    </row>
    <row r="2930" spans="1:3" ht="15">
      <c r="A2930" s="90" t="s">
        <v>228</v>
      </c>
      <c r="B2930" s="89" t="s">
        <v>942</v>
      </c>
      <c r="C2930" s="98" t="s">
        <v>443</v>
      </c>
    </row>
    <row r="2931" spans="1:3" ht="15">
      <c r="A2931" s="90" t="s">
        <v>228</v>
      </c>
      <c r="B2931" s="89" t="s">
        <v>938</v>
      </c>
      <c r="C2931" s="98" t="s">
        <v>443</v>
      </c>
    </row>
    <row r="2932" spans="1:3" ht="15">
      <c r="A2932" s="90" t="s">
        <v>228</v>
      </c>
      <c r="B2932" s="89" t="s">
        <v>935</v>
      </c>
      <c r="C2932" s="98" t="s">
        <v>443</v>
      </c>
    </row>
    <row r="2933" spans="1:3" ht="15">
      <c r="A2933" s="90" t="s">
        <v>228</v>
      </c>
      <c r="B2933" s="89" t="s">
        <v>934</v>
      </c>
      <c r="C2933" s="98" t="s">
        <v>443</v>
      </c>
    </row>
    <row r="2934" spans="1:3" ht="15">
      <c r="A2934" s="90" t="s">
        <v>228</v>
      </c>
      <c r="B2934" s="89" t="s">
        <v>1087</v>
      </c>
      <c r="C2934" s="98" t="s">
        <v>443</v>
      </c>
    </row>
    <row r="2935" spans="1:3" ht="15">
      <c r="A2935" s="90" t="s">
        <v>228</v>
      </c>
      <c r="B2935" s="89" t="s">
        <v>1088</v>
      </c>
      <c r="C2935" s="98" t="s">
        <v>443</v>
      </c>
    </row>
    <row r="2936" spans="1:3" ht="15">
      <c r="A2936" s="90" t="s">
        <v>228</v>
      </c>
      <c r="B2936" s="89" t="s">
        <v>936</v>
      </c>
      <c r="C2936" s="98" t="s">
        <v>443</v>
      </c>
    </row>
    <row r="2937" spans="1:3" ht="15">
      <c r="A2937" s="90" t="s">
        <v>228</v>
      </c>
      <c r="B2937" s="89" t="s">
        <v>1089</v>
      </c>
      <c r="C2937" s="98" t="s">
        <v>443</v>
      </c>
    </row>
    <row r="2938" spans="1:3" ht="15">
      <c r="A2938" s="90" t="s">
        <v>228</v>
      </c>
      <c r="B2938" s="89" t="s">
        <v>943</v>
      </c>
      <c r="C2938" s="98" t="s">
        <v>443</v>
      </c>
    </row>
    <row r="2939" spans="1:3" ht="15">
      <c r="A2939" s="90" t="s">
        <v>228</v>
      </c>
      <c r="B2939" s="89" t="s">
        <v>1090</v>
      </c>
      <c r="C2939" s="98" t="s">
        <v>443</v>
      </c>
    </row>
    <row r="2940" spans="1:3" ht="15">
      <c r="A2940" s="90" t="s">
        <v>228</v>
      </c>
      <c r="B2940" s="89" t="s">
        <v>933</v>
      </c>
      <c r="C2940" s="98" t="s">
        <v>443</v>
      </c>
    </row>
    <row r="2941" spans="1:3" ht="15">
      <c r="A2941" s="90" t="s">
        <v>228</v>
      </c>
      <c r="B2941" s="89" t="s">
        <v>338</v>
      </c>
      <c r="C2941" s="98" t="s">
        <v>443</v>
      </c>
    </row>
    <row r="2942" spans="1:3" ht="15">
      <c r="A2942" s="90" t="s">
        <v>228</v>
      </c>
      <c r="B2942" s="89" t="s">
        <v>1091</v>
      </c>
      <c r="C2942" s="98" t="s">
        <v>443</v>
      </c>
    </row>
    <row r="2943" spans="1:3" ht="15">
      <c r="A2943" s="90" t="s">
        <v>228</v>
      </c>
      <c r="B2943" s="89" t="s">
        <v>299</v>
      </c>
      <c r="C2943" s="98" t="s">
        <v>443</v>
      </c>
    </row>
    <row r="2944" spans="1:3" ht="15">
      <c r="A2944" s="90" t="s">
        <v>227</v>
      </c>
      <c r="B2944" s="89" t="s">
        <v>1080</v>
      </c>
      <c r="C2944" s="98" t="s">
        <v>442</v>
      </c>
    </row>
    <row r="2945" spans="1:3" ht="15">
      <c r="A2945" s="90" t="s">
        <v>227</v>
      </c>
      <c r="B2945" s="89" t="s">
        <v>1081</v>
      </c>
      <c r="C2945" s="98" t="s">
        <v>442</v>
      </c>
    </row>
    <row r="2946" spans="1:3" ht="15">
      <c r="A2946" s="90" t="s">
        <v>227</v>
      </c>
      <c r="B2946" s="89" t="s">
        <v>1082</v>
      </c>
      <c r="C2946" s="98" t="s">
        <v>442</v>
      </c>
    </row>
    <row r="2947" spans="1:3" ht="15">
      <c r="A2947" s="90" t="s">
        <v>227</v>
      </c>
      <c r="B2947" s="89" t="s">
        <v>930</v>
      </c>
      <c r="C2947" s="98" t="s">
        <v>442</v>
      </c>
    </row>
    <row r="2948" spans="1:3" ht="15">
      <c r="A2948" s="90" t="s">
        <v>227</v>
      </c>
      <c r="B2948" s="89" t="s">
        <v>940</v>
      </c>
      <c r="C2948" s="98" t="s">
        <v>442</v>
      </c>
    </row>
    <row r="2949" spans="1:3" ht="15">
      <c r="A2949" s="90" t="s">
        <v>227</v>
      </c>
      <c r="B2949" s="89" t="s">
        <v>941</v>
      </c>
      <c r="C2949" s="98" t="s">
        <v>442</v>
      </c>
    </row>
    <row r="2950" spans="1:3" ht="15">
      <c r="A2950" s="90" t="s">
        <v>227</v>
      </c>
      <c r="B2950" s="89" t="s">
        <v>1083</v>
      </c>
      <c r="C2950" s="98" t="s">
        <v>442</v>
      </c>
    </row>
    <row r="2951" spans="1:3" ht="15">
      <c r="A2951" s="90" t="s">
        <v>227</v>
      </c>
      <c r="B2951" s="89" t="s">
        <v>931</v>
      </c>
      <c r="C2951" s="98" t="s">
        <v>442</v>
      </c>
    </row>
    <row r="2952" spans="1:3" ht="15">
      <c r="A2952" s="90" t="s">
        <v>227</v>
      </c>
      <c r="B2952" s="89" t="s">
        <v>1084</v>
      </c>
      <c r="C2952" s="98" t="s">
        <v>442</v>
      </c>
    </row>
    <row r="2953" spans="1:3" ht="15">
      <c r="A2953" s="90" t="s">
        <v>227</v>
      </c>
      <c r="B2953" s="89" t="s">
        <v>1085</v>
      </c>
      <c r="C2953" s="98" t="s">
        <v>442</v>
      </c>
    </row>
    <row r="2954" spans="1:3" ht="15">
      <c r="A2954" s="90" t="s">
        <v>227</v>
      </c>
      <c r="B2954" s="89" t="s">
        <v>1086</v>
      </c>
      <c r="C2954" s="98" t="s">
        <v>442</v>
      </c>
    </row>
    <row r="2955" spans="1:3" ht="15">
      <c r="A2955" s="90" t="s">
        <v>227</v>
      </c>
      <c r="B2955" s="89" t="s">
        <v>942</v>
      </c>
      <c r="C2955" s="98" t="s">
        <v>442</v>
      </c>
    </row>
    <row r="2956" spans="1:3" ht="15">
      <c r="A2956" s="90" t="s">
        <v>227</v>
      </c>
      <c r="B2956" s="89" t="s">
        <v>938</v>
      </c>
      <c r="C2956" s="98" t="s">
        <v>442</v>
      </c>
    </row>
    <row r="2957" spans="1:3" ht="15">
      <c r="A2957" s="90" t="s">
        <v>227</v>
      </c>
      <c r="B2957" s="89" t="s">
        <v>935</v>
      </c>
      <c r="C2957" s="98" t="s">
        <v>442</v>
      </c>
    </row>
    <row r="2958" spans="1:3" ht="15">
      <c r="A2958" s="90" t="s">
        <v>227</v>
      </c>
      <c r="B2958" s="89" t="s">
        <v>934</v>
      </c>
      <c r="C2958" s="98" t="s">
        <v>442</v>
      </c>
    </row>
    <row r="2959" spans="1:3" ht="15">
      <c r="A2959" s="90" t="s">
        <v>227</v>
      </c>
      <c r="B2959" s="89" t="s">
        <v>1087</v>
      </c>
      <c r="C2959" s="98" t="s">
        <v>442</v>
      </c>
    </row>
    <row r="2960" spans="1:3" ht="15">
      <c r="A2960" s="90" t="s">
        <v>227</v>
      </c>
      <c r="B2960" s="89" t="s">
        <v>1088</v>
      </c>
      <c r="C2960" s="98" t="s">
        <v>442</v>
      </c>
    </row>
    <row r="2961" spans="1:3" ht="15">
      <c r="A2961" s="90" t="s">
        <v>227</v>
      </c>
      <c r="B2961" s="89" t="s">
        <v>936</v>
      </c>
      <c r="C2961" s="98" t="s">
        <v>442</v>
      </c>
    </row>
    <row r="2962" spans="1:3" ht="15">
      <c r="A2962" s="90" t="s">
        <v>227</v>
      </c>
      <c r="B2962" s="89" t="s">
        <v>1089</v>
      </c>
      <c r="C2962" s="98" t="s">
        <v>442</v>
      </c>
    </row>
    <row r="2963" spans="1:3" ht="15">
      <c r="A2963" s="90" t="s">
        <v>227</v>
      </c>
      <c r="B2963" s="89" t="s">
        <v>943</v>
      </c>
      <c r="C2963" s="98" t="s">
        <v>442</v>
      </c>
    </row>
    <row r="2964" spans="1:3" ht="15">
      <c r="A2964" s="90" t="s">
        <v>227</v>
      </c>
      <c r="B2964" s="89" t="s">
        <v>1090</v>
      </c>
      <c r="C2964" s="98" t="s">
        <v>442</v>
      </c>
    </row>
    <row r="2965" spans="1:3" ht="15">
      <c r="A2965" s="90" t="s">
        <v>227</v>
      </c>
      <c r="B2965" s="89" t="s">
        <v>933</v>
      </c>
      <c r="C2965" s="98" t="s">
        <v>442</v>
      </c>
    </row>
    <row r="2966" spans="1:3" ht="15">
      <c r="A2966" s="90" t="s">
        <v>227</v>
      </c>
      <c r="B2966" s="89" t="s">
        <v>338</v>
      </c>
      <c r="C2966" s="98" t="s">
        <v>442</v>
      </c>
    </row>
    <row r="2967" spans="1:3" ht="15">
      <c r="A2967" s="90" t="s">
        <v>227</v>
      </c>
      <c r="B2967" s="89" t="s">
        <v>1091</v>
      </c>
      <c r="C2967" s="98" t="s">
        <v>442</v>
      </c>
    </row>
    <row r="2968" spans="1:3" ht="15">
      <c r="A2968" s="90" t="s">
        <v>227</v>
      </c>
      <c r="B2968" s="89" t="s">
        <v>299</v>
      </c>
      <c r="C2968" s="98" t="s">
        <v>442</v>
      </c>
    </row>
    <row r="2969" spans="1:3" ht="15">
      <c r="A2969" s="90" t="s">
        <v>293</v>
      </c>
      <c r="B2969" s="89" t="s">
        <v>1080</v>
      </c>
      <c r="C2969" s="98" t="s">
        <v>526</v>
      </c>
    </row>
    <row r="2970" spans="1:3" ht="15">
      <c r="A2970" s="90" t="s">
        <v>293</v>
      </c>
      <c r="B2970" s="89" t="s">
        <v>1081</v>
      </c>
      <c r="C2970" s="98" t="s">
        <v>526</v>
      </c>
    </row>
    <row r="2971" spans="1:3" ht="15">
      <c r="A2971" s="90" t="s">
        <v>293</v>
      </c>
      <c r="B2971" s="89" t="s">
        <v>1082</v>
      </c>
      <c r="C2971" s="98" t="s">
        <v>526</v>
      </c>
    </row>
    <row r="2972" spans="1:3" ht="15">
      <c r="A2972" s="90" t="s">
        <v>293</v>
      </c>
      <c r="B2972" s="89" t="s">
        <v>930</v>
      </c>
      <c r="C2972" s="98" t="s">
        <v>526</v>
      </c>
    </row>
    <row r="2973" spans="1:3" ht="15">
      <c r="A2973" s="90" t="s">
        <v>293</v>
      </c>
      <c r="B2973" s="89" t="s">
        <v>940</v>
      </c>
      <c r="C2973" s="98" t="s">
        <v>526</v>
      </c>
    </row>
    <row r="2974" spans="1:3" ht="15">
      <c r="A2974" s="90" t="s">
        <v>293</v>
      </c>
      <c r="B2974" s="89" t="s">
        <v>941</v>
      </c>
      <c r="C2974" s="98" t="s">
        <v>526</v>
      </c>
    </row>
    <row r="2975" spans="1:3" ht="15">
      <c r="A2975" s="90" t="s">
        <v>293</v>
      </c>
      <c r="B2975" s="89" t="s">
        <v>1083</v>
      </c>
      <c r="C2975" s="98" t="s">
        <v>526</v>
      </c>
    </row>
    <row r="2976" spans="1:3" ht="15">
      <c r="A2976" s="90" t="s">
        <v>293</v>
      </c>
      <c r="B2976" s="89" t="s">
        <v>931</v>
      </c>
      <c r="C2976" s="98" t="s">
        <v>526</v>
      </c>
    </row>
    <row r="2977" spans="1:3" ht="15">
      <c r="A2977" s="90" t="s">
        <v>293</v>
      </c>
      <c r="B2977" s="89" t="s">
        <v>1084</v>
      </c>
      <c r="C2977" s="98" t="s">
        <v>526</v>
      </c>
    </row>
    <row r="2978" spans="1:3" ht="15">
      <c r="A2978" s="90" t="s">
        <v>293</v>
      </c>
      <c r="B2978" s="89" t="s">
        <v>1085</v>
      </c>
      <c r="C2978" s="98" t="s">
        <v>526</v>
      </c>
    </row>
    <row r="2979" spans="1:3" ht="15">
      <c r="A2979" s="90" t="s">
        <v>293</v>
      </c>
      <c r="B2979" s="89" t="s">
        <v>1086</v>
      </c>
      <c r="C2979" s="98" t="s">
        <v>526</v>
      </c>
    </row>
    <row r="2980" spans="1:3" ht="15">
      <c r="A2980" s="90" t="s">
        <v>293</v>
      </c>
      <c r="B2980" s="89" t="s">
        <v>942</v>
      </c>
      <c r="C2980" s="98" t="s">
        <v>526</v>
      </c>
    </row>
    <row r="2981" spans="1:3" ht="15">
      <c r="A2981" s="90" t="s">
        <v>293</v>
      </c>
      <c r="B2981" s="89" t="s">
        <v>938</v>
      </c>
      <c r="C2981" s="98" t="s">
        <v>526</v>
      </c>
    </row>
    <row r="2982" spans="1:3" ht="15">
      <c r="A2982" s="90" t="s">
        <v>293</v>
      </c>
      <c r="B2982" s="89" t="s">
        <v>935</v>
      </c>
      <c r="C2982" s="98" t="s">
        <v>526</v>
      </c>
    </row>
    <row r="2983" spans="1:3" ht="15">
      <c r="A2983" s="90" t="s">
        <v>293</v>
      </c>
      <c r="B2983" s="89" t="s">
        <v>934</v>
      </c>
      <c r="C2983" s="98" t="s">
        <v>526</v>
      </c>
    </row>
    <row r="2984" spans="1:3" ht="15">
      <c r="A2984" s="90" t="s">
        <v>293</v>
      </c>
      <c r="B2984" s="89" t="s">
        <v>1087</v>
      </c>
      <c r="C2984" s="98" t="s">
        <v>526</v>
      </c>
    </row>
    <row r="2985" spans="1:3" ht="15">
      <c r="A2985" s="90" t="s">
        <v>293</v>
      </c>
      <c r="B2985" s="89" t="s">
        <v>1088</v>
      </c>
      <c r="C2985" s="98" t="s">
        <v>526</v>
      </c>
    </row>
    <row r="2986" spans="1:3" ht="15">
      <c r="A2986" s="90" t="s">
        <v>293</v>
      </c>
      <c r="B2986" s="89" t="s">
        <v>936</v>
      </c>
      <c r="C2986" s="98" t="s">
        <v>526</v>
      </c>
    </row>
    <row r="2987" spans="1:3" ht="15">
      <c r="A2987" s="90" t="s">
        <v>293</v>
      </c>
      <c r="B2987" s="89" t="s">
        <v>1089</v>
      </c>
      <c r="C2987" s="98" t="s">
        <v>526</v>
      </c>
    </row>
    <row r="2988" spans="1:3" ht="15">
      <c r="A2988" s="90" t="s">
        <v>293</v>
      </c>
      <c r="B2988" s="89" t="s">
        <v>943</v>
      </c>
      <c r="C2988" s="98" t="s">
        <v>526</v>
      </c>
    </row>
    <row r="2989" spans="1:3" ht="15">
      <c r="A2989" s="90" t="s">
        <v>293</v>
      </c>
      <c r="B2989" s="89" t="s">
        <v>1090</v>
      </c>
      <c r="C2989" s="98" t="s">
        <v>526</v>
      </c>
    </row>
    <row r="2990" spans="1:3" ht="15">
      <c r="A2990" s="90" t="s">
        <v>293</v>
      </c>
      <c r="B2990" s="89" t="s">
        <v>933</v>
      </c>
      <c r="C2990" s="98" t="s">
        <v>526</v>
      </c>
    </row>
    <row r="2991" spans="1:3" ht="15">
      <c r="A2991" s="90" t="s">
        <v>293</v>
      </c>
      <c r="B2991" s="89" t="s">
        <v>338</v>
      </c>
      <c r="C2991" s="98" t="s">
        <v>526</v>
      </c>
    </row>
    <row r="2992" spans="1:3" ht="15">
      <c r="A2992" s="90" t="s">
        <v>293</v>
      </c>
      <c r="B2992" s="89" t="s">
        <v>1091</v>
      </c>
      <c r="C2992" s="98" t="s">
        <v>526</v>
      </c>
    </row>
    <row r="2993" spans="1:3" ht="15">
      <c r="A2993" s="90" t="s">
        <v>293</v>
      </c>
      <c r="B2993" s="89" t="s">
        <v>299</v>
      </c>
      <c r="C2993" s="98" t="s">
        <v>526</v>
      </c>
    </row>
    <row r="2994" spans="1:3" ht="15">
      <c r="A2994" s="90" t="s">
        <v>299</v>
      </c>
      <c r="B2994" s="89" t="s">
        <v>1080</v>
      </c>
      <c r="C2994" s="98" t="s">
        <v>525</v>
      </c>
    </row>
    <row r="2995" spans="1:3" ht="15">
      <c r="A2995" s="90" t="s">
        <v>299</v>
      </c>
      <c r="B2995" s="89" t="s">
        <v>1081</v>
      </c>
      <c r="C2995" s="98" t="s">
        <v>525</v>
      </c>
    </row>
    <row r="2996" spans="1:3" ht="15">
      <c r="A2996" s="90" t="s">
        <v>299</v>
      </c>
      <c r="B2996" s="89" t="s">
        <v>1082</v>
      </c>
      <c r="C2996" s="98" t="s">
        <v>525</v>
      </c>
    </row>
    <row r="2997" spans="1:3" ht="15">
      <c r="A2997" s="90" t="s">
        <v>299</v>
      </c>
      <c r="B2997" s="89" t="s">
        <v>930</v>
      </c>
      <c r="C2997" s="98" t="s">
        <v>525</v>
      </c>
    </row>
    <row r="2998" spans="1:3" ht="15">
      <c r="A2998" s="90" t="s">
        <v>299</v>
      </c>
      <c r="B2998" s="89" t="s">
        <v>940</v>
      </c>
      <c r="C2998" s="98" t="s">
        <v>525</v>
      </c>
    </row>
    <row r="2999" spans="1:3" ht="15">
      <c r="A2999" s="90" t="s">
        <v>299</v>
      </c>
      <c r="B2999" s="89" t="s">
        <v>941</v>
      </c>
      <c r="C2999" s="98" t="s">
        <v>525</v>
      </c>
    </row>
    <row r="3000" spans="1:3" ht="15">
      <c r="A3000" s="90" t="s">
        <v>299</v>
      </c>
      <c r="B3000" s="89" t="s">
        <v>1083</v>
      </c>
      <c r="C3000" s="98" t="s">
        <v>525</v>
      </c>
    </row>
    <row r="3001" spans="1:3" ht="15">
      <c r="A3001" s="90" t="s">
        <v>299</v>
      </c>
      <c r="B3001" s="89" t="s">
        <v>931</v>
      </c>
      <c r="C3001" s="98" t="s">
        <v>525</v>
      </c>
    </row>
    <row r="3002" spans="1:3" ht="15">
      <c r="A3002" s="90" t="s">
        <v>299</v>
      </c>
      <c r="B3002" s="89" t="s">
        <v>1084</v>
      </c>
      <c r="C3002" s="98" t="s">
        <v>525</v>
      </c>
    </row>
    <row r="3003" spans="1:3" ht="15">
      <c r="A3003" s="90" t="s">
        <v>299</v>
      </c>
      <c r="B3003" s="89" t="s">
        <v>1085</v>
      </c>
      <c r="C3003" s="98" t="s">
        <v>525</v>
      </c>
    </row>
    <row r="3004" spans="1:3" ht="15">
      <c r="A3004" s="90" t="s">
        <v>299</v>
      </c>
      <c r="B3004" s="89" t="s">
        <v>1086</v>
      </c>
      <c r="C3004" s="98" t="s">
        <v>525</v>
      </c>
    </row>
    <row r="3005" spans="1:3" ht="15">
      <c r="A3005" s="90" t="s">
        <v>299</v>
      </c>
      <c r="B3005" s="89" t="s">
        <v>942</v>
      </c>
      <c r="C3005" s="98" t="s">
        <v>525</v>
      </c>
    </row>
    <row r="3006" spans="1:3" ht="15">
      <c r="A3006" s="90" t="s">
        <v>299</v>
      </c>
      <c r="B3006" s="89" t="s">
        <v>938</v>
      </c>
      <c r="C3006" s="98" t="s">
        <v>525</v>
      </c>
    </row>
    <row r="3007" spans="1:3" ht="15">
      <c r="A3007" s="90" t="s">
        <v>299</v>
      </c>
      <c r="B3007" s="89" t="s">
        <v>935</v>
      </c>
      <c r="C3007" s="98" t="s">
        <v>525</v>
      </c>
    </row>
    <row r="3008" spans="1:3" ht="15">
      <c r="A3008" s="90" t="s">
        <v>299</v>
      </c>
      <c r="B3008" s="89" t="s">
        <v>934</v>
      </c>
      <c r="C3008" s="98" t="s">
        <v>525</v>
      </c>
    </row>
    <row r="3009" spans="1:3" ht="15">
      <c r="A3009" s="90" t="s">
        <v>299</v>
      </c>
      <c r="B3009" s="89" t="s">
        <v>1087</v>
      </c>
      <c r="C3009" s="98" t="s">
        <v>525</v>
      </c>
    </row>
    <row r="3010" spans="1:3" ht="15">
      <c r="A3010" s="90" t="s">
        <v>299</v>
      </c>
      <c r="B3010" s="89" t="s">
        <v>1088</v>
      </c>
      <c r="C3010" s="98" t="s">
        <v>525</v>
      </c>
    </row>
    <row r="3011" spans="1:3" ht="15">
      <c r="A3011" s="90" t="s">
        <v>299</v>
      </c>
      <c r="B3011" s="89" t="s">
        <v>936</v>
      </c>
      <c r="C3011" s="98" t="s">
        <v>525</v>
      </c>
    </row>
    <row r="3012" spans="1:3" ht="15">
      <c r="A3012" s="90" t="s">
        <v>299</v>
      </c>
      <c r="B3012" s="89" t="s">
        <v>1089</v>
      </c>
      <c r="C3012" s="98" t="s">
        <v>525</v>
      </c>
    </row>
    <row r="3013" spans="1:3" ht="15">
      <c r="A3013" s="90" t="s">
        <v>299</v>
      </c>
      <c r="B3013" s="89" t="s">
        <v>943</v>
      </c>
      <c r="C3013" s="98" t="s">
        <v>525</v>
      </c>
    </row>
    <row r="3014" spans="1:3" ht="15">
      <c r="A3014" s="90" t="s">
        <v>299</v>
      </c>
      <c r="B3014" s="89" t="s">
        <v>1090</v>
      </c>
      <c r="C3014" s="98" t="s">
        <v>525</v>
      </c>
    </row>
    <row r="3015" spans="1:3" ht="15">
      <c r="A3015" s="90" t="s">
        <v>299</v>
      </c>
      <c r="B3015" s="89" t="s">
        <v>933</v>
      </c>
      <c r="C3015" s="98" t="s">
        <v>525</v>
      </c>
    </row>
    <row r="3016" spans="1:3" ht="15">
      <c r="A3016" s="90" t="s">
        <v>299</v>
      </c>
      <c r="B3016" s="89" t="s">
        <v>338</v>
      </c>
      <c r="C3016" s="98" t="s">
        <v>525</v>
      </c>
    </row>
    <row r="3017" spans="1:3" ht="15">
      <c r="A3017" s="90" t="s">
        <v>299</v>
      </c>
      <c r="B3017" s="89" t="s">
        <v>1091</v>
      </c>
      <c r="C3017" s="98" t="s">
        <v>525</v>
      </c>
    </row>
    <row r="3018" spans="1:3" ht="15">
      <c r="A3018" s="90" t="s">
        <v>299</v>
      </c>
      <c r="B3018" s="89" t="s">
        <v>299</v>
      </c>
      <c r="C3018" s="98" t="s">
        <v>525</v>
      </c>
    </row>
    <row r="3019" spans="1:3" ht="15">
      <c r="A3019" s="90" t="s">
        <v>226</v>
      </c>
      <c r="B3019" s="89" t="s">
        <v>1080</v>
      </c>
      <c r="C3019" s="98" t="s">
        <v>441</v>
      </c>
    </row>
    <row r="3020" spans="1:3" ht="15">
      <c r="A3020" s="90" t="s">
        <v>226</v>
      </c>
      <c r="B3020" s="89" t="s">
        <v>1081</v>
      </c>
      <c r="C3020" s="98" t="s">
        <v>441</v>
      </c>
    </row>
    <row r="3021" spans="1:3" ht="15">
      <c r="A3021" s="90" t="s">
        <v>226</v>
      </c>
      <c r="B3021" s="89" t="s">
        <v>1082</v>
      </c>
      <c r="C3021" s="98" t="s">
        <v>441</v>
      </c>
    </row>
    <row r="3022" spans="1:3" ht="15">
      <c r="A3022" s="90" t="s">
        <v>226</v>
      </c>
      <c r="B3022" s="89" t="s">
        <v>930</v>
      </c>
      <c r="C3022" s="98" t="s">
        <v>441</v>
      </c>
    </row>
    <row r="3023" spans="1:3" ht="15">
      <c r="A3023" s="90" t="s">
        <v>226</v>
      </c>
      <c r="B3023" s="89" t="s">
        <v>940</v>
      </c>
      <c r="C3023" s="98" t="s">
        <v>441</v>
      </c>
    </row>
    <row r="3024" spans="1:3" ht="15">
      <c r="A3024" s="90" t="s">
        <v>226</v>
      </c>
      <c r="B3024" s="89" t="s">
        <v>941</v>
      </c>
      <c r="C3024" s="98" t="s">
        <v>441</v>
      </c>
    </row>
    <row r="3025" spans="1:3" ht="15">
      <c r="A3025" s="90" t="s">
        <v>226</v>
      </c>
      <c r="B3025" s="89" t="s">
        <v>1083</v>
      </c>
      <c r="C3025" s="98" t="s">
        <v>441</v>
      </c>
    </row>
    <row r="3026" spans="1:3" ht="15">
      <c r="A3026" s="90" t="s">
        <v>226</v>
      </c>
      <c r="B3026" s="89" t="s">
        <v>931</v>
      </c>
      <c r="C3026" s="98" t="s">
        <v>441</v>
      </c>
    </row>
    <row r="3027" spans="1:3" ht="15">
      <c r="A3027" s="90" t="s">
        <v>226</v>
      </c>
      <c r="B3027" s="89" t="s">
        <v>1084</v>
      </c>
      <c r="C3027" s="98" t="s">
        <v>441</v>
      </c>
    </row>
    <row r="3028" spans="1:3" ht="15">
      <c r="A3028" s="90" t="s">
        <v>226</v>
      </c>
      <c r="B3028" s="89" t="s">
        <v>1085</v>
      </c>
      <c r="C3028" s="98" t="s">
        <v>441</v>
      </c>
    </row>
    <row r="3029" spans="1:3" ht="15">
      <c r="A3029" s="90" t="s">
        <v>226</v>
      </c>
      <c r="B3029" s="89" t="s">
        <v>1086</v>
      </c>
      <c r="C3029" s="98" t="s">
        <v>441</v>
      </c>
    </row>
    <row r="3030" spans="1:3" ht="15">
      <c r="A3030" s="90" t="s">
        <v>226</v>
      </c>
      <c r="B3030" s="89" t="s">
        <v>942</v>
      </c>
      <c r="C3030" s="98" t="s">
        <v>441</v>
      </c>
    </row>
    <row r="3031" spans="1:3" ht="15">
      <c r="A3031" s="90" t="s">
        <v>226</v>
      </c>
      <c r="B3031" s="89" t="s">
        <v>938</v>
      </c>
      <c r="C3031" s="98" t="s">
        <v>441</v>
      </c>
    </row>
    <row r="3032" spans="1:3" ht="15">
      <c r="A3032" s="90" t="s">
        <v>226</v>
      </c>
      <c r="B3032" s="89" t="s">
        <v>935</v>
      </c>
      <c r="C3032" s="98" t="s">
        <v>441</v>
      </c>
    </row>
    <row r="3033" spans="1:3" ht="15">
      <c r="A3033" s="90" t="s">
        <v>226</v>
      </c>
      <c r="B3033" s="89" t="s">
        <v>934</v>
      </c>
      <c r="C3033" s="98" t="s">
        <v>441</v>
      </c>
    </row>
    <row r="3034" spans="1:3" ht="15">
      <c r="A3034" s="90" t="s">
        <v>226</v>
      </c>
      <c r="B3034" s="89" t="s">
        <v>1087</v>
      </c>
      <c r="C3034" s="98" t="s">
        <v>441</v>
      </c>
    </row>
    <row r="3035" spans="1:3" ht="15">
      <c r="A3035" s="90" t="s">
        <v>226</v>
      </c>
      <c r="B3035" s="89" t="s">
        <v>1088</v>
      </c>
      <c r="C3035" s="98" t="s">
        <v>441</v>
      </c>
    </row>
    <row r="3036" spans="1:3" ht="15">
      <c r="A3036" s="90" t="s">
        <v>226</v>
      </c>
      <c r="B3036" s="89" t="s">
        <v>936</v>
      </c>
      <c r="C3036" s="98" t="s">
        <v>441</v>
      </c>
    </row>
    <row r="3037" spans="1:3" ht="15">
      <c r="A3037" s="90" t="s">
        <v>226</v>
      </c>
      <c r="B3037" s="89" t="s">
        <v>1089</v>
      </c>
      <c r="C3037" s="98" t="s">
        <v>441</v>
      </c>
    </row>
    <row r="3038" spans="1:3" ht="15">
      <c r="A3038" s="90" t="s">
        <v>226</v>
      </c>
      <c r="B3038" s="89" t="s">
        <v>943</v>
      </c>
      <c r="C3038" s="98" t="s">
        <v>441</v>
      </c>
    </row>
    <row r="3039" spans="1:3" ht="15">
      <c r="A3039" s="90" t="s">
        <v>226</v>
      </c>
      <c r="B3039" s="89" t="s">
        <v>1090</v>
      </c>
      <c r="C3039" s="98" t="s">
        <v>441</v>
      </c>
    </row>
    <row r="3040" spans="1:3" ht="15">
      <c r="A3040" s="90" t="s">
        <v>226</v>
      </c>
      <c r="B3040" s="89" t="s">
        <v>933</v>
      </c>
      <c r="C3040" s="98" t="s">
        <v>441</v>
      </c>
    </row>
    <row r="3041" spans="1:3" ht="15">
      <c r="A3041" s="90" t="s">
        <v>226</v>
      </c>
      <c r="B3041" s="89" t="s">
        <v>338</v>
      </c>
      <c r="C3041" s="98" t="s">
        <v>441</v>
      </c>
    </row>
    <row r="3042" spans="1:3" ht="15">
      <c r="A3042" s="90" t="s">
        <v>226</v>
      </c>
      <c r="B3042" s="89" t="s">
        <v>1091</v>
      </c>
      <c r="C3042" s="98" t="s">
        <v>441</v>
      </c>
    </row>
    <row r="3043" spans="1:3" ht="15">
      <c r="A3043" s="90" t="s">
        <v>226</v>
      </c>
      <c r="B3043" s="89" t="s">
        <v>299</v>
      </c>
      <c r="C3043" s="98" t="s">
        <v>441</v>
      </c>
    </row>
    <row r="3044" spans="1:3" ht="15">
      <c r="A3044" s="90" t="s">
        <v>225</v>
      </c>
      <c r="B3044" s="89" t="s">
        <v>1216</v>
      </c>
      <c r="C3044" s="98" t="s">
        <v>440</v>
      </c>
    </row>
    <row r="3045" spans="1:3" ht="15">
      <c r="A3045" s="90" t="s">
        <v>225</v>
      </c>
      <c r="B3045" s="89" t="s">
        <v>934</v>
      </c>
      <c r="C3045" s="98" t="s">
        <v>440</v>
      </c>
    </row>
    <row r="3046" spans="1:3" ht="15">
      <c r="A3046" s="90" t="s">
        <v>225</v>
      </c>
      <c r="B3046" s="89" t="s">
        <v>1217</v>
      </c>
      <c r="C3046" s="98" t="s">
        <v>440</v>
      </c>
    </row>
    <row r="3047" spans="1:3" ht="15">
      <c r="A3047" s="90" t="s">
        <v>225</v>
      </c>
      <c r="B3047" s="89" t="s">
        <v>1046</v>
      </c>
      <c r="C3047" s="98" t="s">
        <v>440</v>
      </c>
    </row>
    <row r="3048" spans="1:3" ht="15">
      <c r="A3048" s="90" t="s">
        <v>225</v>
      </c>
      <c r="B3048" s="89" t="s">
        <v>1218</v>
      </c>
      <c r="C3048" s="98" t="s">
        <v>440</v>
      </c>
    </row>
    <row r="3049" spans="1:3" ht="15">
      <c r="A3049" s="90" t="s">
        <v>225</v>
      </c>
      <c r="B3049" s="89" t="s">
        <v>1219</v>
      </c>
      <c r="C3049" s="98" t="s">
        <v>440</v>
      </c>
    </row>
    <row r="3050" spans="1:3" ht="15">
      <c r="A3050" s="90" t="s">
        <v>225</v>
      </c>
      <c r="B3050" s="89" t="s">
        <v>1220</v>
      </c>
      <c r="C3050" s="98" t="s">
        <v>440</v>
      </c>
    </row>
    <row r="3051" spans="1:3" ht="15">
      <c r="A3051" s="90" t="s">
        <v>225</v>
      </c>
      <c r="B3051" s="89" t="s">
        <v>949</v>
      </c>
      <c r="C3051" s="98" t="s">
        <v>440</v>
      </c>
    </row>
    <row r="3052" spans="1:3" ht="15">
      <c r="A3052" s="90" t="s">
        <v>225</v>
      </c>
      <c r="B3052" s="89" t="s">
        <v>1187</v>
      </c>
      <c r="C3052" s="98" t="s">
        <v>440</v>
      </c>
    </row>
    <row r="3053" spans="1:3" ht="15">
      <c r="A3053" s="90" t="s">
        <v>225</v>
      </c>
      <c r="B3053" s="89" t="s">
        <v>1047</v>
      </c>
      <c r="C3053" s="98" t="s">
        <v>440</v>
      </c>
    </row>
    <row r="3054" spans="1:3" ht="15">
      <c r="A3054" s="90" t="s">
        <v>225</v>
      </c>
      <c r="B3054" s="89" t="s">
        <v>1221</v>
      </c>
      <c r="C3054" s="98" t="s">
        <v>440</v>
      </c>
    </row>
    <row r="3055" spans="1:3" ht="15">
      <c r="A3055" s="90" t="s">
        <v>225</v>
      </c>
      <c r="B3055" s="89" t="s">
        <v>1049</v>
      </c>
      <c r="C3055" s="98" t="s">
        <v>440</v>
      </c>
    </row>
    <row r="3056" spans="1:3" ht="15">
      <c r="A3056" s="90" t="s">
        <v>225</v>
      </c>
      <c r="B3056" s="89" t="s">
        <v>1097</v>
      </c>
      <c r="C3056" s="98" t="s">
        <v>440</v>
      </c>
    </row>
    <row r="3057" spans="1:3" ht="15">
      <c r="A3057" s="90" t="s">
        <v>225</v>
      </c>
      <c r="B3057" s="89" t="s">
        <v>338</v>
      </c>
      <c r="C3057" s="98" t="s">
        <v>440</v>
      </c>
    </row>
    <row r="3058" spans="1:3" ht="15">
      <c r="A3058" s="90" t="s">
        <v>293</v>
      </c>
      <c r="B3058" s="89" t="s">
        <v>641</v>
      </c>
      <c r="C3058" s="98" t="s">
        <v>532</v>
      </c>
    </row>
    <row r="3059" spans="1:3" ht="15">
      <c r="A3059" s="90" t="s">
        <v>293</v>
      </c>
      <c r="B3059" s="89" t="s">
        <v>933</v>
      </c>
      <c r="C3059" s="98" t="s">
        <v>532</v>
      </c>
    </row>
    <row r="3060" spans="1:3" ht="15">
      <c r="A3060" s="90" t="s">
        <v>293</v>
      </c>
      <c r="B3060" s="89" t="s">
        <v>944</v>
      </c>
      <c r="C3060" s="98" t="s">
        <v>532</v>
      </c>
    </row>
    <row r="3061" spans="1:3" ht="15">
      <c r="A3061" s="90" t="s">
        <v>293</v>
      </c>
      <c r="B3061" s="89" t="s">
        <v>1222</v>
      </c>
      <c r="C3061" s="98" t="s">
        <v>532</v>
      </c>
    </row>
    <row r="3062" spans="1:3" ht="15">
      <c r="A3062" s="90" t="s">
        <v>293</v>
      </c>
      <c r="B3062" s="89" t="s">
        <v>1180</v>
      </c>
      <c r="C3062" s="98" t="s">
        <v>532</v>
      </c>
    </row>
    <row r="3063" spans="1:3" ht="15">
      <c r="A3063" s="90" t="s">
        <v>293</v>
      </c>
      <c r="B3063" s="89" t="s">
        <v>1223</v>
      </c>
      <c r="C3063" s="98" t="s">
        <v>532</v>
      </c>
    </row>
    <row r="3064" spans="1:3" ht="15">
      <c r="A3064" s="90" t="s">
        <v>293</v>
      </c>
      <c r="B3064" s="89" t="s">
        <v>1224</v>
      </c>
      <c r="C3064" s="98" t="s">
        <v>532</v>
      </c>
    </row>
    <row r="3065" spans="1:3" ht="15">
      <c r="A3065" s="90" t="s">
        <v>293</v>
      </c>
      <c r="B3065" s="89" t="s">
        <v>1156</v>
      </c>
      <c r="C3065" s="98" t="s">
        <v>532</v>
      </c>
    </row>
    <row r="3066" spans="1:3" ht="15">
      <c r="A3066" s="90" t="s">
        <v>293</v>
      </c>
      <c r="B3066" s="89" t="s">
        <v>1225</v>
      </c>
      <c r="C3066" s="98" t="s">
        <v>532</v>
      </c>
    </row>
    <row r="3067" spans="1:3" ht="15">
      <c r="A3067" s="90" t="s">
        <v>293</v>
      </c>
      <c r="B3067" s="89" t="s">
        <v>1226</v>
      </c>
      <c r="C3067" s="98" t="s">
        <v>532</v>
      </c>
    </row>
    <row r="3068" spans="1:3" ht="15">
      <c r="A3068" s="90" t="s">
        <v>293</v>
      </c>
      <c r="B3068" s="89" t="s">
        <v>1227</v>
      </c>
      <c r="C3068" s="98" t="s">
        <v>532</v>
      </c>
    </row>
    <row r="3069" spans="1:3" ht="15">
      <c r="A3069" s="90" t="s">
        <v>293</v>
      </c>
      <c r="B3069" s="89" t="s">
        <v>338</v>
      </c>
      <c r="C3069" s="98" t="s">
        <v>532</v>
      </c>
    </row>
    <row r="3070" spans="1:3" ht="15">
      <c r="A3070" s="90" t="s">
        <v>293</v>
      </c>
      <c r="B3070" s="89" t="s">
        <v>1153</v>
      </c>
      <c r="C3070" s="98" t="s">
        <v>531</v>
      </c>
    </row>
    <row r="3071" spans="1:3" ht="15">
      <c r="A3071" s="90" t="s">
        <v>293</v>
      </c>
      <c r="B3071" s="89" t="s">
        <v>1228</v>
      </c>
      <c r="C3071" s="98" t="s">
        <v>531</v>
      </c>
    </row>
    <row r="3072" spans="1:3" ht="15">
      <c r="A3072" s="90" t="s">
        <v>293</v>
      </c>
      <c r="B3072" s="89" t="s">
        <v>1229</v>
      </c>
      <c r="C3072" s="98" t="s">
        <v>531</v>
      </c>
    </row>
    <row r="3073" spans="1:3" ht="15">
      <c r="A3073" s="90" t="s">
        <v>293</v>
      </c>
      <c r="B3073" s="89" t="s">
        <v>1230</v>
      </c>
      <c r="C3073" s="98" t="s">
        <v>531</v>
      </c>
    </row>
    <row r="3074" spans="1:3" ht="15">
      <c r="A3074" s="90" t="s">
        <v>293</v>
      </c>
      <c r="B3074" s="89" t="s">
        <v>1231</v>
      </c>
      <c r="C3074" s="98" t="s">
        <v>531</v>
      </c>
    </row>
    <row r="3075" spans="1:3" ht="15">
      <c r="A3075" s="90" t="s">
        <v>293</v>
      </c>
      <c r="B3075" s="89" t="s">
        <v>1232</v>
      </c>
      <c r="C3075" s="98" t="s">
        <v>531</v>
      </c>
    </row>
    <row r="3076" spans="1:3" ht="15">
      <c r="A3076" s="90" t="s">
        <v>293</v>
      </c>
      <c r="B3076" s="89" t="s">
        <v>1187</v>
      </c>
      <c r="C3076" s="98" t="s">
        <v>531</v>
      </c>
    </row>
    <row r="3077" spans="1:3" ht="15">
      <c r="A3077" s="90" t="s">
        <v>293</v>
      </c>
      <c r="B3077" s="89" t="s">
        <v>1115</v>
      </c>
      <c r="C3077" s="98" t="s">
        <v>530</v>
      </c>
    </row>
    <row r="3078" spans="1:3" ht="15">
      <c r="A3078" s="90" t="s">
        <v>293</v>
      </c>
      <c r="B3078" s="89" t="s">
        <v>1116</v>
      </c>
      <c r="C3078" s="98" t="s">
        <v>530</v>
      </c>
    </row>
    <row r="3079" spans="1:3" ht="15">
      <c r="A3079" s="90" t="s">
        <v>293</v>
      </c>
      <c r="B3079" s="89" t="s">
        <v>1117</v>
      </c>
      <c r="C3079" s="98" t="s">
        <v>530</v>
      </c>
    </row>
    <row r="3080" spans="1:3" ht="15">
      <c r="A3080" s="90" t="s">
        <v>293</v>
      </c>
      <c r="B3080" s="89" t="s">
        <v>948</v>
      </c>
      <c r="C3080" s="98" t="s">
        <v>530</v>
      </c>
    </row>
    <row r="3081" spans="1:3" ht="15">
      <c r="A3081" s="90" t="s">
        <v>293</v>
      </c>
      <c r="B3081" s="89" t="s">
        <v>1118</v>
      </c>
      <c r="C3081" s="98" t="s">
        <v>530</v>
      </c>
    </row>
    <row r="3082" spans="1:3" ht="15">
      <c r="A3082" s="90" t="s">
        <v>293</v>
      </c>
      <c r="B3082" s="89" t="s">
        <v>1119</v>
      </c>
      <c r="C3082" s="98" t="s">
        <v>530</v>
      </c>
    </row>
    <row r="3083" spans="1:3" ht="15">
      <c r="A3083" s="90" t="s">
        <v>293</v>
      </c>
      <c r="B3083" s="89" t="s">
        <v>1120</v>
      </c>
      <c r="C3083" s="98" t="s">
        <v>530</v>
      </c>
    </row>
    <row r="3084" spans="1:3" ht="15">
      <c r="A3084" s="90" t="s">
        <v>293</v>
      </c>
      <c r="B3084" s="89" t="s">
        <v>1023</v>
      </c>
      <c r="C3084" s="98" t="s">
        <v>530</v>
      </c>
    </row>
    <row r="3085" spans="1:3" ht="15">
      <c r="A3085" s="90" t="s">
        <v>293</v>
      </c>
      <c r="B3085" s="89" t="s">
        <v>1153</v>
      </c>
      <c r="C3085" s="98" t="s">
        <v>529</v>
      </c>
    </row>
    <row r="3086" spans="1:3" ht="15">
      <c r="A3086" s="90" t="s">
        <v>293</v>
      </c>
      <c r="B3086" s="89" t="s">
        <v>1233</v>
      </c>
      <c r="C3086" s="98" t="s">
        <v>529</v>
      </c>
    </row>
    <row r="3087" spans="1:3" ht="15">
      <c r="A3087" s="90" t="s">
        <v>293</v>
      </c>
      <c r="B3087" s="89" t="s">
        <v>1234</v>
      </c>
      <c r="C3087" s="98" t="s">
        <v>529</v>
      </c>
    </row>
    <row r="3088" spans="1:3" ht="15">
      <c r="A3088" s="90" t="s">
        <v>293</v>
      </c>
      <c r="B3088" s="89" t="s">
        <v>1235</v>
      </c>
      <c r="C3088" s="98" t="s">
        <v>529</v>
      </c>
    </row>
    <row r="3089" spans="1:3" ht="15">
      <c r="A3089" s="90" t="s">
        <v>293</v>
      </c>
      <c r="B3089" s="89" t="s">
        <v>1094</v>
      </c>
      <c r="C3089" s="98" t="s">
        <v>529</v>
      </c>
    </row>
    <row r="3090" spans="1:3" ht="15">
      <c r="A3090" s="90" t="s">
        <v>293</v>
      </c>
      <c r="B3090" s="89" t="s">
        <v>985</v>
      </c>
      <c r="C3090" s="98" t="s">
        <v>529</v>
      </c>
    </row>
    <row r="3091" spans="1:3" ht="15">
      <c r="A3091" s="90" t="s">
        <v>293</v>
      </c>
      <c r="B3091" s="89" t="s">
        <v>1159</v>
      </c>
      <c r="C3091" s="98" t="s">
        <v>529</v>
      </c>
    </row>
    <row r="3092" spans="1:3" ht="15">
      <c r="A3092" s="90" t="s">
        <v>293</v>
      </c>
      <c r="B3092" s="89" t="s">
        <v>1092</v>
      </c>
      <c r="C3092" s="98" t="s">
        <v>529</v>
      </c>
    </row>
    <row r="3093" spans="1:3" ht="15">
      <c r="A3093" s="90" t="s">
        <v>293</v>
      </c>
      <c r="B3093" s="89" t="s">
        <v>338</v>
      </c>
      <c r="C3093" s="98" t="s">
        <v>529</v>
      </c>
    </row>
    <row r="3094" spans="1:3" ht="15">
      <c r="A3094" s="90" t="s">
        <v>293</v>
      </c>
      <c r="B3094" s="89" t="s">
        <v>1128</v>
      </c>
      <c r="C3094" s="98" t="s">
        <v>528</v>
      </c>
    </row>
    <row r="3095" spans="1:3" ht="15">
      <c r="A3095" s="90" t="s">
        <v>293</v>
      </c>
      <c r="B3095" s="89" t="s">
        <v>987</v>
      </c>
      <c r="C3095" s="98" t="s">
        <v>528</v>
      </c>
    </row>
    <row r="3096" spans="1:3" ht="15">
      <c r="A3096" s="90" t="s">
        <v>293</v>
      </c>
      <c r="B3096" s="89" t="s">
        <v>988</v>
      </c>
      <c r="C3096" s="98" t="s">
        <v>528</v>
      </c>
    </row>
    <row r="3097" spans="1:3" ht="15">
      <c r="A3097" s="90" t="s">
        <v>293</v>
      </c>
      <c r="B3097" s="89" t="s">
        <v>338</v>
      </c>
      <c r="C3097" s="98" t="s">
        <v>528</v>
      </c>
    </row>
    <row r="3098" spans="1:3" ht="15">
      <c r="A3098" s="90" t="s">
        <v>293</v>
      </c>
      <c r="B3098" s="89" t="s">
        <v>1094</v>
      </c>
      <c r="C3098" s="98" t="s">
        <v>528</v>
      </c>
    </row>
    <row r="3099" spans="1:3" ht="15">
      <c r="A3099" s="90" t="s">
        <v>293</v>
      </c>
      <c r="B3099" s="89" t="s">
        <v>1129</v>
      </c>
      <c r="C3099" s="98" t="s">
        <v>528</v>
      </c>
    </row>
    <row r="3100" spans="1:3" ht="15">
      <c r="A3100" s="90" t="s">
        <v>293</v>
      </c>
      <c r="B3100" s="89" t="s">
        <v>1130</v>
      </c>
      <c r="C3100" s="98" t="s">
        <v>528</v>
      </c>
    </row>
    <row r="3101" spans="1:3" ht="15">
      <c r="A3101" s="90" t="s">
        <v>293</v>
      </c>
      <c r="B3101" s="89" t="s">
        <v>1131</v>
      </c>
      <c r="C3101" s="98" t="s">
        <v>528</v>
      </c>
    </row>
    <row r="3102" spans="1:3" ht="15">
      <c r="A3102" s="90" t="s">
        <v>293</v>
      </c>
      <c r="B3102" s="89" t="s">
        <v>989</v>
      </c>
      <c r="C3102" s="98" t="s">
        <v>528</v>
      </c>
    </row>
    <row r="3103" spans="1:3" ht="15">
      <c r="A3103" s="90" t="s">
        <v>293</v>
      </c>
      <c r="B3103" s="89" t="s">
        <v>990</v>
      </c>
      <c r="C3103" s="98" t="s">
        <v>528</v>
      </c>
    </row>
    <row r="3104" spans="1:3" ht="15">
      <c r="A3104" s="90" t="s">
        <v>293</v>
      </c>
      <c r="B3104" s="89" t="s">
        <v>1132</v>
      </c>
      <c r="C3104" s="98" t="s">
        <v>528</v>
      </c>
    </row>
    <row r="3105" spans="1:3" ht="15">
      <c r="A3105" s="90" t="s">
        <v>293</v>
      </c>
      <c r="B3105" s="89" t="s">
        <v>1133</v>
      </c>
      <c r="C3105" s="98" t="s">
        <v>528</v>
      </c>
    </row>
    <row r="3106" spans="1:3" ht="15">
      <c r="A3106" s="90" t="s">
        <v>293</v>
      </c>
      <c r="B3106" s="89" t="s">
        <v>1134</v>
      </c>
      <c r="C3106" s="98" t="s">
        <v>528</v>
      </c>
    </row>
    <row r="3107" spans="1:3" ht="15">
      <c r="A3107" s="90" t="s">
        <v>293</v>
      </c>
      <c r="B3107" s="89" t="s">
        <v>1135</v>
      </c>
      <c r="C3107" s="98" t="s">
        <v>528</v>
      </c>
    </row>
    <row r="3108" spans="1:3" ht="15">
      <c r="A3108" s="90" t="s">
        <v>293</v>
      </c>
      <c r="B3108" s="89" t="s">
        <v>993</v>
      </c>
      <c r="C3108" s="98" t="s">
        <v>528</v>
      </c>
    </row>
    <row r="3109" spans="1:3" ht="15">
      <c r="A3109" s="90" t="s">
        <v>293</v>
      </c>
      <c r="B3109" s="89" t="s">
        <v>1136</v>
      </c>
      <c r="C3109" s="98" t="s">
        <v>528</v>
      </c>
    </row>
    <row r="3110" spans="1:3" ht="15">
      <c r="A3110" s="90" t="s">
        <v>293</v>
      </c>
      <c r="B3110" s="89" t="s">
        <v>994</v>
      </c>
      <c r="C3110" s="98" t="s">
        <v>528</v>
      </c>
    </row>
    <row r="3111" spans="1:3" ht="15">
      <c r="A3111" s="90" t="s">
        <v>293</v>
      </c>
      <c r="B3111" s="89" t="s">
        <v>995</v>
      </c>
      <c r="C3111" s="98" t="s">
        <v>528</v>
      </c>
    </row>
    <row r="3112" spans="1:3" ht="15">
      <c r="A3112" s="90" t="s">
        <v>293</v>
      </c>
      <c r="B3112" s="89" t="s">
        <v>996</v>
      </c>
      <c r="C3112" s="98" t="s">
        <v>528</v>
      </c>
    </row>
    <row r="3113" spans="1:3" ht="15">
      <c r="A3113" s="90" t="s">
        <v>293</v>
      </c>
      <c r="B3113" s="89" t="s">
        <v>997</v>
      </c>
      <c r="C3113" s="98" t="s">
        <v>528</v>
      </c>
    </row>
    <row r="3114" spans="1:3" ht="15">
      <c r="A3114" s="90" t="s">
        <v>293</v>
      </c>
      <c r="B3114" s="89" t="s">
        <v>998</v>
      </c>
      <c r="C3114" s="98" t="s">
        <v>528</v>
      </c>
    </row>
    <row r="3115" spans="1:3" ht="15">
      <c r="A3115" s="90" t="s">
        <v>293</v>
      </c>
      <c r="B3115" s="89" t="s">
        <v>1137</v>
      </c>
      <c r="C3115" s="98" t="s">
        <v>528</v>
      </c>
    </row>
    <row r="3116" spans="1:3" ht="15">
      <c r="A3116" s="90" t="s">
        <v>301</v>
      </c>
      <c r="B3116" s="89" t="s">
        <v>1216</v>
      </c>
      <c r="C3116" s="98" t="s">
        <v>533</v>
      </c>
    </row>
    <row r="3117" spans="1:3" ht="15">
      <c r="A3117" s="90" t="s">
        <v>301</v>
      </c>
      <c r="B3117" s="89" t="s">
        <v>934</v>
      </c>
      <c r="C3117" s="98" t="s">
        <v>533</v>
      </c>
    </row>
    <row r="3118" spans="1:3" ht="15">
      <c r="A3118" s="90" t="s">
        <v>301</v>
      </c>
      <c r="B3118" s="89" t="s">
        <v>1217</v>
      </c>
      <c r="C3118" s="98" t="s">
        <v>533</v>
      </c>
    </row>
    <row r="3119" spans="1:3" ht="15">
      <c r="A3119" s="90" t="s">
        <v>301</v>
      </c>
      <c r="B3119" s="89" t="s">
        <v>1046</v>
      </c>
      <c r="C3119" s="98" t="s">
        <v>533</v>
      </c>
    </row>
    <row r="3120" spans="1:3" ht="15">
      <c r="A3120" s="90" t="s">
        <v>301</v>
      </c>
      <c r="B3120" s="89" t="s">
        <v>1218</v>
      </c>
      <c r="C3120" s="98" t="s">
        <v>533</v>
      </c>
    </row>
    <row r="3121" spans="1:3" ht="15">
      <c r="A3121" s="90" t="s">
        <v>301</v>
      </c>
      <c r="B3121" s="89" t="s">
        <v>1219</v>
      </c>
      <c r="C3121" s="98" t="s">
        <v>533</v>
      </c>
    </row>
    <row r="3122" spans="1:3" ht="15">
      <c r="A3122" s="90" t="s">
        <v>301</v>
      </c>
      <c r="B3122" s="89" t="s">
        <v>1220</v>
      </c>
      <c r="C3122" s="98" t="s">
        <v>533</v>
      </c>
    </row>
    <row r="3123" spans="1:3" ht="15">
      <c r="A3123" s="90" t="s">
        <v>301</v>
      </c>
      <c r="B3123" s="89" t="s">
        <v>949</v>
      </c>
      <c r="C3123" s="98" t="s">
        <v>533</v>
      </c>
    </row>
    <row r="3124" spans="1:3" ht="15">
      <c r="A3124" s="90" t="s">
        <v>301</v>
      </c>
      <c r="B3124" s="89" t="s">
        <v>1187</v>
      </c>
      <c r="C3124" s="98" t="s">
        <v>533</v>
      </c>
    </row>
    <row r="3125" spans="1:3" ht="15">
      <c r="A3125" s="90" t="s">
        <v>301</v>
      </c>
      <c r="B3125" s="89" t="s">
        <v>1047</v>
      </c>
      <c r="C3125" s="98" t="s">
        <v>533</v>
      </c>
    </row>
    <row r="3126" spans="1:3" ht="15">
      <c r="A3126" s="90" t="s">
        <v>301</v>
      </c>
      <c r="B3126" s="89" t="s">
        <v>1221</v>
      </c>
      <c r="C3126" s="98" t="s">
        <v>533</v>
      </c>
    </row>
    <row r="3127" spans="1:3" ht="15">
      <c r="A3127" s="90" t="s">
        <v>301</v>
      </c>
      <c r="B3127" s="89" t="s">
        <v>1049</v>
      </c>
      <c r="C3127" s="98" t="s">
        <v>533</v>
      </c>
    </row>
    <row r="3128" spans="1:3" ht="15">
      <c r="A3128" s="90" t="s">
        <v>301</v>
      </c>
      <c r="B3128" s="89" t="s">
        <v>1097</v>
      </c>
      <c r="C3128" s="98" t="s">
        <v>533</v>
      </c>
    </row>
    <row r="3129" spans="1:3" ht="15">
      <c r="A3129" s="90" t="s">
        <v>301</v>
      </c>
      <c r="B3129" s="89" t="s">
        <v>338</v>
      </c>
      <c r="C3129" s="98"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F755D-FBA4-48E7-9D41-96D7F360605E}">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921</v>
      </c>
      <c r="B1" s="13" t="s">
        <v>1941</v>
      </c>
    </row>
    <row r="2" spans="1:2" ht="15">
      <c r="A2" s="89" t="s">
        <v>1236</v>
      </c>
      <c r="B2" s="89" t="s">
        <v>1942</v>
      </c>
    </row>
    <row r="3" spans="1:2" ht="15">
      <c r="A3" s="90" t="s">
        <v>1237</v>
      </c>
      <c r="B3" s="89" t="s">
        <v>1942</v>
      </c>
    </row>
    <row r="4" spans="1:2" ht="15">
      <c r="A4" s="90" t="s">
        <v>1238</v>
      </c>
      <c r="B4" s="89" t="s">
        <v>1942</v>
      </c>
    </row>
    <row r="5" spans="1:2" ht="15">
      <c r="A5" s="90" t="s">
        <v>1239</v>
      </c>
      <c r="B5" s="89" t="s">
        <v>1942</v>
      </c>
    </row>
    <row r="6" spans="1:2" ht="15">
      <c r="A6" s="90" t="s">
        <v>1240</v>
      </c>
      <c r="B6" s="89" t="s">
        <v>1942</v>
      </c>
    </row>
    <row r="7" spans="1:2" ht="15">
      <c r="A7" s="90" t="s">
        <v>1241</v>
      </c>
      <c r="B7" s="89" t="s">
        <v>1942</v>
      </c>
    </row>
    <row r="8" spans="1:2" ht="15">
      <c r="A8" s="90" t="s">
        <v>1242</v>
      </c>
      <c r="B8" s="89" t="s">
        <v>1942</v>
      </c>
    </row>
    <row r="9" spans="1:2" ht="15">
      <c r="A9" s="90" t="s">
        <v>1243</v>
      </c>
      <c r="B9" s="89" t="s">
        <v>1942</v>
      </c>
    </row>
    <row r="10" spans="1:2" ht="15">
      <c r="A10" s="90" t="s">
        <v>1244</v>
      </c>
      <c r="B10" s="89" t="s">
        <v>1942</v>
      </c>
    </row>
    <row r="11" spans="1:2" ht="15">
      <c r="A11" s="90" t="s">
        <v>1245</v>
      </c>
      <c r="B11" s="89" t="s">
        <v>1942</v>
      </c>
    </row>
    <row r="12" spans="1:2" ht="15">
      <c r="A12" s="90" t="s">
        <v>1246</v>
      </c>
      <c r="B12" s="89" t="s">
        <v>1942</v>
      </c>
    </row>
    <row r="13" spans="1:2" ht="15">
      <c r="A13" s="90" t="s">
        <v>1188</v>
      </c>
      <c r="B13" s="89" t="s">
        <v>1942</v>
      </c>
    </row>
    <row r="14" spans="1:2" ht="15">
      <c r="A14" s="90" t="s">
        <v>1247</v>
      </c>
      <c r="B14" s="89" t="s">
        <v>1942</v>
      </c>
    </row>
    <row r="15" spans="1:2" ht="15">
      <c r="A15" s="90" t="s">
        <v>1126</v>
      </c>
      <c r="B15" s="89" t="s">
        <v>1942</v>
      </c>
    </row>
    <row r="16" spans="1:2" ht="15">
      <c r="A16" s="90" t="s">
        <v>1248</v>
      </c>
      <c r="B16" s="89" t="s">
        <v>1942</v>
      </c>
    </row>
    <row r="17" spans="1:2" ht="15">
      <c r="A17" s="90" t="s">
        <v>1249</v>
      </c>
      <c r="B17" s="89" t="s">
        <v>1942</v>
      </c>
    </row>
    <row r="18" spans="1:2" ht="15">
      <c r="A18" s="90" t="s">
        <v>1250</v>
      </c>
      <c r="B18" s="89" t="s">
        <v>1942</v>
      </c>
    </row>
    <row r="19" spans="1:2" ht="15">
      <c r="A19" s="90" t="s">
        <v>1251</v>
      </c>
      <c r="B19" s="89" t="s">
        <v>1942</v>
      </c>
    </row>
    <row r="20" spans="1:2" ht="15">
      <c r="A20" s="90" t="s">
        <v>1252</v>
      </c>
      <c r="B20" s="89" t="s">
        <v>1942</v>
      </c>
    </row>
    <row r="21" spans="1:2" ht="15">
      <c r="A21" s="90" t="s">
        <v>1253</v>
      </c>
      <c r="B21" s="89" t="s">
        <v>1942</v>
      </c>
    </row>
    <row r="22" spans="1:2" ht="15">
      <c r="A22" s="90" t="s">
        <v>1254</v>
      </c>
      <c r="B22" s="89" t="s">
        <v>1942</v>
      </c>
    </row>
    <row r="23" spans="1:2" ht="15">
      <c r="A23" s="90" t="s">
        <v>1255</v>
      </c>
      <c r="B23" s="89" t="s">
        <v>1942</v>
      </c>
    </row>
    <row r="24" spans="1:2" ht="15">
      <c r="A24" s="90" t="s">
        <v>1256</v>
      </c>
      <c r="B24" s="89" t="s">
        <v>1942</v>
      </c>
    </row>
    <row r="25" spans="1:2" ht="15">
      <c r="A25" s="90" t="s">
        <v>1257</v>
      </c>
      <c r="B25" s="89" t="s">
        <v>1942</v>
      </c>
    </row>
    <row r="26" spans="1:2" ht="15">
      <c r="A26" s="90" t="s">
        <v>1258</v>
      </c>
      <c r="B26" s="89" t="s">
        <v>1942</v>
      </c>
    </row>
    <row r="27" spans="1:2" ht="15">
      <c r="A27" s="90" t="s">
        <v>1259</v>
      </c>
      <c r="B27" s="89" t="s">
        <v>1942</v>
      </c>
    </row>
    <row r="28" spans="1:2" ht="15">
      <c r="A28" s="90" t="s">
        <v>1260</v>
      </c>
      <c r="B28" s="89" t="s">
        <v>1942</v>
      </c>
    </row>
    <row r="29" spans="1:2" ht="15">
      <c r="A29" s="90" t="s">
        <v>1261</v>
      </c>
      <c r="B29" s="89" t="s">
        <v>1942</v>
      </c>
    </row>
    <row r="30" spans="1:2" ht="15">
      <c r="A30" s="90" t="s">
        <v>1262</v>
      </c>
      <c r="B30" s="89" t="s">
        <v>1942</v>
      </c>
    </row>
    <row r="31" spans="1:2" ht="15">
      <c r="A31" s="90" t="s">
        <v>1263</v>
      </c>
      <c r="B31" s="89" t="s">
        <v>1942</v>
      </c>
    </row>
    <row r="32" spans="1:2" ht="15">
      <c r="A32" s="90" t="s">
        <v>1264</v>
      </c>
      <c r="B32" s="89" t="s">
        <v>1942</v>
      </c>
    </row>
    <row r="33" spans="1:2" ht="15">
      <c r="A33" s="90" t="s">
        <v>1265</v>
      </c>
      <c r="B33" s="89" t="s">
        <v>1942</v>
      </c>
    </row>
    <row r="34" spans="1:2" ht="15">
      <c r="A34" s="90" t="s">
        <v>1266</v>
      </c>
      <c r="B34" s="89" t="s">
        <v>1942</v>
      </c>
    </row>
    <row r="35" spans="1:2" ht="15">
      <c r="A35" s="90" t="s">
        <v>1267</v>
      </c>
      <c r="B35" s="89" t="s">
        <v>1942</v>
      </c>
    </row>
    <row r="36" spans="1:2" ht="15">
      <c r="A36" s="90" t="s">
        <v>1268</v>
      </c>
      <c r="B36" s="89" t="s">
        <v>1942</v>
      </c>
    </row>
    <row r="37" spans="1:2" ht="15">
      <c r="A37" s="90" t="s">
        <v>1269</v>
      </c>
      <c r="B37" s="89" t="s">
        <v>1942</v>
      </c>
    </row>
    <row r="38" spans="1:2" ht="15">
      <c r="A38" s="90" t="s">
        <v>1270</v>
      </c>
      <c r="B38" s="89" t="s">
        <v>1942</v>
      </c>
    </row>
    <row r="39" spans="1:2" ht="15">
      <c r="A39" s="90" t="s">
        <v>1271</v>
      </c>
      <c r="B39" s="89" t="s">
        <v>1942</v>
      </c>
    </row>
    <row r="40" spans="1:2" ht="15">
      <c r="A40" s="90" t="s">
        <v>1272</v>
      </c>
      <c r="B40" s="89" t="s">
        <v>1942</v>
      </c>
    </row>
    <row r="41" spans="1:2" ht="15">
      <c r="A41" s="90" t="s">
        <v>1273</v>
      </c>
      <c r="B41" s="89" t="s">
        <v>1942</v>
      </c>
    </row>
    <row r="42" spans="1:2" ht="15">
      <c r="A42" s="90" t="s">
        <v>1274</v>
      </c>
      <c r="B42" s="89" t="s">
        <v>1942</v>
      </c>
    </row>
    <row r="43" spans="1:2" ht="15">
      <c r="A43" s="90" t="s">
        <v>1275</v>
      </c>
      <c r="B43" s="89" t="s">
        <v>1942</v>
      </c>
    </row>
    <row r="44" spans="1:2" ht="15">
      <c r="A44" s="90" t="s">
        <v>1276</v>
      </c>
      <c r="B44" s="89" t="s">
        <v>1942</v>
      </c>
    </row>
    <row r="45" spans="1:2" ht="15">
      <c r="A45" s="90" t="s">
        <v>1277</v>
      </c>
      <c r="B45" s="89" t="s">
        <v>1942</v>
      </c>
    </row>
    <row r="46" spans="1:2" ht="15">
      <c r="A46" s="90" t="s">
        <v>1278</v>
      </c>
      <c r="B46" s="89" t="s">
        <v>1942</v>
      </c>
    </row>
    <row r="47" spans="1:2" ht="15">
      <c r="A47" s="90" t="s">
        <v>1279</v>
      </c>
      <c r="B47" s="89" t="s">
        <v>1942</v>
      </c>
    </row>
    <row r="48" spans="1:2" ht="15">
      <c r="A48" s="90" t="s">
        <v>1280</v>
      </c>
      <c r="B48" s="89" t="s">
        <v>1942</v>
      </c>
    </row>
    <row r="49" spans="1:2" ht="15">
      <c r="A49" s="90" t="s">
        <v>1281</v>
      </c>
      <c r="B49" s="89" t="s">
        <v>1942</v>
      </c>
    </row>
    <row r="50" spans="1:2" ht="15">
      <c r="A50" s="90" t="s">
        <v>1282</v>
      </c>
      <c r="B50" s="89" t="s">
        <v>1942</v>
      </c>
    </row>
    <row r="51" spans="1:2" ht="15">
      <c r="A51" s="90" t="s">
        <v>1283</v>
      </c>
      <c r="B51" s="89" t="s">
        <v>1942</v>
      </c>
    </row>
    <row r="52" spans="1:2" ht="15">
      <c r="A52" s="90" t="s">
        <v>1284</v>
      </c>
      <c r="B52" s="89" t="s">
        <v>1942</v>
      </c>
    </row>
    <row r="53" spans="1:2" ht="15">
      <c r="A53" s="90" t="s">
        <v>1285</v>
      </c>
      <c r="B53" s="89" t="s">
        <v>1942</v>
      </c>
    </row>
    <row r="54" spans="1:2" ht="15">
      <c r="A54" s="90" t="s">
        <v>1286</v>
      </c>
      <c r="B54" s="89" t="s">
        <v>1942</v>
      </c>
    </row>
    <row r="55" spans="1:2" ht="15">
      <c r="A55" s="90" t="s">
        <v>1287</v>
      </c>
      <c r="B55" s="89" t="s">
        <v>1942</v>
      </c>
    </row>
    <row r="56" spans="1:2" ht="15">
      <c r="A56" s="90" t="s">
        <v>1288</v>
      </c>
      <c r="B56" s="89" t="s">
        <v>1942</v>
      </c>
    </row>
    <row r="57" spans="1:2" ht="15">
      <c r="A57" s="90" t="s">
        <v>1289</v>
      </c>
      <c r="B57" s="89" t="s">
        <v>1942</v>
      </c>
    </row>
    <row r="58" spans="1:2" ht="15">
      <c r="A58" s="90" t="s">
        <v>1290</v>
      </c>
      <c r="B58" s="89" t="s">
        <v>1942</v>
      </c>
    </row>
    <row r="59" spans="1:2" ht="15">
      <c r="A59" s="90" t="s">
        <v>1291</v>
      </c>
      <c r="B59" s="89" t="s">
        <v>1942</v>
      </c>
    </row>
    <row r="60" spans="1:2" ht="15">
      <c r="A60" s="90" t="s">
        <v>1292</v>
      </c>
      <c r="B60" s="89" t="s">
        <v>1942</v>
      </c>
    </row>
    <row r="61" spans="1:2" ht="15">
      <c r="A61" s="90" t="s">
        <v>1293</v>
      </c>
      <c r="B61" s="89" t="s">
        <v>1942</v>
      </c>
    </row>
    <row r="62" spans="1:2" ht="15">
      <c r="A62" s="90" t="s">
        <v>1294</v>
      </c>
      <c r="B62" s="89" t="s">
        <v>1942</v>
      </c>
    </row>
    <row r="63" spans="1:2" ht="15">
      <c r="A63" s="90" t="s">
        <v>1295</v>
      </c>
      <c r="B63" s="89" t="s">
        <v>1942</v>
      </c>
    </row>
    <row r="64" spans="1:2" ht="15">
      <c r="A64" s="90" t="s">
        <v>1296</v>
      </c>
      <c r="B64" s="89" t="s">
        <v>1942</v>
      </c>
    </row>
    <row r="65" spans="1:2" ht="15">
      <c r="A65" s="90" t="s">
        <v>1297</v>
      </c>
      <c r="B65" s="89" t="s">
        <v>1942</v>
      </c>
    </row>
    <row r="66" spans="1:2" ht="15">
      <c r="A66" s="90" t="s">
        <v>1298</v>
      </c>
      <c r="B66" s="89" t="s">
        <v>1942</v>
      </c>
    </row>
    <row r="67" spans="1:2" ht="15">
      <c r="A67" s="90" t="s">
        <v>1299</v>
      </c>
      <c r="B67" s="89" t="s">
        <v>1942</v>
      </c>
    </row>
    <row r="68" spans="1:2" ht="15">
      <c r="A68" s="90" t="s">
        <v>1300</v>
      </c>
      <c r="B68" s="89" t="s">
        <v>1942</v>
      </c>
    </row>
    <row r="69" spans="1:2" ht="15">
      <c r="A69" s="90" t="s">
        <v>1301</v>
      </c>
      <c r="B69" s="89" t="s">
        <v>1942</v>
      </c>
    </row>
    <row r="70" spans="1:2" ht="15">
      <c r="A70" s="90" t="s">
        <v>1302</v>
      </c>
      <c r="B70" s="89" t="s">
        <v>1942</v>
      </c>
    </row>
    <row r="71" spans="1:2" ht="15">
      <c r="A71" s="90" t="s">
        <v>1303</v>
      </c>
      <c r="B71" s="89" t="s">
        <v>1942</v>
      </c>
    </row>
    <row r="72" spans="1:2" ht="15">
      <c r="A72" s="90" t="s">
        <v>1304</v>
      </c>
      <c r="B72" s="89" t="s">
        <v>1942</v>
      </c>
    </row>
    <row r="73" spans="1:2" ht="15">
      <c r="A73" s="90" t="s">
        <v>1305</v>
      </c>
      <c r="B73" s="89" t="s">
        <v>1942</v>
      </c>
    </row>
    <row r="74" spans="1:2" ht="15">
      <c r="A74" s="90" t="s">
        <v>1306</v>
      </c>
      <c r="B74" s="89" t="s">
        <v>1942</v>
      </c>
    </row>
    <row r="75" spans="1:2" ht="15">
      <c r="A75" s="90" t="s">
        <v>1307</v>
      </c>
      <c r="B75" s="89" t="s">
        <v>1942</v>
      </c>
    </row>
    <row r="76" spans="1:2" ht="15">
      <c r="A76" s="90" t="s">
        <v>1308</v>
      </c>
      <c r="B76" s="89" t="s">
        <v>1942</v>
      </c>
    </row>
    <row r="77" spans="1:2" ht="15">
      <c r="A77" s="90" t="s">
        <v>1309</v>
      </c>
      <c r="B77" s="89" t="s">
        <v>1942</v>
      </c>
    </row>
    <row r="78" spans="1:2" ht="15">
      <c r="A78" s="90" t="s">
        <v>1310</v>
      </c>
      <c r="B78" s="89" t="s">
        <v>1942</v>
      </c>
    </row>
    <row r="79" spans="1:2" ht="15">
      <c r="A79" s="90" t="s">
        <v>1311</v>
      </c>
      <c r="B79" s="89" t="s">
        <v>1942</v>
      </c>
    </row>
    <row r="80" spans="1:2" ht="15">
      <c r="A80" s="90" t="s">
        <v>1312</v>
      </c>
      <c r="B80" s="89" t="s">
        <v>1942</v>
      </c>
    </row>
    <row r="81" spans="1:2" ht="15">
      <c r="A81" s="90" t="s">
        <v>1313</v>
      </c>
      <c r="B81" s="89" t="s">
        <v>1942</v>
      </c>
    </row>
    <row r="82" spans="1:2" ht="15">
      <c r="A82" s="90" t="s">
        <v>1314</v>
      </c>
      <c r="B82" s="89" t="s">
        <v>1942</v>
      </c>
    </row>
    <row r="83" spans="1:2" ht="15">
      <c r="A83" s="90" t="s">
        <v>1315</v>
      </c>
      <c r="B83" s="89" t="s">
        <v>1942</v>
      </c>
    </row>
    <row r="84" spans="1:2" ht="15">
      <c r="A84" s="90" t="s">
        <v>1316</v>
      </c>
      <c r="B84" s="89" t="s">
        <v>1942</v>
      </c>
    </row>
    <row r="85" spans="1:2" ht="15">
      <c r="A85" s="90" t="s">
        <v>1317</v>
      </c>
      <c r="B85" s="89" t="s">
        <v>1942</v>
      </c>
    </row>
    <row r="86" spans="1:2" ht="15">
      <c r="A86" s="90" t="s">
        <v>1103</v>
      </c>
      <c r="B86" s="89" t="s">
        <v>1942</v>
      </c>
    </row>
    <row r="87" spans="1:2" ht="15">
      <c r="A87" s="90" t="s">
        <v>1318</v>
      </c>
      <c r="B87" s="89" t="s">
        <v>1942</v>
      </c>
    </row>
    <row r="88" spans="1:2" ht="15">
      <c r="A88" s="90" t="s">
        <v>1319</v>
      </c>
      <c r="B88" s="89" t="s">
        <v>1942</v>
      </c>
    </row>
    <row r="89" spans="1:2" ht="15">
      <c r="A89" s="90" t="s">
        <v>1320</v>
      </c>
      <c r="B89" s="89" t="s">
        <v>1942</v>
      </c>
    </row>
    <row r="90" spans="1:2" ht="15">
      <c r="A90" s="90" t="s">
        <v>1321</v>
      </c>
      <c r="B90" s="89" t="s">
        <v>1942</v>
      </c>
    </row>
    <row r="91" spans="1:2" ht="15">
      <c r="A91" s="90" t="s">
        <v>1322</v>
      </c>
      <c r="B91" s="89" t="s">
        <v>1942</v>
      </c>
    </row>
    <row r="92" spans="1:2" ht="15">
      <c r="A92" s="90" t="s">
        <v>1323</v>
      </c>
      <c r="B92" s="89" t="s">
        <v>1942</v>
      </c>
    </row>
    <row r="93" spans="1:2" ht="15">
      <c r="A93" s="90" t="s">
        <v>1082</v>
      </c>
      <c r="B93" s="89" t="s">
        <v>1942</v>
      </c>
    </row>
    <row r="94" spans="1:2" ht="15">
      <c r="A94" s="90" t="s">
        <v>1324</v>
      </c>
      <c r="B94" s="89" t="s">
        <v>1942</v>
      </c>
    </row>
    <row r="95" spans="1:2" ht="15">
      <c r="A95" s="90" t="s">
        <v>1325</v>
      </c>
      <c r="B95" s="89" t="s">
        <v>1942</v>
      </c>
    </row>
    <row r="96" spans="1:2" ht="15">
      <c r="A96" s="90" t="s">
        <v>1326</v>
      </c>
      <c r="B96" s="89" t="s">
        <v>1942</v>
      </c>
    </row>
    <row r="97" spans="1:2" ht="15">
      <c r="A97" s="90" t="s">
        <v>1327</v>
      </c>
      <c r="B97" s="89" t="s">
        <v>1942</v>
      </c>
    </row>
    <row r="98" spans="1:2" ht="15">
      <c r="A98" s="90" t="s">
        <v>1328</v>
      </c>
      <c r="B98" s="89" t="s">
        <v>1942</v>
      </c>
    </row>
    <row r="99" spans="1:2" ht="15">
      <c r="A99" s="90" t="s">
        <v>1329</v>
      </c>
      <c r="B99" s="89" t="s">
        <v>1942</v>
      </c>
    </row>
    <row r="100" spans="1:2" ht="15">
      <c r="A100" s="90" t="s">
        <v>1330</v>
      </c>
      <c r="B100" s="89" t="s">
        <v>1942</v>
      </c>
    </row>
    <row r="101" spans="1:2" ht="15">
      <c r="A101" s="90" t="s">
        <v>1331</v>
      </c>
      <c r="B101" s="89" t="s">
        <v>1942</v>
      </c>
    </row>
    <row r="102" spans="1:2" ht="15">
      <c r="A102" s="90" t="s">
        <v>1332</v>
      </c>
      <c r="B102" s="89" t="s">
        <v>1942</v>
      </c>
    </row>
    <row r="103" spans="1:2" ht="15">
      <c r="A103" s="90" t="s">
        <v>1333</v>
      </c>
      <c r="B103" s="89" t="s">
        <v>1942</v>
      </c>
    </row>
    <row r="104" spans="1:2" ht="15">
      <c r="A104" s="90" t="s">
        <v>1334</v>
      </c>
      <c r="B104" s="89" t="s">
        <v>1942</v>
      </c>
    </row>
    <row r="105" spans="1:2" ht="15">
      <c r="A105" s="90" t="s">
        <v>1335</v>
      </c>
      <c r="B105" s="89" t="s">
        <v>1942</v>
      </c>
    </row>
    <row r="106" spans="1:2" ht="15">
      <c r="A106" s="90" t="s">
        <v>1336</v>
      </c>
      <c r="B106" s="89" t="s">
        <v>1942</v>
      </c>
    </row>
    <row r="107" spans="1:2" ht="15">
      <c r="A107" s="90" t="s">
        <v>1337</v>
      </c>
      <c r="B107" s="89" t="s">
        <v>1942</v>
      </c>
    </row>
    <row r="108" spans="1:2" ht="15">
      <c r="A108" s="90" t="s">
        <v>1338</v>
      </c>
      <c r="B108" s="89" t="s">
        <v>1942</v>
      </c>
    </row>
    <row r="109" spans="1:2" ht="15">
      <c r="A109" s="90" t="s">
        <v>1339</v>
      </c>
      <c r="B109" s="89" t="s">
        <v>1942</v>
      </c>
    </row>
    <row r="110" spans="1:2" ht="15">
      <c r="A110" s="90" t="s">
        <v>1340</v>
      </c>
      <c r="B110" s="89" t="s">
        <v>1942</v>
      </c>
    </row>
    <row r="111" spans="1:2" ht="15">
      <c r="A111" s="90" t="s">
        <v>1341</v>
      </c>
      <c r="B111" s="89" t="s">
        <v>1942</v>
      </c>
    </row>
    <row r="112" spans="1:2" ht="15">
      <c r="A112" s="90" t="s">
        <v>1342</v>
      </c>
      <c r="B112" s="89" t="s">
        <v>1942</v>
      </c>
    </row>
    <row r="113" spans="1:2" ht="15">
      <c r="A113" s="90" t="s">
        <v>1343</v>
      </c>
      <c r="B113" s="89" t="s">
        <v>1942</v>
      </c>
    </row>
    <row r="114" spans="1:2" ht="15">
      <c r="A114" s="90" t="s">
        <v>1344</v>
      </c>
      <c r="B114" s="89" t="s">
        <v>1942</v>
      </c>
    </row>
    <row r="115" spans="1:2" ht="15">
      <c r="A115" s="90" t="s">
        <v>1345</v>
      </c>
      <c r="B115" s="89" t="s">
        <v>1942</v>
      </c>
    </row>
    <row r="116" spans="1:2" ht="15">
      <c r="A116" s="90" t="s">
        <v>1346</v>
      </c>
      <c r="B116" s="89" t="s">
        <v>1942</v>
      </c>
    </row>
    <row r="117" spans="1:2" ht="15">
      <c r="A117" s="90" t="s">
        <v>1347</v>
      </c>
      <c r="B117" s="89" t="s">
        <v>1942</v>
      </c>
    </row>
    <row r="118" spans="1:2" ht="15">
      <c r="A118" s="90" t="s">
        <v>1348</v>
      </c>
      <c r="B118" s="89" t="s">
        <v>1942</v>
      </c>
    </row>
    <row r="119" spans="1:2" ht="15">
      <c r="A119" s="90" t="s">
        <v>1349</v>
      </c>
      <c r="B119" s="89" t="s">
        <v>1942</v>
      </c>
    </row>
    <row r="120" spans="1:2" ht="15">
      <c r="A120" s="90" t="s">
        <v>1095</v>
      </c>
      <c r="B120" s="89" t="s">
        <v>1942</v>
      </c>
    </row>
    <row r="121" spans="1:2" ht="15">
      <c r="A121" s="90" t="s">
        <v>1350</v>
      </c>
      <c r="B121" s="89" t="s">
        <v>1942</v>
      </c>
    </row>
    <row r="122" spans="1:2" ht="15">
      <c r="A122" s="90" t="s">
        <v>1351</v>
      </c>
      <c r="B122" s="89" t="s">
        <v>1942</v>
      </c>
    </row>
    <row r="123" spans="1:2" ht="15">
      <c r="A123" s="90" t="s">
        <v>1352</v>
      </c>
      <c r="B123" s="89" t="s">
        <v>1942</v>
      </c>
    </row>
    <row r="124" spans="1:2" ht="15">
      <c r="A124" s="90" t="s">
        <v>1353</v>
      </c>
      <c r="B124" s="89" t="s">
        <v>1942</v>
      </c>
    </row>
    <row r="125" spans="1:2" ht="15">
      <c r="A125" s="90" t="s">
        <v>1354</v>
      </c>
      <c r="B125" s="89" t="s">
        <v>1942</v>
      </c>
    </row>
    <row r="126" spans="1:2" ht="15">
      <c r="A126" s="90" t="s">
        <v>1355</v>
      </c>
      <c r="B126" s="89" t="s">
        <v>1942</v>
      </c>
    </row>
    <row r="127" spans="1:2" ht="15">
      <c r="A127" s="90" t="s">
        <v>1356</v>
      </c>
      <c r="B127" s="89" t="s">
        <v>1942</v>
      </c>
    </row>
    <row r="128" spans="1:2" ht="15">
      <c r="A128" s="90" t="s">
        <v>1223</v>
      </c>
      <c r="B128" s="89" t="s">
        <v>1942</v>
      </c>
    </row>
    <row r="129" spans="1:2" ht="15">
      <c r="A129" s="90" t="s">
        <v>1357</v>
      </c>
      <c r="B129" s="89" t="s">
        <v>1942</v>
      </c>
    </row>
    <row r="130" spans="1:2" ht="15">
      <c r="A130" s="90" t="s">
        <v>1358</v>
      </c>
      <c r="B130" s="89" t="s">
        <v>1942</v>
      </c>
    </row>
    <row r="131" spans="1:2" ht="15">
      <c r="A131" s="90" t="s">
        <v>1359</v>
      </c>
      <c r="B131" s="89" t="s">
        <v>1942</v>
      </c>
    </row>
    <row r="132" spans="1:2" ht="15">
      <c r="A132" s="90" t="s">
        <v>1360</v>
      </c>
      <c r="B132" s="89" t="s">
        <v>1942</v>
      </c>
    </row>
    <row r="133" spans="1:2" ht="15">
      <c r="A133" s="90" t="s">
        <v>1361</v>
      </c>
      <c r="B133" s="89" t="s">
        <v>1942</v>
      </c>
    </row>
    <row r="134" spans="1:2" ht="15">
      <c r="A134" s="90" t="s">
        <v>1362</v>
      </c>
      <c r="B134" s="89" t="s">
        <v>1942</v>
      </c>
    </row>
    <row r="135" spans="1:2" ht="15">
      <c r="A135" s="90" t="s">
        <v>1363</v>
      </c>
      <c r="B135" s="89" t="s">
        <v>1942</v>
      </c>
    </row>
    <row r="136" spans="1:2" ht="15">
      <c r="A136" s="90" t="s">
        <v>1364</v>
      </c>
      <c r="B136" s="89" t="s">
        <v>1942</v>
      </c>
    </row>
    <row r="137" spans="1:2" ht="15">
      <c r="A137" s="90" t="s">
        <v>1365</v>
      </c>
      <c r="B137" s="89" t="s">
        <v>1942</v>
      </c>
    </row>
    <row r="138" spans="1:2" ht="15">
      <c r="A138" s="90" t="s">
        <v>1366</v>
      </c>
      <c r="B138" s="89" t="s">
        <v>1942</v>
      </c>
    </row>
    <row r="139" spans="1:2" ht="15">
      <c r="A139" s="90" t="s">
        <v>1367</v>
      </c>
      <c r="B139" s="89" t="s">
        <v>1942</v>
      </c>
    </row>
    <row r="140" spans="1:2" ht="15">
      <c r="A140" s="90" t="s">
        <v>1368</v>
      </c>
      <c r="B140" s="89" t="s">
        <v>1942</v>
      </c>
    </row>
    <row r="141" spans="1:2" ht="15">
      <c r="A141" s="90" t="s">
        <v>1369</v>
      </c>
      <c r="B141" s="89" t="s">
        <v>1942</v>
      </c>
    </row>
    <row r="142" spans="1:2" ht="15">
      <c r="A142" s="90" t="s">
        <v>1370</v>
      </c>
      <c r="B142" s="89" t="s">
        <v>1942</v>
      </c>
    </row>
    <row r="143" spans="1:2" ht="15">
      <c r="A143" s="90" t="s">
        <v>1371</v>
      </c>
      <c r="B143" s="89" t="s">
        <v>1942</v>
      </c>
    </row>
    <row r="144" spans="1:2" ht="15">
      <c r="A144" s="90" t="s">
        <v>1372</v>
      </c>
      <c r="B144" s="89" t="s">
        <v>1942</v>
      </c>
    </row>
    <row r="145" spans="1:2" ht="15">
      <c r="A145" s="90" t="s">
        <v>1373</v>
      </c>
      <c r="B145" s="89" t="s">
        <v>1942</v>
      </c>
    </row>
    <row r="146" spans="1:2" ht="15">
      <c r="A146" s="90" t="s">
        <v>1374</v>
      </c>
      <c r="B146" s="89" t="s">
        <v>1942</v>
      </c>
    </row>
    <row r="147" spans="1:2" ht="15">
      <c r="A147" s="90" t="s">
        <v>1375</v>
      </c>
      <c r="B147" s="89" t="s">
        <v>1942</v>
      </c>
    </row>
    <row r="148" spans="1:2" ht="15">
      <c r="A148" s="90" t="s">
        <v>1376</v>
      </c>
      <c r="B148" s="89" t="s">
        <v>1942</v>
      </c>
    </row>
    <row r="149" spans="1:2" ht="15">
      <c r="A149" s="90" t="s">
        <v>1377</v>
      </c>
      <c r="B149" s="89" t="s">
        <v>1942</v>
      </c>
    </row>
    <row r="150" spans="1:2" ht="15">
      <c r="A150" s="90" t="s">
        <v>1378</v>
      </c>
      <c r="B150" s="89" t="s">
        <v>1942</v>
      </c>
    </row>
    <row r="151" spans="1:2" ht="15">
      <c r="A151" s="90" t="s">
        <v>1379</v>
      </c>
      <c r="B151" s="89" t="s">
        <v>1942</v>
      </c>
    </row>
    <row r="152" spans="1:2" ht="15">
      <c r="A152" s="90" t="s">
        <v>1380</v>
      </c>
      <c r="B152" s="89" t="s">
        <v>1942</v>
      </c>
    </row>
    <row r="153" spans="1:2" ht="15">
      <c r="A153" s="90" t="s">
        <v>1381</v>
      </c>
      <c r="B153" s="89" t="s">
        <v>1942</v>
      </c>
    </row>
    <row r="154" spans="1:2" ht="15">
      <c r="A154" s="90" t="s">
        <v>1382</v>
      </c>
      <c r="B154" s="89" t="s">
        <v>1942</v>
      </c>
    </row>
    <row r="155" spans="1:2" ht="15">
      <c r="A155" s="90" t="s">
        <v>1383</v>
      </c>
      <c r="B155" s="89" t="s">
        <v>1942</v>
      </c>
    </row>
    <row r="156" spans="1:2" ht="15">
      <c r="A156" s="90" t="s">
        <v>1384</v>
      </c>
      <c r="B156" s="89" t="s">
        <v>1942</v>
      </c>
    </row>
    <row r="157" spans="1:2" ht="15">
      <c r="A157" s="90" t="s">
        <v>1385</v>
      </c>
      <c r="B157" s="89" t="s">
        <v>1942</v>
      </c>
    </row>
    <row r="158" spans="1:2" ht="15">
      <c r="A158" s="90" t="s">
        <v>1386</v>
      </c>
      <c r="B158" s="89" t="s">
        <v>1942</v>
      </c>
    </row>
    <row r="159" spans="1:2" ht="15">
      <c r="A159" s="90" t="s">
        <v>1387</v>
      </c>
      <c r="B159" s="89" t="s">
        <v>1942</v>
      </c>
    </row>
    <row r="160" spans="1:2" ht="15">
      <c r="A160" s="90" t="s">
        <v>1388</v>
      </c>
      <c r="B160" s="89" t="s">
        <v>1942</v>
      </c>
    </row>
    <row r="161" spans="1:2" ht="15">
      <c r="A161" s="90" t="s">
        <v>1389</v>
      </c>
      <c r="B161" s="89" t="s">
        <v>1942</v>
      </c>
    </row>
    <row r="162" spans="1:2" ht="15">
      <c r="A162" s="90" t="s">
        <v>1390</v>
      </c>
      <c r="B162" s="89" t="s">
        <v>1942</v>
      </c>
    </row>
    <row r="163" spans="1:2" ht="15">
      <c r="A163" s="90" t="s">
        <v>1391</v>
      </c>
      <c r="B163" s="89" t="s">
        <v>1942</v>
      </c>
    </row>
    <row r="164" spans="1:2" ht="15">
      <c r="A164" s="90" t="s">
        <v>1392</v>
      </c>
      <c r="B164" s="89" t="s">
        <v>1942</v>
      </c>
    </row>
    <row r="165" spans="1:2" ht="15">
      <c r="A165" s="90" t="s">
        <v>1393</v>
      </c>
      <c r="B165" s="89" t="s">
        <v>1942</v>
      </c>
    </row>
    <row r="166" spans="1:2" ht="15">
      <c r="A166" s="90" t="s">
        <v>1394</v>
      </c>
      <c r="B166" s="89" t="s">
        <v>1942</v>
      </c>
    </row>
    <row r="167" spans="1:2" ht="15">
      <c r="A167" s="90" t="s">
        <v>1141</v>
      </c>
      <c r="B167" s="89" t="s">
        <v>1942</v>
      </c>
    </row>
    <row r="168" spans="1:2" ht="15">
      <c r="A168" s="90" t="s">
        <v>1395</v>
      </c>
      <c r="B168" s="89" t="s">
        <v>1942</v>
      </c>
    </row>
    <row r="169" spans="1:2" ht="15">
      <c r="A169" s="90" t="s">
        <v>1396</v>
      </c>
      <c r="B169" s="89" t="s">
        <v>1942</v>
      </c>
    </row>
    <row r="170" spans="1:2" ht="15">
      <c r="A170" s="90" t="s">
        <v>1397</v>
      </c>
      <c r="B170" s="89" t="s">
        <v>1942</v>
      </c>
    </row>
    <row r="171" spans="1:2" ht="15">
      <c r="A171" s="90" t="s">
        <v>1398</v>
      </c>
      <c r="B171" s="89" t="s">
        <v>1942</v>
      </c>
    </row>
    <row r="172" spans="1:2" ht="15">
      <c r="A172" s="90" t="s">
        <v>1161</v>
      </c>
      <c r="B172" s="89" t="s">
        <v>1942</v>
      </c>
    </row>
    <row r="173" spans="1:2" ht="15">
      <c r="A173" s="90" t="s">
        <v>1399</v>
      </c>
      <c r="B173" s="89" t="s">
        <v>1942</v>
      </c>
    </row>
    <row r="174" spans="1:2" ht="15">
      <c r="A174" s="90" t="s">
        <v>1400</v>
      </c>
      <c r="B174" s="89" t="s">
        <v>1942</v>
      </c>
    </row>
    <row r="175" spans="1:2" ht="15">
      <c r="A175" s="90" t="s">
        <v>1401</v>
      </c>
      <c r="B175" s="89" t="s">
        <v>1942</v>
      </c>
    </row>
    <row r="176" spans="1:2" ht="15">
      <c r="A176" s="90" t="s">
        <v>1402</v>
      </c>
      <c r="B176" s="89" t="s">
        <v>1942</v>
      </c>
    </row>
    <row r="177" spans="1:2" ht="15">
      <c r="A177" s="90" t="s">
        <v>1403</v>
      </c>
      <c r="B177" s="89" t="s">
        <v>1942</v>
      </c>
    </row>
    <row r="178" spans="1:2" ht="15">
      <c r="A178" s="90" t="s">
        <v>1404</v>
      </c>
      <c r="B178" s="89" t="s">
        <v>1942</v>
      </c>
    </row>
    <row r="179" spans="1:2" ht="15">
      <c r="A179" s="90" t="s">
        <v>1405</v>
      </c>
      <c r="B179" s="89" t="s">
        <v>1942</v>
      </c>
    </row>
    <row r="180" spans="1:2" ht="15">
      <c r="A180" s="90" t="s">
        <v>1406</v>
      </c>
      <c r="B180" s="89" t="s">
        <v>1942</v>
      </c>
    </row>
    <row r="181" spans="1:2" ht="15">
      <c r="A181" s="90" t="s">
        <v>1407</v>
      </c>
      <c r="B181" s="89" t="s">
        <v>1942</v>
      </c>
    </row>
    <row r="182" spans="1:2" ht="15">
      <c r="A182" s="90" t="s">
        <v>1408</v>
      </c>
      <c r="B182" s="89" t="s">
        <v>1942</v>
      </c>
    </row>
    <row r="183" spans="1:2" ht="15">
      <c r="A183" s="90" t="s">
        <v>1409</v>
      </c>
      <c r="B183" s="89" t="s">
        <v>1942</v>
      </c>
    </row>
    <row r="184" spans="1:2" ht="15">
      <c r="A184" s="90" t="s">
        <v>1410</v>
      </c>
      <c r="B184" s="89" t="s">
        <v>1942</v>
      </c>
    </row>
    <row r="185" spans="1:2" ht="15">
      <c r="A185" s="90" t="s">
        <v>1159</v>
      </c>
      <c r="B185" s="89" t="s">
        <v>1942</v>
      </c>
    </row>
    <row r="186" spans="1:2" ht="15">
      <c r="A186" s="90" t="s">
        <v>1411</v>
      </c>
      <c r="B186" s="89" t="s">
        <v>1942</v>
      </c>
    </row>
    <row r="187" spans="1:2" ht="15">
      <c r="A187" s="90" t="s">
        <v>1412</v>
      </c>
      <c r="B187" s="89" t="s">
        <v>1942</v>
      </c>
    </row>
    <row r="188" spans="1:2" ht="15">
      <c r="A188" s="90" t="s">
        <v>1413</v>
      </c>
      <c r="B188" s="89" t="s">
        <v>1942</v>
      </c>
    </row>
    <row r="189" spans="1:2" ht="15">
      <c r="A189" s="90" t="s">
        <v>1414</v>
      </c>
      <c r="B189" s="89" t="s">
        <v>1942</v>
      </c>
    </row>
    <row r="190" spans="1:2" ht="15">
      <c r="A190" s="90" t="s">
        <v>1185</v>
      </c>
      <c r="B190" s="89" t="s">
        <v>1942</v>
      </c>
    </row>
    <row r="191" spans="1:2" ht="15">
      <c r="A191" s="90" t="s">
        <v>1087</v>
      </c>
      <c r="B191" s="89" t="s">
        <v>1942</v>
      </c>
    </row>
    <row r="192" spans="1:2" ht="15">
      <c r="A192" s="90" t="s">
        <v>1415</v>
      </c>
      <c r="B192" s="89" t="s">
        <v>1942</v>
      </c>
    </row>
    <row r="193" spans="1:2" ht="15">
      <c r="A193" s="90" t="s">
        <v>1416</v>
      </c>
      <c r="B193" s="89" t="s">
        <v>1942</v>
      </c>
    </row>
    <row r="194" spans="1:2" ht="15">
      <c r="A194" s="90" t="s">
        <v>1168</v>
      </c>
      <c r="B194" s="89" t="s">
        <v>1942</v>
      </c>
    </row>
    <row r="195" spans="1:2" ht="15">
      <c r="A195" s="90" t="s">
        <v>1417</v>
      </c>
      <c r="B195" s="89" t="s">
        <v>1942</v>
      </c>
    </row>
    <row r="196" spans="1:2" ht="15">
      <c r="A196" s="90" t="s">
        <v>1418</v>
      </c>
      <c r="B196" s="89" t="s">
        <v>1942</v>
      </c>
    </row>
    <row r="197" spans="1:2" ht="15">
      <c r="A197" s="90" t="s">
        <v>1419</v>
      </c>
      <c r="B197" s="89" t="s">
        <v>1942</v>
      </c>
    </row>
    <row r="198" spans="1:2" ht="15">
      <c r="A198" s="90" t="s">
        <v>1420</v>
      </c>
      <c r="B198" s="89" t="s">
        <v>1942</v>
      </c>
    </row>
    <row r="199" spans="1:2" ht="15">
      <c r="A199" s="90" t="s">
        <v>1421</v>
      </c>
      <c r="B199" s="89" t="s">
        <v>1942</v>
      </c>
    </row>
    <row r="200" spans="1:2" ht="15">
      <c r="A200" s="90" t="s">
        <v>1422</v>
      </c>
      <c r="B200" s="89" t="s">
        <v>1942</v>
      </c>
    </row>
    <row r="201" spans="1:2" ht="15">
      <c r="A201" s="90" t="s">
        <v>1423</v>
      </c>
      <c r="B201" s="89" t="s">
        <v>1942</v>
      </c>
    </row>
    <row r="202" spans="1:2" ht="15">
      <c r="A202" s="90" t="s">
        <v>1424</v>
      </c>
      <c r="B202" s="89" t="s">
        <v>1942</v>
      </c>
    </row>
    <row r="203" spans="1:2" ht="15">
      <c r="A203" s="90" t="s">
        <v>1425</v>
      </c>
      <c r="B203" s="89" t="s">
        <v>1942</v>
      </c>
    </row>
    <row r="204" spans="1:2" ht="15">
      <c r="A204" s="90" t="s">
        <v>1426</v>
      </c>
      <c r="B204" s="89" t="s">
        <v>1942</v>
      </c>
    </row>
    <row r="205" spans="1:2" ht="15">
      <c r="A205" s="90" t="s">
        <v>1427</v>
      </c>
      <c r="B205" s="89" t="s">
        <v>1942</v>
      </c>
    </row>
    <row r="206" spans="1:2" ht="15">
      <c r="A206" s="90" t="s">
        <v>1428</v>
      </c>
      <c r="B206" s="89" t="s">
        <v>1942</v>
      </c>
    </row>
    <row r="207" spans="1:2" ht="15">
      <c r="A207" s="90" t="s">
        <v>1429</v>
      </c>
      <c r="B207" s="89" t="s">
        <v>1942</v>
      </c>
    </row>
    <row r="208" spans="1:2" ht="15">
      <c r="A208" s="90" t="s">
        <v>1430</v>
      </c>
      <c r="B208" s="89" t="s">
        <v>1942</v>
      </c>
    </row>
    <row r="209" spans="1:2" ht="15">
      <c r="A209" s="90" t="s">
        <v>1431</v>
      </c>
      <c r="B209" s="89" t="s">
        <v>1942</v>
      </c>
    </row>
    <row r="210" spans="1:2" ht="15">
      <c r="A210" s="90" t="s">
        <v>1432</v>
      </c>
      <c r="B210" s="89" t="s">
        <v>1942</v>
      </c>
    </row>
    <row r="211" spans="1:2" ht="15">
      <c r="A211" s="90" t="s">
        <v>1433</v>
      </c>
      <c r="B211" s="89" t="s">
        <v>1942</v>
      </c>
    </row>
    <row r="212" spans="1:2" ht="15">
      <c r="A212" s="90" t="s">
        <v>1434</v>
      </c>
      <c r="B212" s="89" t="s">
        <v>1942</v>
      </c>
    </row>
    <row r="213" spans="1:2" ht="15">
      <c r="A213" s="90" t="s">
        <v>1435</v>
      </c>
      <c r="B213" s="89" t="s">
        <v>1942</v>
      </c>
    </row>
    <row r="214" spans="1:2" ht="15">
      <c r="A214" s="90" t="s">
        <v>1436</v>
      </c>
      <c r="B214" s="89" t="s">
        <v>1942</v>
      </c>
    </row>
    <row r="215" spans="1:2" ht="15">
      <c r="A215" s="90" t="s">
        <v>1437</v>
      </c>
      <c r="B215" s="89" t="s">
        <v>1942</v>
      </c>
    </row>
    <row r="216" spans="1:2" ht="15">
      <c r="A216" s="90" t="s">
        <v>1438</v>
      </c>
      <c r="B216" s="89" t="s">
        <v>1942</v>
      </c>
    </row>
    <row r="217" spans="1:2" ht="15">
      <c r="A217" s="90" t="s">
        <v>1439</v>
      </c>
      <c r="B217" s="89" t="s">
        <v>1942</v>
      </c>
    </row>
    <row r="218" spans="1:2" ht="15">
      <c r="A218" s="90" t="s">
        <v>1440</v>
      </c>
      <c r="B218" s="89" t="s">
        <v>1942</v>
      </c>
    </row>
    <row r="219" spans="1:2" ht="15">
      <c r="A219" s="90" t="s">
        <v>1441</v>
      </c>
      <c r="B219" s="89" t="s">
        <v>1942</v>
      </c>
    </row>
    <row r="220" spans="1:2" ht="15">
      <c r="A220" s="90" t="s">
        <v>1442</v>
      </c>
      <c r="B220" s="89" t="s">
        <v>1942</v>
      </c>
    </row>
    <row r="221" spans="1:2" ht="15">
      <c r="A221" s="90" t="s">
        <v>1443</v>
      </c>
      <c r="B221" s="89" t="s">
        <v>1942</v>
      </c>
    </row>
    <row r="222" spans="1:2" ht="15">
      <c r="A222" s="90" t="s">
        <v>1444</v>
      </c>
      <c r="B222" s="89" t="s">
        <v>1942</v>
      </c>
    </row>
    <row r="223" spans="1:2" ht="15">
      <c r="A223" s="90" t="s">
        <v>1104</v>
      </c>
      <c r="B223" s="89" t="s">
        <v>1942</v>
      </c>
    </row>
    <row r="224" spans="1:2" ht="15">
      <c r="A224" s="90" t="s">
        <v>1445</v>
      </c>
      <c r="B224" s="89" t="s">
        <v>1942</v>
      </c>
    </row>
    <row r="225" spans="1:2" ht="15">
      <c r="A225" s="90" t="s">
        <v>1446</v>
      </c>
      <c r="B225" s="89" t="s">
        <v>1942</v>
      </c>
    </row>
    <row r="226" spans="1:2" ht="15">
      <c r="A226" s="90" t="s">
        <v>1447</v>
      </c>
      <c r="B226" s="89" t="s">
        <v>1942</v>
      </c>
    </row>
    <row r="227" spans="1:2" ht="15">
      <c r="A227" s="90" t="s">
        <v>1211</v>
      </c>
      <c r="B227" s="89" t="s">
        <v>1942</v>
      </c>
    </row>
    <row r="228" spans="1:2" ht="15">
      <c r="A228" s="90" t="s">
        <v>1448</v>
      </c>
      <c r="B228" s="89" t="s">
        <v>1942</v>
      </c>
    </row>
    <row r="229" spans="1:2" ht="15">
      <c r="A229" s="90" t="s">
        <v>1449</v>
      </c>
      <c r="B229" s="89" t="s">
        <v>1942</v>
      </c>
    </row>
    <row r="230" spans="1:2" ht="15">
      <c r="A230" s="90" t="s">
        <v>1450</v>
      </c>
      <c r="B230" s="89" t="s">
        <v>1942</v>
      </c>
    </row>
    <row r="231" spans="1:2" ht="15">
      <c r="A231" s="90" t="s">
        <v>1451</v>
      </c>
      <c r="B231" s="89" t="s">
        <v>1942</v>
      </c>
    </row>
    <row r="232" spans="1:2" ht="15">
      <c r="A232" s="90" t="s">
        <v>1452</v>
      </c>
      <c r="B232" s="89" t="s">
        <v>1942</v>
      </c>
    </row>
    <row r="233" spans="1:2" ht="15">
      <c r="A233" s="90" t="s">
        <v>1453</v>
      </c>
      <c r="B233" s="89" t="s">
        <v>1942</v>
      </c>
    </row>
    <row r="234" spans="1:2" ht="15">
      <c r="A234" s="90" t="s">
        <v>1454</v>
      </c>
      <c r="B234" s="89" t="s">
        <v>1942</v>
      </c>
    </row>
    <row r="235" spans="1:2" ht="15">
      <c r="A235" s="90" t="s">
        <v>1455</v>
      </c>
      <c r="B235" s="89" t="s">
        <v>1942</v>
      </c>
    </row>
    <row r="236" spans="1:2" ht="15">
      <c r="A236" s="90" t="s">
        <v>1456</v>
      </c>
      <c r="B236" s="89" t="s">
        <v>1942</v>
      </c>
    </row>
    <row r="237" spans="1:2" ht="15">
      <c r="A237" s="90" t="s">
        <v>1457</v>
      </c>
      <c r="B237" s="89" t="s">
        <v>1942</v>
      </c>
    </row>
    <row r="238" spans="1:2" ht="15">
      <c r="A238" s="90" t="s">
        <v>1458</v>
      </c>
      <c r="B238" s="89" t="s">
        <v>1942</v>
      </c>
    </row>
    <row r="239" spans="1:2" ht="15">
      <c r="A239" s="90" t="s">
        <v>1459</v>
      </c>
      <c r="B239" s="89" t="s">
        <v>1942</v>
      </c>
    </row>
    <row r="240" spans="1:2" ht="15">
      <c r="A240" s="90" t="s">
        <v>1460</v>
      </c>
      <c r="B240" s="89" t="s">
        <v>1942</v>
      </c>
    </row>
    <row r="241" spans="1:2" ht="15">
      <c r="A241" s="90" t="s">
        <v>1461</v>
      </c>
      <c r="B241" s="89" t="s">
        <v>1942</v>
      </c>
    </row>
    <row r="242" spans="1:2" ht="15">
      <c r="A242" s="90" t="s">
        <v>1462</v>
      </c>
      <c r="B242" s="89" t="s">
        <v>1942</v>
      </c>
    </row>
    <row r="243" spans="1:2" ht="15">
      <c r="A243" s="90" t="s">
        <v>1463</v>
      </c>
      <c r="B243" s="89" t="s">
        <v>1942</v>
      </c>
    </row>
    <row r="244" spans="1:2" ht="15">
      <c r="A244" s="90" t="s">
        <v>1464</v>
      </c>
      <c r="B244" s="89" t="s">
        <v>1942</v>
      </c>
    </row>
    <row r="245" spans="1:2" ht="15">
      <c r="A245" s="90" t="s">
        <v>1465</v>
      </c>
      <c r="B245" s="89" t="s">
        <v>1942</v>
      </c>
    </row>
    <row r="246" spans="1:2" ht="15">
      <c r="A246" s="90" t="s">
        <v>1466</v>
      </c>
      <c r="B246" s="89" t="s">
        <v>1942</v>
      </c>
    </row>
    <row r="247" spans="1:2" ht="15">
      <c r="A247" s="90" t="s">
        <v>1467</v>
      </c>
      <c r="B247" s="89" t="s">
        <v>1942</v>
      </c>
    </row>
    <row r="248" spans="1:2" ht="15">
      <c r="A248" s="90" t="s">
        <v>1468</v>
      </c>
      <c r="B248" s="89" t="s">
        <v>1942</v>
      </c>
    </row>
    <row r="249" spans="1:2" ht="15">
      <c r="A249" s="90" t="s">
        <v>1469</v>
      </c>
      <c r="B249" s="89" t="s">
        <v>1942</v>
      </c>
    </row>
    <row r="250" spans="1:2" ht="15">
      <c r="A250" s="90" t="s">
        <v>1470</v>
      </c>
      <c r="B250" s="89" t="s">
        <v>1942</v>
      </c>
    </row>
    <row r="251" spans="1:2" ht="15">
      <c r="A251" s="90" t="s">
        <v>1471</v>
      </c>
      <c r="B251" s="89" t="s">
        <v>1942</v>
      </c>
    </row>
    <row r="252" spans="1:2" ht="15">
      <c r="A252" s="90" t="s">
        <v>1472</v>
      </c>
      <c r="B252" s="89" t="s">
        <v>1942</v>
      </c>
    </row>
    <row r="253" spans="1:2" ht="15">
      <c r="A253" s="90" t="s">
        <v>1473</v>
      </c>
      <c r="B253" s="89" t="s">
        <v>1942</v>
      </c>
    </row>
    <row r="254" spans="1:2" ht="15">
      <c r="A254" s="90" t="s">
        <v>1474</v>
      </c>
      <c r="B254" s="89" t="s">
        <v>1942</v>
      </c>
    </row>
    <row r="255" spans="1:2" ht="15">
      <c r="A255" s="90" t="s">
        <v>1475</v>
      </c>
      <c r="B255" s="89" t="s">
        <v>1942</v>
      </c>
    </row>
    <row r="256" spans="1:2" ht="15">
      <c r="A256" s="90" t="s">
        <v>1476</v>
      </c>
      <c r="B256" s="89" t="s">
        <v>1942</v>
      </c>
    </row>
    <row r="257" spans="1:2" ht="15">
      <c r="A257" s="90" t="s">
        <v>1477</v>
      </c>
      <c r="B257" s="89" t="s">
        <v>1942</v>
      </c>
    </row>
    <row r="258" spans="1:2" ht="15">
      <c r="A258" s="90" t="s">
        <v>1478</v>
      </c>
      <c r="B258" s="89" t="s">
        <v>1942</v>
      </c>
    </row>
    <row r="259" spans="1:2" ht="15">
      <c r="A259" s="90" t="s">
        <v>1479</v>
      </c>
      <c r="B259" s="89" t="s">
        <v>1942</v>
      </c>
    </row>
    <row r="260" spans="1:2" ht="15">
      <c r="A260" s="90" t="s">
        <v>1480</v>
      </c>
      <c r="B260" s="89" t="s">
        <v>1942</v>
      </c>
    </row>
    <row r="261" spans="1:2" ht="15">
      <c r="A261" s="90" t="s">
        <v>1092</v>
      </c>
      <c r="B261" s="89" t="s">
        <v>1942</v>
      </c>
    </row>
    <row r="262" spans="1:2" ht="15">
      <c r="A262" s="90" t="s">
        <v>1481</v>
      </c>
      <c r="B262" s="89" t="s">
        <v>1942</v>
      </c>
    </row>
    <row r="263" spans="1:2" ht="15">
      <c r="A263" s="90" t="s">
        <v>1482</v>
      </c>
      <c r="B263" s="89" t="s">
        <v>1942</v>
      </c>
    </row>
    <row r="264" spans="1:2" ht="15">
      <c r="A264" s="90" t="s">
        <v>1212</v>
      </c>
      <c r="B264" s="89" t="s">
        <v>1942</v>
      </c>
    </row>
    <row r="265" spans="1:2" ht="15">
      <c r="A265" s="90" t="s">
        <v>1483</v>
      </c>
      <c r="B265" s="89" t="s">
        <v>1942</v>
      </c>
    </row>
    <row r="266" spans="1:2" ht="15">
      <c r="A266" s="90" t="s">
        <v>1484</v>
      </c>
      <c r="B266" s="89" t="s">
        <v>1942</v>
      </c>
    </row>
    <row r="267" spans="1:2" ht="15">
      <c r="A267" s="90" t="s">
        <v>1485</v>
      </c>
      <c r="B267" s="89" t="s">
        <v>1942</v>
      </c>
    </row>
    <row r="268" spans="1:2" ht="15">
      <c r="A268" s="90" t="s">
        <v>1486</v>
      </c>
      <c r="B268" s="89" t="s">
        <v>1942</v>
      </c>
    </row>
    <row r="269" spans="1:2" ht="15">
      <c r="A269" s="90" t="s">
        <v>1487</v>
      </c>
      <c r="B269" s="89" t="s">
        <v>1942</v>
      </c>
    </row>
    <row r="270" spans="1:2" ht="15">
      <c r="A270" s="90" t="s">
        <v>1488</v>
      </c>
      <c r="B270" s="89" t="s">
        <v>1942</v>
      </c>
    </row>
    <row r="271" spans="1:2" ht="15">
      <c r="A271" s="90" t="s">
        <v>1489</v>
      </c>
      <c r="B271" s="89" t="s">
        <v>1942</v>
      </c>
    </row>
    <row r="272" spans="1:2" ht="15">
      <c r="A272" s="90" t="s">
        <v>1490</v>
      </c>
      <c r="B272" s="89" t="s">
        <v>1942</v>
      </c>
    </row>
    <row r="273" spans="1:2" ht="15">
      <c r="A273" s="90" t="s">
        <v>1491</v>
      </c>
      <c r="B273" s="89" t="s">
        <v>1942</v>
      </c>
    </row>
    <row r="274" spans="1:2" ht="15">
      <c r="A274" s="90" t="s">
        <v>1187</v>
      </c>
      <c r="B274" s="89" t="s">
        <v>1942</v>
      </c>
    </row>
    <row r="275" spans="1:2" ht="15">
      <c r="A275" s="90" t="s">
        <v>1492</v>
      </c>
      <c r="B275" s="89" t="s">
        <v>1942</v>
      </c>
    </row>
    <row r="276" spans="1:2" ht="15">
      <c r="A276" s="90" t="s">
        <v>1493</v>
      </c>
      <c r="B276" s="89" t="s">
        <v>1942</v>
      </c>
    </row>
    <row r="277" spans="1:2" ht="15">
      <c r="A277" s="90" t="s">
        <v>1494</v>
      </c>
      <c r="B277" s="89" t="s">
        <v>1942</v>
      </c>
    </row>
    <row r="278" spans="1:2" ht="15">
      <c r="A278" s="90" t="s">
        <v>1495</v>
      </c>
      <c r="B278" s="89" t="s">
        <v>1942</v>
      </c>
    </row>
    <row r="279" spans="1:2" ht="15">
      <c r="A279" s="90" t="s">
        <v>1496</v>
      </c>
      <c r="B279" s="89" t="s">
        <v>1942</v>
      </c>
    </row>
    <row r="280" spans="1:2" ht="15">
      <c r="A280" s="90" t="s">
        <v>1497</v>
      </c>
      <c r="B280" s="89" t="s">
        <v>1942</v>
      </c>
    </row>
    <row r="281" spans="1:2" ht="15">
      <c r="A281" s="90" t="s">
        <v>1498</v>
      </c>
      <c r="B281" s="89" t="s">
        <v>1942</v>
      </c>
    </row>
    <row r="282" spans="1:2" ht="15">
      <c r="A282" s="90" t="s">
        <v>1499</v>
      </c>
      <c r="B282" s="89" t="s">
        <v>1942</v>
      </c>
    </row>
    <row r="283" spans="1:2" ht="15">
      <c r="A283" s="90" t="s">
        <v>1500</v>
      </c>
      <c r="B283" s="89" t="s">
        <v>1942</v>
      </c>
    </row>
    <row r="284" spans="1:2" ht="15">
      <c r="A284" s="90" t="s">
        <v>1501</v>
      </c>
      <c r="B284" s="89" t="s">
        <v>1942</v>
      </c>
    </row>
    <row r="285" spans="1:2" ht="15">
      <c r="A285" s="90" t="s">
        <v>1502</v>
      </c>
      <c r="B285" s="89" t="s">
        <v>1942</v>
      </c>
    </row>
    <row r="286" spans="1:2" ht="15">
      <c r="A286" s="90" t="s">
        <v>1503</v>
      </c>
      <c r="B286" s="89" t="s">
        <v>1942</v>
      </c>
    </row>
    <row r="287" spans="1:2" ht="15">
      <c r="A287" s="90" t="s">
        <v>1504</v>
      </c>
      <c r="B287" s="89" t="s">
        <v>1942</v>
      </c>
    </row>
    <row r="288" spans="1:2" ht="15">
      <c r="A288" s="90" t="s">
        <v>1505</v>
      </c>
      <c r="B288" s="89" t="s">
        <v>1942</v>
      </c>
    </row>
    <row r="289" spans="1:2" ht="15">
      <c r="A289" s="90" t="s">
        <v>1506</v>
      </c>
      <c r="B289" s="89" t="s">
        <v>1942</v>
      </c>
    </row>
    <row r="290" spans="1:2" ht="15">
      <c r="A290" s="90" t="s">
        <v>1507</v>
      </c>
      <c r="B290" s="89" t="s">
        <v>1942</v>
      </c>
    </row>
    <row r="291" spans="1:2" ht="15">
      <c r="A291" s="90" t="s">
        <v>1508</v>
      </c>
      <c r="B291" s="89" t="s">
        <v>1942</v>
      </c>
    </row>
    <row r="292" spans="1:2" ht="15">
      <c r="A292" s="90" t="s">
        <v>1509</v>
      </c>
      <c r="B292" s="89" t="s">
        <v>1942</v>
      </c>
    </row>
    <row r="293" spans="1:2" ht="15">
      <c r="A293" s="90" t="s">
        <v>1510</v>
      </c>
      <c r="B293" s="89" t="s">
        <v>1942</v>
      </c>
    </row>
    <row r="294" spans="1:2" ht="15">
      <c r="A294" s="90" t="s">
        <v>1511</v>
      </c>
      <c r="B294" s="89" t="s">
        <v>1942</v>
      </c>
    </row>
    <row r="295" spans="1:2" ht="15">
      <c r="A295" s="90" t="s">
        <v>1512</v>
      </c>
      <c r="B295" s="89" t="s">
        <v>1942</v>
      </c>
    </row>
    <row r="296" spans="1:2" ht="15">
      <c r="A296" s="90" t="s">
        <v>1513</v>
      </c>
      <c r="B296" s="89" t="s">
        <v>1942</v>
      </c>
    </row>
    <row r="297" spans="1:2" ht="15">
      <c r="A297" s="90" t="s">
        <v>1514</v>
      </c>
      <c r="B297" s="89" t="s">
        <v>1942</v>
      </c>
    </row>
    <row r="298" spans="1:2" ht="15">
      <c r="A298" s="90" t="s">
        <v>1515</v>
      </c>
      <c r="B298" s="89" t="s">
        <v>1942</v>
      </c>
    </row>
    <row r="299" spans="1:2" ht="15">
      <c r="A299" s="90" t="s">
        <v>1516</v>
      </c>
      <c r="B299" s="89" t="s">
        <v>1942</v>
      </c>
    </row>
    <row r="300" spans="1:2" ht="15">
      <c r="A300" s="90" t="s">
        <v>1517</v>
      </c>
      <c r="B300" s="89" t="s">
        <v>1942</v>
      </c>
    </row>
    <row r="301" spans="1:2" ht="15">
      <c r="A301" s="90" t="s">
        <v>1518</v>
      </c>
      <c r="B301" s="89" t="s">
        <v>1942</v>
      </c>
    </row>
    <row r="302" spans="1:2" ht="15">
      <c r="A302" s="90" t="s">
        <v>1519</v>
      </c>
      <c r="B302" s="89" t="s">
        <v>1942</v>
      </c>
    </row>
    <row r="303" spans="1:2" ht="15">
      <c r="A303" s="90" t="s">
        <v>1520</v>
      </c>
      <c r="B303" s="89" t="s">
        <v>1942</v>
      </c>
    </row>
    <row r="304" spans="1:2" ht="15">
      <c r="A304" s="90" t="s">
        <v>1521</v>
      </c>
      <c r="B304" s="89" t="s">
        <v>1942</v>
      </c>
    </row>
    <row r="305" spans="1:2" ht="15">
      <c r="A305" s="90" t="s">
        <v>1522</v>
      </c>
      <c r="B305" s="89" t="s">
        <v>1942</v>
      </c>
    </row>
    <row r="306" spans="1:2" ht="15">
      <c r="A306" s="90" t="s">
        <v>1523</v>
      </c>
      <c r="B306" s="89" t="s">
        <v>1942</v>
      </c>
    </row>
    <row r="307" spans="1:2" ht="15">
      <c r="A307" s="90" t="s">
        <v>1524</v>
      </c>
      <c r="B307" s="89" t="s">
        <v>1942</v>
      </c>
    </row>
    <row r="308" spans="1:2" ht="15">
      <c r="A308" s="90" t="s">
        <v>1525</v>
      </c>
      <c r="B308" s="89" t="s">
        <v>1942</v>
      </c>
    </row>
    <row r="309" spans="1:2" ht="15">
      <c r="A309" s="90" t="s">
        <v>1526</v>
      </c>
      <c r="B309" s="89" t="s">
        <v>1942</v>
      </c>
    </row>
    <row r="310" spans="1:2" ht="15">
      <c r="A310" s="90" t="s">
        <v>1527</v>
      </c>
      <c r="B310" s="89" t="s">
        <v>1942</v>
      </c>
    </row>
    <row r="311" spans="1:2" ht="15">
      <c r="A311" s="90" t="s">
        <v>1528</v>
      </c>
      <c r="B311" s="89" t="s">
        <v>1942</v>
      </c>
    </row>
    <row r="312" spans="1:2" ht="15">
      <c r="A312" s="90" t="s">
        <v>1529</v>
      </c>
      <c r="B312" s="89" t="s">
        <v>1942</v>
      </c>
    </row>
    <row r="313" spans="1:2" ht="15">
      <c r="A313" s="90" t="s">
        <v>1530</v>
      </c>
      <c r="B313" s="89" t="s">
        <v>1942</v>
      </c>
    </row>
    <row r="314" spans="1:2" ht="15">
      <c r="A314" s="90" t="s">
        <v>1531</v>
      </c>
      <c r="B314" s="89" t="s">
        <v>1942</v>
      </c>
    </row>
    <row r="315" spans="1:2" ht="15">
      <c r="A315" s="90" t="s">
        <v>1532</v>
      </c>
      <c r="B315" s="89" t="s">
        <v>1942</v>
      </c>
    </row>
    <row r="316" spans="1:2" ht="15">
      <c r="A316" s="90" t="s">
        <v>1533</v>
      </c>
      <c r="B316" s="89" t="s">
        <v>1942</v>
      </c>
    </row>
    <row r="317" spans="1:2" ht="15">
      <c r="A317" s="90" t="s">
        <v>1534</v>
      </c>
      <c r="B317" s="89" t="s">
        <v>1942</v>
      </c>
    </row>
    <row r="318" spans="1:2" ht="15">
      <c r="A318" s="90" t="s">
        <v>1535</v>
      </c>
      <c r="B318" s="89" t="s">
        <v>1942</v>
      </c>
    </row>
    <row r="319" spans="1:2" ht="15">
      <c r="A319" s="90" t="s">
        <v>1536</v>
      </c>
      <c r="B319" s="89" t="s">
        <v>1942</v>
      </c>
    </row>
    <row r="320" spans="1:2" ht="15">
      <c r="A320" s="90" t="s">
        <v>1537</v>
      </c>
      <c r="B320" s="89" t="s">
        <v>1942</v>
      </c>
    </row>
    <row r="321" spans="1:2" ht="15">
      <c r="A321" s="90" t="s">
        <v>1538</v>
      </c>
      <c r="B321" s="89" t="s">
        <v>1942</v>
      </c>
    </row>
    <row r="322" spans="1:2" ht="15">
      <c r="A322" s="90" t="s">
        <v>1539</v>
      </c>
      <c r="B322" s="89" t="s">
        <v>1942</v>
      </c>
    </row>
    <row r="323" spans="1:2" ht="15">
      <c r="A323" s="90" t="s">
        <v>1540</v>
      </c>
      <c r="B323" s="89" t="s">
        <v>1942</v>
      </c>
    </row>
    <row r="324" spans="1:2" ht="15">
      <c r="A324" s="90" t="s">
        <v>1541</v>
      </c>
      <c r="B324" s="89" t="s">
        <v>1942</v>
      </c>
    </row>
    <row r="325" spans="1:2" ht="15">
      <c r="A325" s="90" t="s">
        <v>1542</v>
      </c>
      <c r="B325" s="89" t="s">
        <v>1942</v>
      </c>
    </row>
    <row r="326" spans="1:2" ht="15">
      <c r="A326" s="90" t="s">
        <v>1543</v>
      </c>
      <c r="B326" s="89" t="s">
        <v>1942</v>
      </c>
    </row>
    <row r="327" spans="1:2" ht="15">
      <c r="A327" s="90" t="s">
        <v>1544</v>
      </c>
      <c r="B327" s="89" t="s">
        <v>1942</v>
      </c>
    </row>
    <row r="328" spans="1:2" ht="15">
      <c r="A328" s="90" t="s">
        <v>1124</v>
      </c>
      <c r="B328" s="89" t="s">
        <v>1942</v>
      </c>
    </row>
    <row r="329" spans="1:2" ht="15">
      <c r="A329" s="90" t="s">
        <v>1545</v>
      </c>
      <c r="B329" s="89" t="s">
        <v>1942</v>
      </c>
    </row>
    <row r="330" spans="1:2" ht="15">
      <c r="A330" s="90" t="s">
        <v>1129</v>
      </c>
      <c r="B330" s="89" t="s">
        <v>1942</v>
      </c>
    </row>
    <row r="331" spans="1:2" ht="15">
      <c r="A331" s="90" t="s">
        <v>1546</v>
      </c>
      <c r="B331" s="89" t="s">
        <v>1942</v>
      </c>
    </row>
    <row r="332" spans="1:2" ht="15">
      <c r="A332" s="90" t="s">
        <v>1547</v>
      </c>
      <c r="B332" s="89" t="s">
        <v>1942</v>
      </c>
    </row>
    <row r="333" spans="1:2" ht="15">
      <c r="A333" s="90" t="s">
        <v>1548</v>
      </c>
      <c r="B333" s="89" t="s">
        <v>1942</v>
      </c>
    </row>
    <row r="334" spans="1:2" ht="15">
      <c r="A334" s="90" t="s">
        <v>1549</v>
      </c>
      <c r="B334" s="89" t="s">
        <v>1942</v>
      </c>
    </row>
    <row r="335" spans="1:2" ht="15">
      <c r="A335" s="90" t="s">
        <v>1550</v>
      </c>
      <c r="B335" s="89" t="s">
        <v>1942</v>
      </c>
    </row>
    <row r="336" spans="1:2" ht="15">
      <c r="A336" s="90" t="s">
        <v>1551</v>
      </c>
      <c r="B336" s="89" t="s">
        <v>1942</v>
      </c>
    </row>
    <row r="337" spans="1:2" ht="15">
      <c r="A337" s="90" t="s">
        <v>1552</v>
      </c>
      <c r="B337" s="89" t="s">
        <v>1942</v>
      </c>
    </row>
    <row r="338" spans="1:2" ht="15">
      <c r="A338" s="90" t="s">
        <v>1553</v>
      </c>
      <c r="B338" s="89" t="s">
        <v>1942</v>
      </c>
    </row>
    <row r="339" spans="1:2" ht="15">
      <c r="A339" s="90" t="s">
        <v>1122</v>
      </c>
      <c r="B339" s="89" t="s">
        <v>1942</v>
      </c>
    </row>
    <row r="340" spans="1:2" ht="15">
      <c r="A340" s="90" t="s">
        <v>1554</v>
      </c>
      <c r="B340" s="89" t="s">
        <v>1942</v>
      </c>
    </row>
    <row r="341" spans="1:2" ht="15">
      <c r="A341" s="90" t="s">
        <v>1555</v>
      </c>
      <c r="B341" s="89" t="s">
        <v>1942</v>
      </c>
    </row>
    <row r="342" spans="1:2" ht="15">
      <c r="A342" s="90" t="s">
        <v>1556</v>
      </c>
      <c r="B342" s="89" t="s">
        <v>1942</v>
      </c>
    </row>
    <row r="343" spans="1:2" ht="15">
      <c r="A343" s="90" t="s">
        <v>1557</v>
      </c>
      <c r="B343" s="89" t="s">
        <v>1942</v>
      </c>
    </row>
    <row r="344" spans="1:2" ht="15">
      <c r="A344" s="90" t="s">
        <v>1140</v>
      </c>
      <c r="B344" s="89" t="s">
        <v>1942</v>
      </c>
    </row>
    <row r="345" spans="1:2" ht="15">
      <c r="A345" s="90" t="s">
        <v>1558</v>
      </c>
      <c r="B345" s="89" t="s">
        <v>1942</v>
      </c>
    </row>
    <row r="346" spans="1:2" ht="15">
      <c r="A346" s="90" t="s">
        <v>1559</v>
      </c>
      <c r="B346" s="89" t="s">
        <v>1942</v>
      </c>
    </row>
    <row r="347" spans="1:2" ht="15">
      <c r="A347" s="90" t="s">
        <v>1560</v>
      </c>
      <c r="B347" s="89" t="s">
        <v>1942</v>
      </c>
    </row>
    <row r="348" spans="1:2" ht="15">
      <c r="A348" s="90" t="s">
        <v>1561</v>
      </c>
      <c r="B348" s="89" t="s">
        <v>1942</v>
      </c>
    </row>
    <row r="349" spans="1:2" ht="15">
      <c r="A349" s="90" t="s">
        <v>1562</v>
      </c>
      <c r="B349" s="89" t="s">
        <v>1942</v>
      </c>
    </row>
    <row r="350" spans="1:2" ht="15">
      <c r="A350" s="90" t="s">
        <v>1563</v>
      </c>
      <c r="B350" s="89" t="s">
        <v>1942</v>
      </c>
    </row>
    <row r="351" spans="1:2" ht="15">
      <c r="A351" s="90" t="s">
        <v>1564</v>
      </c>
      <c r="B351" s="89" t="s">
        <v>1942</v>
      </c>
    </row>
    <row r="352" spans="1:2" ht="15">
      <c r="A352" s="90" t="s">
        <v>1565</v>
      </c>
      <c r="B352" s="89" t="s">
        <v>1942</v>
      </c>
    </row>
    <row r="353" spans="1:2" ht="15">
      <c r="A353" s="90" t="s">
        <v>1566</v>
      </c>
      <c r="B353" s="89" t="s">
        <v>1942</v>
      </c>
    </row>
    <row r="354" spans="1:2" ht="15">
      <c r="A354" s="90" t="s">
        <v>1567</v>
      </c>
      <c r="B354" s="89" t="s">
        <v>1942</v>
      </c>
    </row>
    <row r="355" spans="1:2" ht="15">
      <c r="A355" s="90" t="s">
        <v>1568</v>
      </c>
      <c r="B355" s="89" t="s">
        <v>1942</v>
      </c>
    </row>
    <row r="356" spans="1:2" ht="15">
      <c r="A356" s="90" t="s">
        <v>1569</v>
      </c>
      <c r="B356" s="89" t="s">
        <v>1942</v>
      </c>
    </row>
    <row r="357" spans="1:2" ht="15">
      <c r="A357" s="90" t="s">
        <v>1570</v>
      </c>
      <c r="B357" s="89" t="s">
        <v>1942</v>
      </c>
    </row>
    <row r="358" spans="1:2" ht="15">
      <c r="A358" s="90" t="s">
        <v>1571</v>
      </c>
      <c r="B358" s="89" t="s">
        <v>1942</v>
      </c>
    </row>
    <row r="359" spans="1:2" ht="15">
      <c r="A359" s="90" t="s">
        <v>1572</v>
      </c>
      <c r="B359" s="89" t="s">
        <v>1942</v>
      </c>
    </row>
    <row r="360" spans="1:2" ht="15">
      <c r="A360" s="90" t="s">
        <v>1573</v>
      </c>
      <c r="B360" s="89" t="s">
        <v>1942</v>
      </c>
    </row>
    <row r="361" spans="1:2" ht="15">
      <c r="A361" s="90" t="s">
        <v>1574</v>
      </c>
      <c r="B361" s="89" t="s">
        <v>1942</v>
      </c>
    </row>
    <row r="362" spans="1:2" ht="15">
      <c r="A362" s="90" t="s">
        <v>1575</v>
      </c>
      <c r="B362" s="89" t="s">
        <v>1942</v>
      </c>
    </row>
    <row r="363" spans="1:2" ht="15">
      <c r="A363" s="90" t="s">
        <v>1576</v>
      </c>
      <c r="B363" s="89" t="s">
        <v>1942</v>
      </c>
    </row>
    <row r="364" spans="1:2" ht="15">
      <c r="A364" s="90" t="s">
        <v>1577</v>
      </c>
      <c r="B364" s="89" t="s">
        <v>1942</v>
      </c>
    </row>
    <row r="365" spans="1:2" ht="15">
      <c r="A365" s="90" t="s">
        <v>1578</v>
      </c>
      <c r="B365" s="89" t="s">
        <v>1942</v>
      </c>
    </row>
    <row r="366" spans="1:2" ht="15">
      <c r="A366" s="90" t="s">
        <v>1579</v>
      </c>
      <c r="B366" s="89" t="s">
        <v>1942</v>
      </c>
    </row>
    <row r="367" spans="1:2" ht="15">
      <c r="A367" s="90" t="s">
        <v>1580</v>
      </c>
      <c r="B367" s="89" t="s">
        <v>1942</v>
      </c>
    </row>
    <row r="368" spans="1:2" ht="15">
      <c r="A368" s="90" t="s">
        <v>1581</v>
      </c>
      <c r="B368" s="89" t="s">
        <v>1942</v>
      </c>
    </row>
    <row r="369" spans="1:2" ht="15">
      <c r="A369" s="90" t="s">
        <v>1139</v>
      </c>
      <c r="B369" s="89" t="s">
        <v>1942</v>
      </c>
    </row>
    <row r="370" spans="1:2" ht="15">
      <c r="A370" s="90" t="s">
        <v>1582</v>
      </c>
      <c r="B370" s="89" t="s">
        <v>1942</v>
      </c>
    </row>
    <row r="371" spans="1:2" ht="15">
      <c r="A371" s="90" t="s">
        <v>1583</v>
      </c>
      <c r="B371" s="89" t="s">
        <v>1942</v>
      </c>
    </row>
    <row r="372" spans="1:2" ht="15">
      <c r="A372" s="90" t="s">
        <v>1584</v>
      </c>
      <c r="B372" s="89" t="s">
        <v>1942</v>
      </c>
    </row>
    <row r="373" spans="1:2" ht="15">
      <c r="A373" s="90" t="s">
        <v>1585</v>
      </c>
      <c r="B373" s="89" t="s">
        <v>1942</v>
      </c>
    </row>
    <row r="374" spans="1:2" ht="15">
      <c r="A374" s="90" t="s">
        <v>1586</v>
      </c>
      <c r="B374" s="89" t="s">
        <v>1942</v>
      </c>
    </row>
    <row r="375" spans="1:2" ht="15">
      <c r="A375" s="90" t="s">
        <v>1587</v>
      </c>
      <c r="B375" s="89" t="s">
        <v>1942</v>
      </c>
    </row>
    <row r="376" spans="1:2" ht="15">
      <c r="A376" s="90" t="s">
        <v>1588</v>
      </c>
      <c r="B376" s="89" t="s">
        <v>1942</v>
      </c>
    </row>
    <row r="377" spans="1:2" ht="15">
      <c r="A377" s="90" t="s">
        <v>1589</v>
      </c>
      <c r="B377" s="89" t="s">
        <v>1942</v>
      </c>
    </row>
    <row r="378" spans="1:2" ht="15">
      <c r="A378" s="90" t="s">
        <v>1590</v>
      </c>
      <c r="B378" s="89" t="s">
        <v>1942</v>
      </c>
    </row>
    <row r="379" spans="1:2" ht="15">
      <c r="A379" s="90" t="s">
        <v>1591</v>
      </c>
      <c r="B379" s="89" t="s">
        <v>1942</v>
      </c>
    </row>
    <row r="380" spans="1:2" ht="15">
      <c r="A380" s="90" t="s">
        <v>1592</v>
      </c>
      <c r="B380" s="89" t="s">
        <v>1942</v>
      </c>
    </row>
    <row r="381" spans="1:2" ht="15">
      <c r="A381" s="90" t="s">
        <v>1593</v>
      </c>
      <c r="B381" s="89" t="s">
        <v>1942</v>
      </c>
    </row>
    <row r="382" spans="1:2" ht="15">
      <c r="A382" s="90" t="s">
        <v>1594</v>
      </c>
      <c r="B382" s="89" t="s">
        <v>1942</v>
      </c>
    </row>
    <row r="383" spans="1:2" ht="15">
      <c r="A383" s="90" t="s">
        <v>1595</v>
      </c>
      <c r="B383" s="89" t="s">
        <v>1942</v>
      </c>
    </row>
    <row r="384" spans="1:2" ht="15">
      <c r="A384" s="90" t="s">
        <v>1596</v>
      </c>
      <c r="B384" s="89" t="s">
        <v>1942</v>
      </c>
    </row>
    <row r="385" spans="1:2" ht="15">
      <c r="A385" s="90" t="s">
        <v>1597</v>
      </c>
      <c r="B385" s="89" t="s">
        <v>1942</v>
      </c>
    </row>
    <row r="386" spans="1:2" ht="15">
      <c r="A386" s="90" t="s">
        <v>1598</v>
      </c>
      <c r="B386" s="89" t="s">
        <v>1942</v>
      </c>
    </row>
    <row r="387" spans="1:2" ht="15">
      <c r="A387" s="90" t="s">
        <v>1599</v>
      </c>
      <c r="B387" s="89" t="s">
        <v>1942</v>
      </c>
    </row>
    <row r="388" spans="1:2" ht="15">
      <c r="A388" s="90" t="s">
        <v>1600</v>
      </c>
      <c r="B388" s="89" t="s">
        <v>1942</v>
      </c>
    </row>
    <row r="389" spans="1:2" ht="15">
      <c r="A389" s="90" t="s">
        <v>1601</v>
      </c>
      <c r="B389" s="89" t="s">
        <v>1942</v>
      </c>
    </row>
    <row r="390" spans="1:2" ht="15">
      <c r="A390" s="90" t="s">
        <v>1602</v>
      </c>
      <c r="B390" s="89" t="s">
        <v>1942</v>
      </c>
    </row>
    <row r="391" spans="1:2" ht="15">
      <c r="A391" s="90" t="s">
        <v>1603</v>
      </c>
      <c r="B391" s="89" t="s">
        <v>1942</v>
      </c>
    </row>
    <row r="392" spans="1:2" ht="15">
      <c r="A392" s="90" t="s">
        <v>1604</v>
      </c>
      <c r="B392" s="89" t="s">
        <v>1942</v>
      </c>
    </row>
    <row r="393" spans="1:2" ht="15">
      <c r="A393" s="90" t="s">
        <v>1605</v>
      </c>
      <c r="B393" s="89" t="s">
        <v>1942</v>
      </c>
    </row>
    <row r="394" spans="1:2" ht="15">
      <c r="A394" s="90" t="s">
        <v>1606</v>
      </c>
      <c r="B394" s="89" t="s">
        <v>1942</v>
      </c>
    </row>
    <row r="395" spans="1:2" ht="15">
      <c r="A395" s="90" t="s">
        <v>1607</v>
      </c>
      <c r="B395" s="89" t="s">
        <v>1942</v>
      </c>
    </row>
    <row r="396" spans="1:2" ht="15">
      <c r="A396" s="90" t="s">
        <v>1608</v>
      </c>
      <c r="B396" s="89" t="s">
        <v>1942</v>
      </c>
    </row>
    <row r="397" spans="1:2" ht="15">
      <c r="A397" s="90" t="s">
        <v>1217</v>
      </c>
      <c r="B397" s="89" t="s">
        <v>1942</v>
      </c>
    </row>
    <row r="398" spans="1:2" ht="15">
      <c r="A398" s="90" t="s">
        <v>1135</v>
      </c>
      <c r="B398" s="89" t="s">
        <v>1942</v>
      </c>
    </row>
    <row r="399" spans="1:2" ht="15">
      <c r="A399" s="90" t="s">
        <v>1123</v>
      </c>
      <c r="B399" s="89" t="s">
        <v>1942</v>
      </c>
    </row>
    <row r="400" spans="1:2" ht="15">
      <c r="A400" s="90" t="s">
        <v>1609</v>
      </c>
      <c r="B400" s="89" t="s">
        <v>1942</v>
      </c>
    </row>
    <row r="401" spans="1:2" ht="15">
      <c r="A401" s="90" t="s">
        <v>1610</v>
      </c>
      <c r="B401" s="89" t="s">
        <v>1942</v>
      </c>
    </row>
    <row r="402" spans="1:2" ht="15">
      <c r="A402" s="90" t="s">
        <v>1611</v>
      </c>
      <c r="B402" s="89" t="s">
        <v>1942</v>
      </c>
    </row>
    <row r="403" spans="1:2" ht="15">
      <c r="A403" s="90" t="s">
        <v>1612</v>
      </c>
      <c r="B403" s="89" t="s">
        <v>1942</v>
      </c>
    </row>
    <row r="404" spans="1:2" ht="15">
      <c r="A404" s="90" t="s">
        <v>1613</v>
      </c>
      <c r="B404" s="89" t="s">
        <v>1942</v>
      </c>
    </row>
    <row r="405" spans="1:2" ht="15">
      <c r="A405" s="90" t="s">
        <v>1614</v>
      </c>
      <c r="B405" s="89" t="s">
        <v>1942</v>
      </c>
    </row>
    <row r="406" spans="1:2" ht="15">
      <c r="A406" s="90" t="s">
        <v>1615</v>
      </c>
      <c r="B406" s="89" t="s">
        <v>1942</v>
      </c>
    </row>
    <row r="407" spans="1:2" ht="15">
      <c r="A407" s="90" t="s">
        <v>1616</v>
      </c>
      <c r="B407" s="89" t="s">
        <v>1942</v>
      </c>
    </row>
    <row r="408" spans="1:2" ht="15">
      <c r="A408" s="90" t="s">
        <v>1617</v>
      </c>
      <c r="B408" s="89" t="s">
        <v>1942</v>
      </c>
    </row>
    <row r="409" spans="1:2" ht="15">
      <c r="A409" s="90" t="s">
        <v>1618</v>
      </c>
      <c r="B409" s="89" t="s">
        <v>1942</v>
      </c>
    </row>
    <row r="410" spans="1:2" ht="15">
      <c r="A410" s="90" t="s">
        <v>1619</v>
      </c>
      <c r="B410" s="89" t="s">
        <v>1942</v>
      </c>
    </row>
    <row r="411" spans="1:2" ht="15">
      <c r="A411" s="90" t="s">
        <v>1620</v>
      </c>
      <c r="B411" s="89" t="s">
        <v>1942</v>
      </c>
    </row>
    <row r="412" spans="1:2" ht="15">
      <c r="A412" s="90" t="s">
        <v>1621</v>
      </c>
      <c r="B412" s="89" t="s">
        <v>1942</v>
      </c>
    </row>
    <row r="413" spans="1:2" ht="15">
      <c r="A413" s="90" t="s">
        <v>1622</v>
      </c>
      <c r="B413" s="89" t="s">
        <v>1942</v>
      </c>
    </row>
    <row r="414" spans="1:2" ht="15">
      <c r="A414" s="90" t="s">
        <v>1623</v>
      </c>
      <c r="B414" s="89" t="s">
        <v>1942</v>
      </c>
    </row>
    <row r="415" spans="1:2" ht="15">
      <c r="A415" s="90" t="s">
        <v>1624</v>
      </c>
      <c r="B415" s="89" t="s">
        <v>1942</v>
      </c>
    </row>
    <row r="416" spans="1:2" ht="15">
      <c r="A416" s="90" t="s">
        <v>1156</v>
      </c>
      <c r="B416" s="89" t="s">
        <v>1942</v>
      </c>
    </row>
    <row r="417" spans="1:2" ht="15">
      <c r="A417" s="90" t="s">
        <v>1096</v>
      </c>
      <c r="B417" s="89" t="s">
        <v>1942</v>
      </c>
    </row>
    <row r="418" spans="1:2" ht="15">
      <c r="A418" s="90" t="s">
        <v>1625</v>
      </c>
      <c r="B418" s="89" t="s">
        <v>1942</v>
      </c>
    </row>
    <row r="419" spans="1:2" ht="15">
      <c r="A419" s="90" t="s">
        <v>1626</v>
      </c>
      <c r="B419" s="89" t="s">
        <v>1942</v>
      </c>
    </row>
    <row r="420" spans="1:2" ht="15">
      <c r="A420" s="90" t="s">
        <v>1627</v>
      </c>
      <c r="B420" s="89" t="s">
        <v>1942</v>
      </c>
    </row>
    <row r="421" spans="1:2" ht="15">
      <c r="A421" s="90" t="s">
        <v>1628</v>
      </c>
      <c r="B421" s="89" t="s">
        <v>1942</v>
      </c>
    </row>
    <row r="422" spans="1:2" ht="15">
      <c r="A422" s="90" t="s">
        <v>1629</v>
      </c>
      <c r="B422" s="89" t="s">
        <v>1942</v>
      </c>
    </row>
    <row r="423" spans="1:2" ht="15">
      <c r="A423" s="90" t="s">
        <v>1630</v>
      </c>
      <c r="B423" s="89" t="s">
        <v>1942</v>
      </c>
    </row>
    <row r="424" spans="1:2" ht="15">
      <c r="A424" s="90" t="s">
        <v>1631</v>
      </c>
      <c r="B424" s="89" t="s">
        <v>1942</v>
      </c>
    </row>
    <row r="425" spans="1:2" ht="15">
      <c r="A425" s="90" t="s">
        <v>1632</v>
      </c>
      <c r="B425" s="89" t="s">
        <v>1942</v>
      </c>
    </row>
    <row r="426" spans="1:2" ht="15">
      <c r="A426" s="90" t="s">
        <v>1633</v>
      </c>
      <c r="B426" s="89" t="s">
        <v>1942</v>
      </c>
    </row>
    <row r="427" spans="1:2" ht="15">
      <c r="A427" s="90" t="s">
        <v>1634</v>
      </c>
      <c r="B427" s="89" t="s">
        <v>1942</v>
      </c>
    </row>
    <row r="428" spans="1:2" ht="15">
      <c r="A428" s="90" t="s">
        <v>1635</v>
      </c>
      <c r="B428" s="89" t="s">
        <v>1942</v>
      </c>
    </row>
    <row r="429" spans="1:2" ht="15">
      <c r="A429" s="90" t="s">
        <v>1636</v>
      </c>
      <c r="B429" s="89" t="s">
        <v>1942</v>
      </c>
    </row>
    <row r="430" spans="1:2" ht="15">
      <c r="A430" s="90" t="s">
        <v>1637</v>
      </c>
      <c r="B430" s="89" t="s">
        <v>1942</v>
      </c>
    </row>
    <row r="431" spans="1:2" ht="15">
      <c r="A431" s="90" t="s">
        <v>1151</v>
      </c>
      <c r="B431" s="89" t="s">
        <v>1942</v>
      </c>
    </row>
    <row r="432" spans="1:2" ht="15">
      <c r="A432" s="90" t="s">
        <v>1638</v>
      </c>
      <c r="B432" s="89" t="s">
        <v>1942</v>
      </c>
    </row>
    <row r="433" spans="1:2" ht="15">
      <c r="A433" s="90" t="s">
        <v>1639</v>
      </c>
      <c r="B433" s="89" t="s">
        <v>1942</v>
      </c>
    </row>
    <row r="434" spans="1:2" ht="15">
      <c r="A434" s="90" t="s">
        <v>1640</v>
      </c>
      <c r="B434" s="89" t="s">
        <v>1942</v>
      </c>
    </row>
    <row r="435" spans="1:2" ht="15">
      <c r="A435" s="90" t="s">
        <v>1641</v>
      </c>
      <c r="B435" s="89" t="s">
        <v>1942</v>
      </c>
    </row>
    <row r="436" spans="1:2" ht="15">
      <c r="A436" s="90" t="s">
        <v>1642</v>
      </c>
      <c r="B436" s="89" t="s">
        <v>1942</v>
      </c>
    </row>
    <row r="437" spans="1:2" ht="15">
      <c r="A437" s="90" t="s">
        <v>1643</v>
      </c>
      <c r="B437" s="89" t="s">
        <v>1942</v>
      </c>
    </row>
    <row r="438" spans="1:2" ht="15">
      <c r="A438" s="90" t="s">
        <v>1644</v>
      </c>
      <c r="B438" s="89" t="s">
        <v>1942</v>
      </c>
    </row>
    <row r="439" spans="1:2" ht="15">
      <c r="A439" s="90" t="s">
        <v>1645</v>
      </c>
      <c r="B439" s="89" t="s">
        <v>1942</v>
      </c>
    </row>
    <row r="440" spans="1:2" ht="15">
      <c r="A440" s="90" t="s">
        <v>1646</v>
      </c>
      <c r="B440" s="89" t="s">
        <v>1942</v>
      </c>
    </row>
    <row r="441" spans="1:2" ht="15">
      <c r="A441" s="90" t="s">
        <v>1647</v>
      </c>
      <c r="B441" s="89" t="s">
        <v>1942</v>
      </c>
    </row>
    <row r="442" spans="1:2" ht="15">
      <c r="A442" s="90" t="s">
        <v>1164</v>
      </c>
      <c r="B442" s="89" t="s">
        <v>1942</v>
      </c>
    </row>
    <row r="443" spans="1:2" ht="15">
      <c r="A443" s="90" t="s">
        <v>1648</v>
      </c>
      <c r="B443" s="89" t="s">
        <v>1942</v>
      </c>
    </row>
    <row r="444" spans="1:2" ht="15">
      <c r="A444" s="90" t="s">
        <v>1649</v>
      </c>
      <c r="B444" s="89" t="s">
        <v>1942</v>
      </c>
    </row>
    <row r="445" spans="1:2" ht="15">
      <c r="A445" s="90" t="s">
        <v>1650</v>
      </c>
      <c r="B445" s="89" t="s">
        <v>1942</v>
      </c>
    </row>
    <row r="446" spans="1:2" ht="15">
      <c r="A446" s="90" t="s">
        <v>1651</v>
      </c>
      <c r="B446" s="89" t="s">
        <v>1942</v>
      </c>
    </row>
    <row r="447" spans="1:2" ht="15">
      <c r="A447" s="90" t="s">
        <v>1652</v>
      </c>
      <c r="B447" s="89" t="s">
        <v>1942</v>
      </c>
    </row>
    <row r="448" spans="1:2" ht="15">
      <c r="A448" s="90" t="s">
        <v>1653</v>
      </c>
      <c r="B448" s="89" t="s">
        <v>1942</v>
      </c>
    </row>
    <row r="449" spans="1:2" ht="15">
      <c r="A449" s="90" t="s">
        <v>1219</v>
      </c>
      <c r="B449" s="89" t="s">
        <v>1942</v>
      </c>
    </row>
    <row r="450" spans="1:2" ht="15">
      <c r="A450" s="90" t="s">
        <v>1654</v>
      </c>
      <c r="B450" s="89" t="s">
        <v>1942</v>
      </c>
    </row>
    <row r="451" spans="1:2" ht="15">
      <c r="A451" s="90" t="s">
        <v>1655</v>
      </c>
      <c r="B451" s="89" t="s">
        <v>1942</v>
      </c>
    </row>
    <row r="452" spans="1:2" ht="15">
      <c r="A452" s="90" t="s">
        <v>1656</v>
      </c>
      <c r="B452" s="89" t="s">
        <v>1942</v>
      </c>
    </row>
    <row r="453" spans="1:2" ht="15">
      <c r="A453" s="90" t="s">
        <v>1657</v>
      </c>
      <c r="B453" s="89" t="s">
        <v>1942</v>
      </c>
    </row>
    <row r="454" spans="1:2" ht="15">
      <c r="A454" s="90" t="s">
        <v>1658</v>
      </c>
      <c r="B454" s="89" t="s">
        <v>1942</v>
      </c>
    </row>
    <row r="455" spans="1:2" ht="15">
      <c r="A455" s="90" t="s">
        <v>1659</v>
      </c>
      <c r="B455" s="89" t="s">
        <v>1942</v>
      </c>
    </row>
    <row r="456" spans="1:2" ht="15">
      <c r="A456" s="90" t="s">
        <v>1660</v>
      </c>
      <c r="B456" s="89" t="s">
        <v>1942</v>
      </c>
    </row>
    <row r="457" spans="1:2" ht="15">
      <c r="A457" s="90" t="s">
        <v>1661</v>
      </c>
      <c r="B457" s="89" t="s">
        <v>1942</v>
      </c>
    </row>
    <row r="458" spans="1:2" ht="15">
      <c r="A458" s="90" t="s">
        <v>1662</v>
      </c>
      <c r="B458" s="89" t="s">
        <v>1942</v>
      </c>
    </row>
    <row r="459" spans="1:2" ht="15">
      <c r="A459" s="90" t="s">
        <v>1663</v>
      </c>
      <c r="B459" s="89" t="s">
        <v>1942</v>
      </c>
    </row>
    <row r="460" spans="1:2" ht="15">
      <c r="A460" s="90" t="s">
        <v>1664</v>
      </c>
      <c r="B460" s="89" t="s">
        <v>1942</v>
      </c>
    </row>
    <row r="461" spans="1:2" ht="15">
      <c r="A461" s="90" t="s">
        <v>1665</v>
      </c>
      <c r="B461" s="89" t="s">
        <v>1942</v>
      </c>
    </row>
    <row r="462" spans="1:2" ht="15">
      <c r="A462" s="90" t="s">
        <v>1085</v>
      </c>
      <c r="B462" s="89" t="s">
        <v>1942</v>
      </c>
    </row>
    <row r="463" spans="1:2" ht="15">
      <c r="A463" s="90" t="s">
        <v>1666</v>
      </c>
      <c r="B463" s="89" t="s">
        <v>1942</v>
      </c>
    </row>
    <row r="464" spans="1:2" ht="15">
      <c r="A464" s="90" t="s">
        <v>1667</v>
      </c>
      <c r="B464" s="89" t="s">
        <v>1942</v>
      </c>
    </row>
    <row r="465" spans="1:2" ht="15">
      <c r="A465" s="90" t="s">
        <v>1224</v>
      </c>
      <c r="B465" s="89" t="s">
        <v>1942</v>
      </c>
    </row>
    <row r="466" spans="1:2" ht="15">
      <c r="A466" s="90" t="s">
        <v>1668</v>
      </c>
      <c r="B466" s="89" t="s">
        <v>1942</v>
      </c>
    </row>
    <row r="467" spans="1:2" ht="15">
      <c r="A467" s="90" t="s">
        <v>1669</v>
      </c>
      <c r="B467" s="89" t="s">
        <v>1942</v>
      </c>
    </row>
    <row r="468" spans="1:2" ht="15">
      <c r="A468" s="90" t="s">
        <v>1670</v>
      </c>
      <c r="B468" s="89" t="s">
        <v>1942</v>
      </c>
    </row>
    <row r="469" spans="1:2" ht="15">
      <c r="A469" s="90" t="s">
        <v>1671</v>
      </c>
      <c r="B469" s="89" t="s">
        <v>1942</v>
      </c>
    </row>
    <row r="470" spans="1:2" ht="15">
      <c r="A470" s="90" t="s">
        <v>1672</v>
      </c>
      <c r="B470" s="89" t="s">
        <v>1942</v>
      </c>
    </row>
    <row r="471" spans="1:2" ht="15">
      <c r="A471" s="90" t="s">
        <v>1673</v>
      </c>
      <c r="B471" s="89" t="s">
        <v>1942</v>
      </c>
    </row>
    <row r="472" spans="1:2" ht="15">
      <c r="A472" s="90" t="s">
        <v>1674</v>
      </c>
      <c r="B472" s="89" t="s">
        <v>1942</v>
      </c>
    </row>
    <row r="473" spans="1:2" ht="15">
      <c r="A473" s="90" t="s">
        <v>1675</v>
      </c>
      <c r="B473" s="89" t="s">
        <v>1942</v>
      </c>
    </row>
    <row r="474" spans="1:2" ht="15">
      <c r="A474" s="90" t="s">
        <v>1676</v>
      </c>
      <c r="B474" s="89" t="s">
        <v>1942</v>
      </c>
    </row>
    <row r="475" spans="1:2" ht="15">
      <c r="A475" s="90" t="s">
        <v>1677</v>
      </c>
      <c r="B475" s="89" t="s">
        <v>1942</v>
      </c>
    </row>
    <row r="476" spans="1:2" ht="15">
      <c r="A476" s="90" t="s">
        <v>1678</v>
      </c>
      <c r="B476" s="89" t="s">
        <v>1942</v>
      </c>
    </row>
    <row r="477" spans="1:2" ht="15">
      <c r="A477" s="90" t="s">
        <v>1679</v>
      </c>
      <c r="B477" s="89" t="s">
        <v>1942</v>
      </c>
    </row>
    <row r="478" spans="1:2" ht="15">
      <c r="A478" s="90" t="s">
        <v>1680</v>
      </c>
      <c r="B478" s="89" t="s">
        <v>1942</v>
      </c>
    </row>
    <row r="479" spans="1:2" ht="15">
      <c r="A479" s="90" t="s">
        <v>1681</v>
      </c>
      <c r="B479" s="89" t="s">
        <v>1942</v>
      </c>
    </row>
    <row r="480" spans="1:2" ht="15">
      <c r="A480" s="90" t="s">
        <v>1682</v>
      </c>
      <c r="B480" s="89" t="s">
        <v>1942</v>
      </c>
    </row>
    <row r="481" spans="1:2" ht="15">
      <c r="A481" s="90" t="s">
        <v>1683</v>
      </c>
      <c r="B481" s="89" t="s">
        <v>1942</v>
      </c>
    </row>
    <row r="482" spans="1:2" ht="15">
      <c r="A482" s="90" t="s">
        <v>1684</v>
      </c>
      <c r="B482" s="89" t="s">
        <v>1942</v>
      </c>
    </row>
    <row r="483" spans="1:2" ht="15">
      <c r="A483" s="90" t="s">
        <v>1685</v>
      </c>
      <c r="B483" s="89" t="s">
        <v>1942</v>
      </c>
    </row>
    <row r="484" spans="1:2" ht="15">
      <c r="A484" s="90" t="s">
        <v>1686</v>
      </c>
      <c r="B484" s="89" t="s">
        <v>1942</v>
      </c>
    </row>
    <row r="485" spans="1:2" ht="15">
      <c r="A485" s="90" t="s">
        <v>1687</v>
      </c>
      <c r="B485" s="89" t="s">
        <v>1942</v>
      </c>
    </row>
    <row r="486" spans="1:2" ht="15">
      <c r="A486" s="90" t="s">
        <v>1688</v>
      </c>
      <c r="B486" s="89" t="s">
        <v>1942</v>
      </c>
    </row>
    <row r="487" spans="1:2" ht="15">
      <c r="A487" s="90" t="s">
        <v>1689</v>
      </c>
      <c r="B487" s="89" t="s">
        <v>1942</v>
      </c>
    </row>
    <row r="488" spans="1:2" ht="15">
      <c r="A488" s="90" t="s">
        <v>1690</v>
      </c>
      <c r="B488" s="89" t="s">
        <v>1942</v>
      </c>
    </row>
    <row r="489" spans="1:2" ht="15">
      <c r="A489" s="90" t="s">
        <v>1691</v>
      </c>
      <c r="B489" s="89" t="s">
        <v>1942</v>
      </c>
    </row>
    <row r="490" spans="1:2" ht="15">
      <c r="A490" s="90" t="s">
        <v>1692</v>
      </c>
      <c r="B490" s="89" t="s">
        <v>1942</v>
      </c>
    </row>
    <row r="491" spans="1:2" ht="15">
      <c r="A491" s="90" t="s">
        <v>1693</v>
      </c>
      <c r="B491" s="89" t="s">
        <v>1942</v>
      </c>
    </row>
    <row r="492" spans="1:2" ht="15">
      <c r="A492" s="90" t="s">
        <v>1694</v>
      </c>
      <c r="B492" s="89" t="s">
        <v>1942</v>
      </c>
    </row>
    <row r="493" spans="1:2" ht="15">
      <c r="A493" s="90" t="s">
        <v>1695</v>
      </c>
      <c r="B493" s="89" t="s">
        <v>1942</v>
      </c>
    </row>
    <row r="494" spans="1:2" ht="15">
      <c r="A494" s="90" t="s">
        <v>1696</v>
      </c>
      <c r="B494" s="89" t="s">
        <v>1942</v>
      </c>
    </row>
    <row r="495" spans="1:2" ht="15">
      <c r="A495" s="90" t="s">
        <v>1697</v>
      </c>
      <c r="B495" s="89" t="s">
        <v>1942</v>
      </c>
    </row>
    <row r="496" spans="1:2" ht="15">
      <c r="A496" s="90" t="s">
        <v>1698</v>
      </c>
      <c r="B496" s="89" t="s">
        <v>1942</v>
      </c>
    </row>
    <row r="497" spans="1:2" ht="15">
      <c r="A497" s="90" t="s">
        <v>1699</v>
      </c>
      <c r="B497" s="89" t="s">
        <v>1942</v>
      </c>
    </row>
    <row r="498" spans="1:2" ht="15">
      <c r="A498" s="90" t="s">
        <v>1700</v>
      </c>
      <c r="B498" s="89" t="s">
        <v>1942</v>
      </c>
    </row>
    <row r="499" spans="1:2" ht="15">
      <c r="A499" s="90" t="s">
        <v>1701</v>
      </c>
      <c r="B499" s="89" t="s">
        <v>1942</v>
      </c>
    </row>
    <row r="500" spans="1:2" ht="15">
      <c r="A500" s="90" t="s">
        <v>1702</v>
      </c>
      <c r="B500" s="89" t="s">
        <v>1942</v>
      </c>
    </row>
    <row r="501" spans="1:2" ht="15">
      <c r="A501" s="90" t="s">
        <v>1703</v>
      </c>
      <c r="B501" s="89" t="s">
        <v>1942</v>
      </c>
    </row>
    <row r="502" spans="1:2" ht="15">
      <c r="A502" s="90" t="s">
        <v>1094</v>
      </c>
      <c r="B502" s="89" t="s">
        <v>1942</v>
      </c>
    </row>
    <row r="503" spans="1:2" ht="15">
      <c r="A503" s="90" t="s">
        <v>1704</v>
      </c>
      <c r="B503" s="89" t="s">
        <v>1942</v>
      </c>
    </row>
    <row r="504" spans="1:2" ht="15">
      <c r="A504" s="90" t="s">
        <v>1705</v>
      </c>
      <c r="B504" s="89" t="s">
        <v>1942</v>
      </c>
    </row>
    <row r="505" spans="1:2" ht="15">
      <c r="A505" s="90" t="s">
        <v>1107</v>
      </c>
      <c r="B505" s="89" t="s">
        <v>1942</v>
      </c>
    </row>
    <row r="506" spans="1:2" ht="15">
      <c r="A506" s="90" t="s">
        <v>1706</v>
      </c>
      <c r="B506" s="89" t="s">
        <v>1942</v>
      </c>
    </row>
    <row r="507" spans="1:2" ht="15">
      <c r="A507" s="90" t="s">
        <v>1707</v>
      </c>
      <c r="B507" s="89" t="s">
        <v>1942</v>
      </c>
    </row>
    <row r="508" spans="1:2" ht="15">
      <c r="A508" s="90" t="s">
        <v>1708</v>
      </c>
      <c r="B508" s="89" t="s">
        <v>1942</v>
      </c>
    </row>
    <row r="509" spans="1:2" ht="15">
      <c r="A509" s="90" t="s">
        <v>1709</v>
      </c>
      <c r="B509" s="89" t="s">
        <v>1942</v>
      </c>
    </row>
    <row r="510" spans="1:2" ht="15">
      <c r="A510" s="90" t="s">
        <v>1710</v>
      </c>
      <c r="B510" s="89" t="s">
        <v>1942</v>
      </c>
    </row>
    <row r="511" spans="1:2" ht="15">
      <c r="A511" s="90" t="s">
        <v>1711</v>
      </c>
      <c r="B511" s="89" t="s">
        <v>1942</v>
      </c>
    </row>
    <row r="512" spans="1:2" ht="15">
      <c r="A512" s="90" t="s">
        <v>1712</v>
      </c>
      <c r="B512" s="89" t="s">
        <v>1942</v>
      </c>
    </row>
    <row r="513" spans="1:2" ht="15">
      <c r="A513" s="90" t="s">
        <v>1713</v>
      </c>
      <c r="B513" s="89" t="s">
        <v>1942</v>
      </c>
    </row>
    <row r="514" spans="1:2" ht="15">
      <c r="A514" s="90" t="s">
        <v>1714</v>
      </c>
      <c r="B514" s="89" t="s">
        <v>1942</v>
      </c>
    </row>
    <row r="515" spans="1:2" ht="15">
      <c r="A515" s="90" t="s">
        <v>1715</v>
      </c>
      <c r="B515" s="89" t="s">
        <v>1942</v>
      </c>
    </row>
    <row r="516" spans="1:2" ht="15">
      <c r="A516" s="90" t="s">
        <v>1716</v>
      </c>
      <c r="B516" s="89" t="s">
        <v>1942</v>
      </c>
    </row>
    <row r="517" spans="1:2" ht="15">
      <c r="A517" s="90" t="s">
        <v>1717</v>
      </c>
      <c r="B517" s="89" t="s">
        <v>1942</v>
      </c>
    </row>
    <row r="518" spans="1:2" ht="15">
      <c r="A518" s="90" t="s">
        <v>1718</v>
      </c>
      <c r="B518" s="89" t="s">
        <v>1942</v>
      </c>
    </row>
    <row r="519" spans="1:2" ht="15">
      <c r="A519" s="90" t="s">
        <v>1719</v>
      </c>
      <c r="B519" s="89" t="s">
        <v>1942</v>
      </c>
    </row>
    <row r="520" spans="1:2" ht="15">
      <c r="A520" s="90" t="s">
        <v>1720</v>
      </c>
      <c r="B520" s="89" t="s">
        <v>1942</v>
      </c>
    </row>
    <row r="521" spans="1:2" ht="15">
      <c r="A521" s="90" t="s">
        <v>1721</v>
      </c>
      <c r="B521" s="89" t="s">
        <v>1942</v>
      </c>
    </row>
    <row r="522" spans="1:2" ht="15">
      <c r="A522" s="90" t="s">
        <v>1722</v>
      </c>
      <c r="B522" s="89" t="s">
        <v>1942</v>
      </c>
    </row>
    <row r="523" spans="1:2" ht="15">
      <c r="A523" s="90" t="s">
        <v>1723</v>
      </c>
      <c r="B523" s="89" t="s">
        <v>1942</v>
      </c>
    </row>
    <row r="524" spans="1:2" ht="15">
      <c r="A524" s="90" t="s">
        <v>1724</v>
      </c>
      <c r="B524" s="89" t="s">
        <v>1942</v>
      </c>
    </row>
    <row r="525" spans="1:2" ht="15">
      <c r="A525" s="90" t="s">
        <v>1725</v>
      </c>
      <c r="B525" s="89" t="s">
        <v>1942</v>
      </c>
    </row>
    <row r="526" spans="1:2" ht="15">
      <c r="A526" s="90" t="s">
        <v>1726</v>
      </c>
      <c r="B526" s="89" t="s">
        <v>1942</v>
      </c>
    </row>
    <row r="527" spans="1:2" ht="15">
      <c r="A527" s="90" t="s">
        <v>1727</v>
      </c>
      <c r="B527" s="89" t="s">
        <v>1942</v>
      </c>
    </row>
    <row r="528" spans="1:2" ht="15">
      <c r="A528" s="90" t="s">
        <v>1728</v>
      </c>
      <c r="B528" s="89" t="s">
        <v>1942</v>
      </c>
    </row>
    <row r="529" spans="1:2" ht="15">
      <c r="A529" s="90" t="s">
        <v>1729</v>
      </c>
      <c r="B529" s="89" t="s">
        <v>1942</v>
      </c>
    </row>
    <row r="530" spans="1:2" ht="15">
      <c r="A530" s="90" t="s">
        <v>1730</v>
      </c>
      <c r="B530" s="89" t="s">
        <v>1942</v>
      </c>
    </row>
    <row r="531" spans="1:2" ht="15">
      <c r="A531" s="90" t="s">
        <v>1731</v>
      </c>
      <c r="B531" s="89" t="s">
        <v>1942</v>
      </c>
    </row>
    <row r="532" spans="1:2" ht="15">
      <c r="A532" s="90" t="s">
        <v>1732</v>
      </c>
      <c r="B532" s="89" t="s">
        <v>1942</v>
      </c>
    </row>
    <row r="533" spans="1:2" ht="15">
      <c r="A533" s="90" t="s">
        <v>1733</v>
      </c>
      <c r="B533" s="89" t="s">
        <v>1942</v>
      </c>
    </row>
    <row r="534" spans="1:2" ht="15">
      <c r="A534" s="90" t="s">
        <v>1734</v>
      </c>
      <c r="B534" s="89" t="s">
        <v>1942</v>
      </c>
    </row>
    <row r="535" spans="1:2" ht="15">
      <c r="A535" s="90" t="s">
        <v>1735</v>
      </c>
      <c r="B535" s="89" t="s">
        <v>1942</v>
      </c>
    </row>
    <row r="536" spans="1:2" ht="15">
      <c r="A536" s="90" t="s">
        <v>1736</v>
      </c>
      <c r="B536" s="89" t="s">
        <v>1942</v>
      </c>
    </row>
    <row r="537" spans="1:2" ht="15">
      <c r="A537" s="90" t="s">
        <v>1737</v>
      </c>
      <c r="B537" s="89" t="s">
        <v>1942</v>
      </c>
    </row>
    <row r="538" spans="1:2" ht="15">
      <c r="A538" s="90" t="s">
        <v>1738</v>
      </c>
      <c r="B538" s="89" t="s">
        <v>1942</v>
      </c>
    </row>
    <row r="539" spans="1:2" ht="15">
      <c r="A539" s="90" t="s">
        <v>1739</v>
      </c>
      <c r="B539" s="89" t="s">
        <v>1942</v>
      </c>
    </row>
    <row r="540" spans="1:2" ht="15">
      <c r="A540" s="90" t="s">
        <v>1740</v>
      </c>
      <c r="B540" s="89" t="s">
        <v>1942</v>
      </c>
    </row>
    <row r="541" spans="1:2" ht="15">
      <c r="A541" s="90" t="s">
        <v>1741</v>
      </c>
      <c r="B541" s="89" t="s">
        <v>1942</v>
      </c>
    </row>
    <row r="542" spans="1:2" ht="15">
      <c r="A542" s="90" t="s">
        <v>1742</v>
      </c>
      <c r="B542" s="89" t="s">
        <v>1942</v>
      </c>
    </row>
    <row r="543" spans="1:2" ht="15">
      <c r="A543" s="90" t="s">
        <v>1743</v>
      </c>
      <c r="B543" s="89" t="s">
        <v>1942</v>
      </c>
    </row>
    <row r="544" spans="1:2" ht="15">
      <c r="A544" s="90" t="s">
        <v>1744</v>
      </c>
      <c r="B544" s="89" t="s">
        <v>1942</v>
      </c>
    </row>
    <row r="545" spans="1:2" ht="15">
      <c r="A545" s="90" t="s">
        <v>1745</v>
      </c>
      <c r="B545" s="89" t="s">
        <v>1942</v>
      </c>
    </row>
    <row r="546" spans="1:2" ht="15">
      <c r="A546" s="90" t="s">
        <v>1746</v>
      </c>
      <c r="B546" s="89" t="s">
        <v>1942</v>
      </c>
    </row>
    <row r="547" spans="1:2" ht="15">
      <c r="A547" s="90" t="s">
        <v>1747</v>
      </c>
      <c r="B547" s="89" t="s">
        <v>1942</v>
      </c>
    </row>
    <row r="548" spans="1:2" ht="15">
      <c r="A548" s="90" t="s">
        <v>1088</v>
      </c>
      <c r="B548" s="89" t="s">
        <v>1942</v>
      </c>
    </row>
    <row r="549" spans="1:2" ht="15">
      <c r="A549" s="90" t="s">
        <v>1748</v>
      </c>
      <c r="B549" s="89" t="s">
        <v>1942</v>
      </c>
    </row>
    <row r="550" spans="1:2" ht="15">
      <c r="A550" s="90" t="s">
        <v>1749</v>
      </c>
      <c r="B550" s="89" t="s">
        <v>1942</v>
      </c>
    </row>
    <row r="551" spans="1:2" ht="15">
      <c r="A551" s="90" t="s">
        <v>1750</v>
      </c>
      <c r="B551" s="89" t="s">
        <v>1942</v>
      </c>
    </row>
    <row r="552" spans="1:2" ht="15">
      <c r="A552" s="90" t="s">
        <v>1751</v>
      </c>
      <c r="B552" s="89" t="s">
        <v>1942</v>
      </c>
    </row>
    <row r="553" spans="1:2" ht="15">
      <c r="A553" s="90" t="s">
        <v>1752</v>
      </c>
      <c r="B553" s="89" t="s">
        <v>1942</v>
      </c>
    </row>
    <row r="554" spans="1:2" ht="15">
      <c r="A554" s="90" t="s">
        <v>1753</v>
      </c>
      <c r="B554" s="89" t="s">
        <v>1942</v>
      </c>
    </row>
    <row r="555" spans="1:2" ht="15">
      <c r="A555" s="90" t="s">
        <v>1148</v>
      </c>
      <c r="B555" s="89" t="s">
        <v>1942</v>
      </c>
    </row>
    <row r="556" spans="1:2" ht="15">
      <c r="A556" s="90" t="s">
        <v>1754</v>
      </c>
      <c r="B556" s="89" t="s">
        <v>1942</v>
      </c>
    </row>
    <row r="557" spans="1:2" ht="15">
      <c r="A557" s="90" t="s">
        <v>1755</v>
      </c>
      <c r="B557" s="89" t="s">
        <v>1942</v>
      </c>
    </row>
    <row r="558" spans="1:2" ht="15">
      <c r="A558" s="90" t="s">
        <v>1189</v>
      </c>
      <c r="B558" s="89" t="s">
        <v>1942</v>
      </c>
    </row>
    <row r="559" spans="1:2" ht="15">
      <c r="A559" s="90" t="s">
        <v>1756</v>
      </c>
      <c r="B559" s="89" t="s">
        <v>1942</v>
      </c>
    </row>
    <row r="560" spans="1:2" ht="15">
      <c r="A560" s="90" t="s">
        <v>1757</v>
      </c>
      <c r="B560" s="89" t="s">
        <v>1942</v>
      </c>
    </row>
    <row r="561" spans="1:2" ht="15">
      <c r="A561" s="90" t="s">
        <v>1758</v>
      </c>
      <c r="B561" s="89" t="s">
        <v>1942</v>
      </c>
    </row>
    <row r="562" spans="1:2" ht="15">
      <c r="A562" s="90" t="s">
        <v>1759</v>
      </c>
      <c r="B562" s="89" t="s">
        <v>1942</v>
      </c>
    </row>
    <row r="563" spans="1:2" ht="15">
      <c r="A563" s="90" t="s">
        <v>1760</v>
      </c>
      <c r="B563" s="89" t="s">
        <v>1942</v>
      </c>
    </row>
    <row r="564" spans="1:2" ht="15">
      <c r="A564" s="90" t="s">
        <v>1761</v>
      </c>
      <c r="B564" s="89" t="s">
        <v>1942</v>
      </c>
    </row>
    <row r="565" spans="1:2" ht="15">
      <c r="A565" s="90" t="s">
        <v>1762</v>
      </c>
      <c r="B565" s="89" t="s">
        <v>1942</v>
      </c>
    </row>
    <row r="566" spans="1:2" ht="15">
      <c r="A566" s="90" t="s">
        <v>1763</v>
      </c>
      <c r="B566" s="89" t="s">
        <v>1942</v>
      </c>
    </row>
    <row r="567" spans="1:2" ht="15">
      <c r="A567" s="90" t="s">
        <v>1764</v>
      </c>
      <c r="B567" s="89" t="s">
        <v>1942</v>
      </c>
    </row>
    <row r="568" spans="1:2" ht="15">
      <c r="A568" s="90" t="s">
        <v>1765</v>
      </c>
      <c r="B568" s="89" t="s">
        <v>1942</v>
      </c>
    </row>
    <row r="569" spans="1:2" ht="15">
      <c r="A569" s="90" t="s">
        <v>1766</v>
      </c>
      <c r="B569" s="89" t="s">
        <v>1942</v>
      </c>
    </row>
    <row r="570" spans="1:2" ht="15">
      <c r="A570" s="90" t="s">
        <v>1767</v>
      </c>
      <c r="B570" s="89" t="s">
        <v>1942</v>
      </c>
    </row>
    <row r="571" spans="1:2" ht="15">
      <c r="A571" s="90" t="s">
        <v>1768</v>
      </c>
      <c r="B571" s="89" t="s">
        <v>1942</v>
      </c>
    </row>
    <row r="572" spans="1:2" ht="15">
      <c r="A572" s="90" t="s">
        <v>1769</v>
      </c>
      <c r="B572" s="89" t="s">
        <v>1942</v>
      </c>
    </row>
    <row r="573" spans="1:2" ht="15">
      <c r="A573" s="90" t="s">
        <v>1770</v>
      </c>
      <c r="B573" s="89" t="s">
        <v>1942</v>
      </c>
    </row>
    <row r="574" spans="1:2" ht="15">
      <c r="A574" s="90" t="s">
        <v>1771</v>
      </c>
      <c r="B574" s="89" t="s">
        <v>1942</v>
      </c>
    </row>
    <row r="575" spans="1:2" ht="15">
      <c r="A575" s="90" t="s">
        <v>1772</v>
      </c>
      <c r="B575" s="89" t="s">
        <v>1942</v>
      </c>
    </row>
    <row r="576" spans="1:2" ht="15">
      <c r="A576" s="90" t="s">
        <v>1773</v>
      </c>
      <c r="B576" s="89" t="s">
        <v>1942</v>
      </c>
    </row>
    <row r="577" spans="1:2" ht="15">
      <c r="A577" s="90" t="s">
        <v>1774</v>
      </c>
      <c r="B577" s="89" t="s">
        <v>1942</v>
      </c>
    </row>
    <row r="578" spans="1:2" ht="15">
      <c r="A578" s="90" t="s">
        <v>1149</v>
      </c>
      <c r="B578" s="89" t="s">
        <v>1942</v>
      </c>
    </row>
    <row r="579" spans="1:2" ht="15">
      <c r="A579" s="90" t="s">
        <v>1775</v>
      </c>
      <c r="B579" s="89" t="s">
        <v>1942</v>
      </c>
    </row>
    <row r="580" spans="1:2" ht="15">
      <c r="A580" s="90" t="s">
        <v>1776</v>
      </c>
      <c r="B580" s="89" t="s">
        <v>1942</v>
      </c>
    </row>
    <row r="581" spans="1:2" ht="15">
      <c r="A581" s="90" t="s">
        <v>1777</v>
      </c>
      <c r="B581" s="89" t="s">
        <v>1942</v>
      </c>
    </row>
    <row r="582" spans="1:2" ht="15">
      <c r="A582" s="90" t="s">
        <v>1778</v>
      </c>
      <c r="B582" s="89" t="s">
        <v>1942</v>
      </c>
    </row>
    <row r="583" spans="1:2" ht="15">
      <c r="A583" s="90" t="s">
        <v>1779</v>
      </c>
      <c r="B583" s="89" t="s">
        <v>1942</v>
      </c>
    </row>
    <row r="584" spans="1:2" ht="15">
      <c r="A584" s="90" t="s">
        <v>1780</v>
      </c>
      <c r="B584" s="89" t="s">
        <v>1942</v>
      </c>
    </row>
    <row r="585" spans="1:2" ht="15">
      <c r="A585" s="90" t="s">
        <v>1781</v>
      </c>
      <c r="B585" s="89" t="s">
        <v>1942</v>
      </c>
    </row>
    <row r="586" spans="1:2" ht="15">
      <c r="A586" s="90" t="s">
        <v>1782</v>
      </c>
      <c r="B586" s="89" t="s">
        <v>1942</v>
      </c>
    </row>
    <row r="587" spans="1:2" ht="15">
      <c r="A587" s="90" t="s">
        <v>1783</v>
      </c>
      <c r="B587" s="89" t="s">
        <v>1942</v>
      </c>
    </row>
    <row r="588" spans="1:2" ht="15">
      <c r="A588" s="90" t="s">
        <v>1784</v>
      </c>
      <c r="B588" s="89" t="s">
        <v>1942</v>
      </c>
    </row>
    <row r="589" spans="1:2" ht="15">
      <c r="A589" s="90" t="s">
        <v>1218</v>
      </c>
      <c r="B589" s="89" t="s">
        <v>1942</v>
      </c>
    </row>
    <row r="590" spans="1:2" ht="15">
      <c r="A590" s="90" t="s">
        <v>1081</v>
      </c>
      <c r="B590" s="89" t="s">
        <v>1942</v>
      </c>
    </row>
    <row r="591" spans="1:2" ht="15">
      <c r="A591" s="90" t="s">
        <v>1785</v>
      </c>
      <c r="B591" s="89" t="s">
        <v>1942</v>
      </c>
    </row>
    <row r="592" spans="1:2" ht="15">
      <c r="A592" s="90" t="s">
        <v>1786</v>
      </c>
      <c r="B592" s="89" t="s">
        <v>1942</v>
      </c>
    </row>
    <row r="593" spans="1:2" ht="15">
      <c r="A593" s="90" t="s">
        <v>1787</v>
      </c>
      <c r="B593" s="89" t="s">
        <v>1942</v>
      </c>
    </row>
    <row r="594" spans="1:2" ht="15">
      <c r="A594" s="90" t="s">
        <v>1788</v>
      </c>
      <c r="B594" s="89" t="s">
        <v>1942</v>
      </c>
    </row>
    <row r="595" spans="1:2" ht="15">
      <c r="A595" s="90" t="s">
        <v>1789</v>
      </c>
      <c r="B595" s="89" t="s">
        <v>1942</v>
      </c>
    </row>
    <row r="596" spans="1:2" ht="15">
      <c r="A596" s="90" t="s">
        <v>1790</v>
      </c>
      <c r="B596" s="89" t="s">
        <v>1942</v>
      </c>
    </row>
    <row r="597" spans="1:2" ht="15">
      <c r="A597" s="90" t="s">
        <v>1220</v>
      </c>
      <c r="B597" s="89" t="s">
        <v>1942</v>
      </c>
    </row>
    <row r="598" spans="1:2" ht="15">
      <c r="A598" s="90" t="s">
        <v>1791</v>
      </c>
      <c r="B598" s="89" t="s">
        <v>1942</v>
      </c>
    </row>
    <row r="599" spans="1:2" ht="15">
      <c r="A599" s="90" t="s">
        <v>1792</v>
      </c>
      <c r="B599" s="89" t="s">
        <v>1942</v>
      </c>
    </row>
    <row r="600" spans="1:2" ht="15">
      <c r="A600" s="90" t="s">
        <v>1086</v>
      </c>
      <c r="B600" s="89" t="s">
        <v>1942</v>
      </c>
    </row>
    <row r="601" spans="1:2" ht="15">
      <c r="A601" s="90" t="s">
        <v>1793</v>
      </c>
      <c r="B601" s="89" t="s">
        <v>1942</v>
      </c>
    </row>
    <row r="602" spans="1:2" ht="15">
      <c r="A602" s="90" t="s">
        <v>1794</v>
      </c>
      <c r="B602" s="89" t="s">
        <v>1942</v>
      </c>
    </row>
    <row r="603" spans="1:2" ht="15">
      <c r="A603" s="90" t="s">
        <v>1795</v>
      </c>
      <c r="B603" s="89" t="s">
        <v>1942</v>
      </c>
    </row>
    <row r="604" spans="1:2" ht="15">
      <c r="A604" s="90" t="s">
        <v>1796</v>
      </c>
      <c r="B604" s="89" t="s">
        <v>1942</v>
      </c>
    </row>
    <row r="605" spans="1:2" ht="15">
      <c r="A605" s="90" t="s">
        <v>1797</v>
      </c>
      <c r="B605" s="89" t="s">
        <v>1942</v>
      </c>
    </row>
    <row r="606" spans="1:2" ht="15">
      <c r="A606" s="90" t="s">
        <v>1798</v>
      </c>
      <c r="B606" s="89" t="s">
        <v>1942</v>
      </c>
    </row>
    <row r="607" spans="1:2" ht="15">
      <c r="A607" s="90" t="s">
        <v>1083</v>
      </c>
      <c r="B607" s="89" t="s">
        <v>1942</v>
      </c>
    </row>
    <row r="608" spans="1:2" ht="15">
      <c r="A608" s="90" t="s">
        <v>1154</v>
      </c>
      <c r="B608" s="89" t="s">
        <v>1942</v>
      </c>
    </row>
    <row r="609" spans="1:2" ht="15">
      <c r="A609" s="90" t="s">
        <v>1799</v>
      </c>
      <c r="B609" s="89" t="s">
        <v>1942</v>
      </c>
    </row>
    <row r="610" spans="1:2" ht="15">
      <c r="A610" s="90" t="s">
        <v>1800</v>
      </c>
      <c r="B610" s="89" t="s">
        <v>1942</v>
      </c>
    </row>
    <row r="611" spans="1:2" ht="15">
      <c r="A611" s="90" t="s">
        <v>1801</v>
      </c>
      <c r="B611" s="89" t="s">
        <v>1942</v>
      </c>
    </row>
    <row r="612" spans="1:2" ht="15">
      <c r="A612" s="90" t="s">
        <v>1802</v>
      </c>
      <c r="B612" s="89" t="s">
        <v>1942</v>
      </c>
    </row>
    <row r="613" spans="1:2" ht="15">
      <c r="A613" s="90" t="s">
        <v>1803</v>
      </c>
      <c r="B613" s="89" t="s">
        <v>1942</v>
      </c>
    </row>
    <row r="614" spans="1:2" ht="15">
      <c r="A614" s="90" t="s">
        <v>1232</v>
      </c>
      <c r="B614" s="89" t="s">
        <v>1942</v>
      </c>
    </row>
    <row r="615" spans="1:2" ht="15">
      <c r="A615" s="90" t="s">
        <v>1100</v>
      </c>
      <c r="B615" s="89" t="s">
        <v>1942</v>
      </c>
    </row>
    <row r="616" spans="1:2" ht="15">
      <c r="A616" s="90" t="s">
        <v>1804</v>
      </c>
      <c r="B616" s="89" t="s">
        <v>1942</v>
      </c>
    </row>
    <row r="617" spans="1:2" ht="15">
      <c r="A617" s="90" t="s">
        <v>1805</v>
      </c>
      <c r="B617" s="89" t="s">
        <v>1942</v>
      </c>
    </row>
    <row r="618" spans="1:2" ht="15">
      <c r="A618" s="90" t="s">
        <v>1806</v>
      </c>
      <c r="B618" s="89" t="s">
        <v>1942</v>
      </c>
    </row>
    <row r="619" spans="1:2" ht="15">
      <c r="A619" s="90" t="s">
        <v>1807</v>
      </c>
      <c r="B619" s="89" t="s">
        <v>1942</v>
      </c>
    </row>
    <row r="620" spans="1:2" ht="15">
      <c r="A620" s="90" t="s">
        <v>1808</v>
      </c>
      <c r="B620" s="89" t="s">
        <v>1942</v>
      </c>
    </row>
    <row r="621" spans="1:2" ht="15">
      <c r="A621" s="90" t="s">
        <v>1809</v>
      </c>
      <c r="B621" s="89" t="s">
        <v>1942</v>
      </c>
    </row>
    <row r="622" spans="1:2" ht="15">
      <c r="A622" s="90" t="s">
        <v>1810</v>
      </c>
      <c r="B622" s="89" t="s">
        <v>1942</v>
      </c>
    </row>
    <row r="623" spans="1:2" ht="15">
      <c r="A623" s="90" t="s">
        <v>1811</v>
      </c>
      <c r="B623" s="89" t="s">
        <v>1942</v>
      </c>
    </row>
    <row r="624" spans="1:2" ht="15">
      <c r="A624" s="90" t="s">
        <v>1812</v>
      </c>
      <c r="B624" s="89" t="s">
        <v>1942</v>
      </c>
    </row>
    <row r="625" spans="1:2" ht="15">
      <c r="A625" s="90" t="s">
        <v>1813</v>
      </c>
      <c r="B625" s="89" t="s">
        <v>1942</v>
      </c>
    </row>
    <row r="626" spans="1:2" ht="15">
      <c r="A626" s="90" t="s">
        <v>1814</v>
      </c>
      <c r="B626" s="89" t="s">
        <v>1942</v>
      </c>
    </row>
    <row r="627" spans="1:2" ht="15">
      <c r="A627" s="90" t="s">
        <v>1815</v>
      </c>
      <c r="B627" s="89" t="s">
        <v>1942</v>
      </c>
    </row>
    <row r="628" spans="1:2" ht="15">
      <c r="A628" s="90" t="s">
        <v>1816</v>
      </c>
      <c r="B628" s="89" t="s">
        <v>1942</v>
      </c>
    </row>
    <row r="629" spans="1:2" ht="15">
      <c r="A629" s="90" t="s">
        <v>1817</v>
      </c>
      <c r="B629" s="89" t="s">
        <v>1942</v>
      </c>
    </row>
    <row r="630" spans="1:2" ht="15">
      <c r="A630" s="90" t="s">
        <v>1818</v>
      </c>
      <c r="B630" s="89" t="s">
        <v>1942</v>
      </c>
    </row>
    <row r="631" spans="1:2" ht="15">
      <c r="A631" s="90" t="s">
        <v>1819</v>
      </c>
      <c r="B631" s="89" t="s">
        <v>1942</v>
      </c>
    </row>
    <row r="632" spans="1:2" ht="15">
      <c r="A632" s="90" t="s">
        <v>1820</v>
      </c>
      <c r="B632" s="89" t="s">
        <v>1942</v>
      </c>
    </row>
    <row r="633" spans="1:2" ht="15">
      <c r="A633" s="90" t="s">
        <v>1821</v>
      </c>
      <c r="B633" s="89" t="s">
        <v>1942</v>
      </c>
    </row>
    <row r="634" spans="1:2" ht="15">
      <c r="A634" s="90" t="s">
        <v>1822</v>
      </c>
      <c r="B634" s="89" t="s">
        <v>1942</v>
      </c>
    </row>
    <row r="635" spans="1:2" ht="15">
      <c r="A635" s="90" t="s">
        <v>1823</v>
      </c>
      <c r="B635" s="89" t="s">
        <v>1942</v>
      </c>
    </row>
    <row r="636" spans="1:2" ht="15">
      <c r="A636" s="90" t="s">
        <v>1824</v>
      </c>
      <c r="B636" s="89" t="s">
        <v>1942</v>
      </c>
    </row>
    <row r="637" spans="1:2" ht="15">
      <c r="A637" s="90" t="s">
        <v>1825</v>
      </c>
      <c r="B637" s="89" t="s">
        <v>1942</v>
      </c>
    </row>
    <row r="638" spans="1:2" ht="15">
      <c r="A638" s="90" t="s">
        <v>1826</v>
      </c>
      <c r="B638" s="89" t="s">
        <v>1942</v>
      </c>
    </row>
    <row r="639" spans="1:2" ht="15">
      <c r="A639" s="90" t="s">
        <v>1827</v>
      </c>
      <c r="B639" s="89" t="s">
        <v>1942</v>
      </c>
    </row>
    <row r="640" spans="1:2" ht="15">
      <c r="A640" s="90" t="s">
        <v>1828</v>
      </c>
      <c r="B640" s="89" t="s">
        <v>1942</v>
      </c>
    </row>
    <row r="641" spans="1:2" ht="15">
      <c r="A641" s="90" t="s">
        <v>1829</v>
      </c>
      <c r="B641" s="89" t="s">
        <v>1942</v>
      </c>
    </row>
    <row r="642" spans="1:2" ht="15">
      <c r="A642" s="90" t="s">
        <v>1830</v>
      </c>
      <c r="B642" s="89" t="s">
        <v>1942</v>
      </c>
    </row>
    <row r="643" spans="1:2" ht="15">
      <c r="A643" s="90" t="s">
        <v>1831</v>
      </c>
      <c r="B643" s="89" t="s">
        <v>1942</v>
      </c>
    </row>
    <row r="644" spans="1:2" ht="15">
      <c r="A644" s="90" t="s">
        <v>1832</v>
      </c>
      <c r="B644" s="89" t="s">
        <v>1942</v>
      </c>
    </row>
    <row r="645" spans="1:2" ht="15">
      <c r="A645" s="90" t="s">
        <v>1833</v>
      </c>
      <c r="B645" s="89" t="s">
        <v>1942</v>
      </c>
    </row>
    <row r="646" spans="1:2" ht="15">
      <c r="A646" s="90" t="s">
        <v>1834</v>
      </c>
      <c r="B646" s="89" t="s">
        <v>1942</v>
      </c>
    </row>
    <row r="647" spans="1:2" ht="15">
      <c r="A647" s="90" t="s">
        <v>1835</v>
      </c>
      <c r="B647" s="89" t="s">
        <v>1942</v>
      </c>
    </row>
    <row r="648" spans="1:2" ht="15">
      <c r="A648" s="90" t="s">
        <v>1836</v>
      </c>
      <c r="B648" s="89" t="s">
        <v>1942</v>
      </c>
    </row>
    <row r="649" spans="1:2" ht="15">
      <c r="A649" s="90" t="s">
        <v>1837</v>
      </c>
      <c r="B649" s="89" t="s">
        <v>1942</v>
      </c>
    </row>
    <row r="650" spans="1:2" ht="15">
      <c r="A650" s="90" t="s">
        <v>1838</v>
      </c>
      <c r="B650" s="89" t="s">
        <v>1942</v>
      </c>
    </row>
    <row r="651" spans="1:2" ht="15">
      <c r="A651" s="90" t="s">
        <v>1839</v>
      </c>
      <c r="B651" s="89" t="s">
        <v>1942</v>
      </c>
    </row>
    <row r="652" spans="1:2" ht="15">
      <c r="A652" s="90" t="s">
        <v>1840</v>
      </c>
      <c r="B652" s="89" t="s">
        <v>1942</v>
      </c>
    </row>
    <row r="653" spans="1:2" ht="15">
      <c r="A653" s="90" t="s">
        <v>1841</v>
      </c>
      <c r="B653" s="89" t="s">
        <v>1942</v>
      </c>
    </row>
    <row r="654" spans="1:2" ht="15">
      <c r="A654" s="90" t="s">
        <v>1842</v>
      </c>
      <c r="B654" s="89" t="s">
        <v>1942</v>
      </c>
    </row>
    <row r="655" spans="1:2" ht="15">
      <c r="A655" s="90" t="s">
        <v>1843</v>
      </c>
      <c r="B655" s="89" t="s">
        <v>1942</v>
      </c>
    </row>
    <row r="656" spans="1:2" ht="15">
      <c r="A656" s="90" t="s">
        <v>1844</v>
      </c>
      <c r="B656" s="89" t="s">
        <v>1942</v>
      </c>
    </row>
    <row r="657" spans="1:2" ht="15">
      <c r="A657" s="90" t="s">
        <v>1845</v>
      </c>
      <c r="B657" s="89" t="s">
        <v>1942</v>
      </c>
    </row>
    <row r="658" spans="1:2" ht="15">
      <c r="A658" s="90" t="s">
        <v>1846</v>
      </c>
      <c r="B658" s="89" t="s">
        <v>1942</v>
      </c>
    </row>
    <row r="659" spans="1:2" ht="15">
      <c r="A659" s="90" t="s">
        <v>1847</v>
      </c>
      <c r="B659" s="89" t="s">
        <v>1942</v>
      </c>
    </row>
    <row r="660" spans="1:2" ht="15">
      <c r="A660" s="90" t="s">
        <v>1848</v>
      </c>
      <c r="B660" s="89" t="s">
        <v>1942</v>
      </c>
    </row>
    <row r="661" spans="1:2" ht="15">
      <c r="A661" s="90" t="s">
        <v>1849</v>
      </c>
      <c r="B661" s="89" t="s">
        <v>1942</v>
      </c>
    </row>
    <row r="662" spans="1:2" ht="15">
      <c r="A662" s="90" t="s">
        <v>1850</v>
      </c>
      <c r="B662" s="89" t="s">
        <v>1942</v>
      </c>
    </row>
    <row r="663" spans="1:2" ht="15">
      <c r="A663" s="90" t="s">
        <v>1851</v>
      </c>
      <c r="B663" s="89" t="s">
        <v>1942</v>
      </c>
    </row>
    <row r="664" spans="1:2" ht="15">
      <c r="A664" s="90" t="s">
        <v>1852</v>
      </c>
      <c r="B664" s="89" t="s">
        <v>1942</v>
      </c>
    </row>
    <row r="665" spans="1:2" ht="15">
      <c r="A665" s="90" t="s">
        <v>1853</v>
      </c>
      <c r="B665" s="89" t="s">
        <v>1942</v>
      </c>
    </row>
    <row r="666" spans="1:2" ht="15">
      <c r="A666" s="90" t="s">
        <v>1854</v>
      </c>
      <c r="B666" s="89" t="s">
        <v>1942</v>
      </c>
    </row>
    <row r="667" spans="1:2" ht="15">
      <c r="A667" s="90" t="s">
        <v>1855</v>
      </c>
      <c r="B667" s="89" t="s">
        <v>1942</v>
      </c>
    </row>
    <row r="668" spans="1:2" ht="15">
      <c r="A668" s="90" t="s">
        <v>1856</v>
      </c>
      <c r="B668" s="89" t="s">
        <v>1942</v>
      </c>
    </row>
    <row r="669" spans="1:2" ht="15">
      <c r="A669" s="90" t="s">
        <v>1857</v>
      </c>
      <c r="B669" s="89" t="s">
        <v>1942</v>
      </c>
    </row>
    <row r="670" spans="1:2" ht="15">
      <c r="A670" s="90" t="s">
        <v>1858</v>
      </c>
      <c r="B670" s="89" t="s">
        <v>1942</v>
      </c>
    </row>
    <row r="671" spans="1:2" ht="15">
      <c r="A671" s="90" t="s">
        <v>1859</v>
      </c>
      <c r="B671" s="89" t="s">
        <v>1942</v>
      </c>
    </row>
    <row r="672" spans="1:2" ht="15">
      <c r="A672" s="90" t="s">
        <v>1860</v>
      </c>
      <c r="B672" s="89" t="s">
        <v>1942</v>
      </c>
    </row>
    <row r="673" spans="1:2" ht="15">
      <c r="A673" s="90" t="s">
        <v>1861</v>
      </c>
      <c r="B673" s="89" t="s">
        <v>1942</v>
      </c>
    </row>
    <row r="674" spans="1:2" ht="15">
      <c r="A674" s="90" t="s">
        <v>1862</v>
      </c>
      <c r="B674" s="89" t="s">
        <v>1942</v>
      </c>
    </row>
    <row r="675" spans="1:2" ht="15">
      <c r="A675" s="90" t="s">
        <v>1863</v>
      </c>
      <c r="B675" s="89" t="s">
        <v>1942</v>
      </c>
    </row>
    <row r="676" spans="1:2" ht="15">
      <c r="A676" s="90" t="s">
        <v>1864</v>
      </c>
      <c r="B676" s="89" t="s">
        <v>1942</v>
      </c>
    </row>
    <row r="677" spans="1:2" ht="15">
      <c r="A677" s="90" t="s">
        <v>1865</v>
      </c>
      <c r="B677" s="89" t="s">
        <v>1942</v>
      </c>
    </row>
    <row r="678" spans="1:2" ht="15">
      <c r="A678" s="90" t="s">
        <v>1866</v>
      </c>
      <c r="B678" s="89" t="s">
        <v>1942</v>
      </c>
    </row>
    <row r="679" spans="1:2" ht="15">
      <c r="A679" s="90" t="s">
        <v>1136</v>
      </c>
      <c r="B679" s="89" t="s">
        <v>1942</v>
      </c>
    </row>
    <row r="680" spans="1:2" ht="15">
      <c r="A680" s="90" t="s">
        <v>1131</v>
      </c>
      <c r="B680" s="89" t="s">
        <v>1942</v>
      </c>
    </row>
    <row r="681" spans="1:2" ht="15">
      <c r="A681" s="90" t="s">
        <v>1867</v>
      </c>
      <c r="B681" s="89" t="s">
        <v>1942</v>
      </c>
    </row>
    <row r="682" spans="1:2" ht="15">
      <c r="A682" s="90" t="s">
        <v>1868</v>
      </c>
      <c r="B682" s="89" t="s">
        <v>1942</v>
      </c>
    </row>
    <row r="683" spans="1:2" ht="15">
      <c r="A683" s="90" t="s">
        <v>1869</v>
      </c>
      <c r="B683" s="89" t="s">
        <v>1942</v>
      </c>
    </row>
    <row r="684" spans="1:2" ht="15">
      <c r="A684" s="90" t="s">
        <v>1870</v>
      </c>
      <c r="B684" s="89" t="s">
        <v>1942</v>
      </c>
    </row>
    <row r="685" spans="1:2" ht="15">
      <c r="A685" s="90" t="s">
        <v>1871</v>
      </c>
      <c r="B685" s="89" t="s">
        <v>1942</v>
      </c>
    </row>
    <row r="686" spans="1:2" ht="15">
      <c r="A686" s="90" t="s">
        <v>1872</v>
      </c>
      <c r="B686" s="89" t="s">
        <v>1942</v>
      </c>
    </row>
    <row r="687" spans="1:2" ht="15">
      <c r="A687" s="90" t="s">
        <v>1873</v>
      </c>
      <c r="B687" s="89" t="s">
        <v>1942</v>
      </c>
    </row>
    <row r="688" spans="1:2" ht="15">
      <c r="A688" s="90" t="s">
        <v>1874</v>
      </c>
      <c r="B688" s="89" t="s">
        <v>1942</v>
      </c>
    </row>
    <row r="689" spans="1:2" ht="15">
      <c r="A689" s="90" t="s">
        <v>1875</v>
      </c>
      <c r="B689" s="89" t="s">
        <v>1942</v>
      </c>
    </row>
    <row r="690" spans="1:2" ht="15">
      <c r="A690" s="90" t="s">
        <v>1876</v>
      </c>
      <c r="B690" s="89" t="s">
        <v>1942</v>
      </c>
    </row>
    <row r="691" spans="1:2" ht="15">
      <c r="A691" s="90" t="s">
        <v>1877</v>
      </c>
      <c r="B691" s="89" t="s">
        <v>1942</v>
      </c>
    </row>
    <row r="692" spans="1:2" ht="15">
      <c r="A692" s="90" t="s">
        <v>1878</v>
      </c>
      <c r="B692" s="89" t="s">
        <v>1942</v>
      </c>
    </row>
    <row r="693" spans="1:2" ht="15">
      <c r="A693" s="90" t="s">
        <v>1879</v>
      </c>
      <c r="B693" s="89" t="s">
        <v>1942</v>
      </c>
    </row>
    <row r="694" spans="1:2" ht="15">
      <c r="A694" s="90" t="s">
        <v>1880</v>
      </c>
      <c r="B694" s="89" t="s">
        <v>1942</v>
      </c>
    </row>
    <row r="695" spans="1:2" ht="15">
      <c r="A695" s="90" t="s">
        <v>1130</v>
      </c>
      <c r="B695" s="89" t="s">
        <v>1942</v>
      </c>
    </row>
    <row r="696" spans="1:2" ht="15">
      <c r="A696" s="90" t="s">
        <v>1881</v>
      </c>
      <c r="B696" s="89" t="s">
        <v>1942</v>
      </c>
    </row>
    <row r="697" spans="1:2" ht="15">
      <c r="A697" s="90" t="s">
        <v>1882</v>
      </c>
      <c r="B697" s="89" t="s">
        <v>1942</v>
      </c>
    </row>
    <row r="698" spans="1:2" ht="15">
      <c r="A698" s="90" t="s">
        <v>1883</v>
      </c>
      <c r="B698" s="89" t="s">
        <v>1942</v>
      </c>
    </row>
    <row r="699" spans="1:2" ht="15">
      <c r="A699" s="90" t="s">
        <v>1884</v>
      </c>
      <c r="B699" s="89" t="s">
        <v>1942</v>
      </c>
    </row>
    <row r="700" spans="1:2" ht="15">
      <c r="A700" s="90" t="s">
        <v>1885</v>
      </c>
      <c r="B700" s="89" t="s">
        <v>1942</v>
      </c>
    </row>
    <row r="701" spans="1:2" ht="15">
      <c r="A701" s="90" t="s">
        <v>1886</v>
      </c>
      <c r="B701" s="89" t="s">
        <v>1942</v>
      </c>
    </row>
    <row r="702" spans="1:2" ht="15">
      <c r="A702" s="90" t="s">
        <v>1887</v>
      </c>
      <c r="B702" s="89" t="s">
        <v>1942</v>
      </c>
    </row>
    <row r="703" spans="1:2" ht="15">
      <c r="A703" s="90" t="s">
        <v>1888</v>
      </c>
      <c r="B703" s="89" t="s">
        <v>1942</v>
      </c>
    </row>
    <row r="704" spans="1:2" ht="15">
      <c r="A704" s="90" t="s">
        <v>1889</v>
      </c>
      <c r="B704" s="89" t="s">
        <v>1942</v>
      </c>
    </row>
    <row r="705" spans="1:2" ht="15">
      <c r="A705" s="90" t="s">
        <v>1890</v>
      </c>
      <c r="B705" s="89" t="s">
        <v>1942</v>
      </c>
    </row>
    <row r="706" spans="1:2" ht="15">
      <c r="A706" s="90" t="s">
        <v>1891</v>
      </c>
      <c r="B706" s="89" t="s">
        <v>1942</v>
      </c>
    </row>
    <row r="707" spans="1:2" ht="15">
      <c r="A707" s="90" t="s">
        <v>1892</v>
      </c>
      <c r="B707" s="89" t="s">
        <v>1942</v>
      </c>
    </row>
    <row r="708" spans="1:2" ht="15">
      <c r="A708" s="90" t="s">
        <v>1893</v>
      </c>
      <c r="B708" s="89" t="s">
        <v>1942</v>
      </c>
    </row>
    <row r="709" spans="1:2" ht="15">
      <c r="A709" s="90" t="s">
        <v>1894</v>
      </c>
      <c r="B709" s="89" t="s">
        <v>1942</v>
      </c>
    </row>
    <row r="710" spans="1:2" ht="15">
      <c r="A710" s="90" t="s">
        <v>1895</v>
      </c>
      <c r="B710" s="89" t="s">
        <v>1942</v>
      </c>
    </row>
    <row r="711" spans="1:2" ht="15">
      <c r="A711" s="90" t="s">
        <v>1896</v>
      </c>
      <c r="B711" s="89" t="s">
        <v>1942</v>
      </c>
    </row>
    <row r="712" spans="1:2" ht="15">
      <c r="A712" s="90" t="s">
        <v>1897</v>
      </c>
      <c r="B712" s="89" t="s">
        <v>1942</v>
      </c>
    </row>
    <row r="713" spans="1:2" ht="15">
      <c r="A713" s="90" t="s">
        <v>1898</v>
      </c>
      <c r="B713" s="89" t="s">
        <v>1942</v>
      </c>
    </row>
    <row r="714" spans="1:2" ht="15">
      <c r="A714" s="90" t="s">
        <v>1899</v>
      </c>
      <c r="B714" s="89" t="s">
        <v>1942</v>
      </c>
    </row>
    <row r="715" spans="1:2" ht="15">
      <c r="A715" s="90" t="s">
        <v>1150</v>
      </c>
      <c r="B715" s="89" t="s">
        <v>1942</v>
      </c>
    </row>
    <row r="716" spans="1:2" ht="15">
      <c r="A716" s="90" t="s">
        <v>1900</v>
      </c>
      <c r="B716" s="89" t="s">
        <v>1942</v>
      </c>
    </row>
    <row r="717" spans="1:2" ht="15">
      <c r="A717" s="90" t="s">
        <v>1901</v>
      </c>
      <c r="B717" s="89" t="s">
        <v>1942</v>
      </c>
    </row>
    <row r="718" spans="1:2" ht="15">
      <c r="A718" s="90" t="s">
        <v>1902</v>
      </c>
      <c r="B718" s="89" t="s">
        <v>1942</v>
      </c>
    </row>
    <row r="719" spans="1:2" ht="15">
      <c r="A719" s="90" t="s">
        <v>1903</v>
      </c>
      <c r="B719" s="89" t="s">
        <v>1942</v>
      </c>
    </row>
    <row r="720" spans="1:2" ht="15">
      <c r="A720" s="90" t="s">
        <v>1904</v>
      </c>
      <c r="B720" s="89" t="s">
        <v>1942</v>
      </c>
    </row>
    <row r="721" spans="1:2" ht="15">
      <c r="A721" s="90" t="s">
        <v>1905</v>
      </c>
      <c r="B721" s="89" t="s">
        <v>1942</v>
      </c>
    </row>
    <row r="722" spans="1:2" ht="15">
      <c r="A722" s="90" t="s">
        <v>1906</v>
      </c>
      <c r="B722" s="89" t="s">
        <v>1942</v>
      </c>
    </row>
    <row r="723" spans="1:2" ht="15">
      <c r="A723" s="90" t="s">
        <v>1907</v>
      </c>
      <c r="B723" s="89" t="s">
        <v>1942</v>
      </c>
    </row>
    <row r="724" spans="1:2" ht="15">
      <c r="A724" s="90" t="s">
        <v>1908</v>
      </c>
      <c r="B724" s="89" t="s">
        <v>1942</v>
      </c>
    </row>
    <row r="725" spans="1:2" ht="15">
      <c r="A725" s="90" t="s">
        <v>1909</v>
      </c>
      <c r="B725" s="89" t="s">
        <v>1942</v>
      </c>
    </row>
    <row r="726" spans="1:2" ht="15">
      <c r="A726" s="90" t="s">
        <v>1910</v>
      </c>
      <c r="B726" s="89" t="s">
        <v>1942</v>
      </c>
    </row>
    <row r="727" spans="1:2" ht="15">
      <c r="A727" s="90" t="s">
        <v>1911</v>
      </c>
      <c r="B727" s="89" t="s">
        <v>1942</v>
      </c>
    </row>
    <row r="728" spans="1:2" ht="15">
      <c r="A728" s="90" t="s">
        <v>1912</v>
      </c>
      <c r="B728" s="89" t="s">
        <v>1942</v>
      </c>
    </row>
    <row r="729" spans="1:2" ht="15">
      <c r="A729" s="90" t="s">
        <v>1913</v>
      </c>
      <c r="B729" s="89" t="s">
        <v>1942</v>
      </c>
    </row>
    <row r="730" spans="1:2" ht="15">
      <c r="A730" s="90" t="s">
        <v>1914</v>
      </c>
      <c r="B730" s="89" t="s">
        <v>1942</v>
      </c>
    </row>
    <row r="731" spans="1:2" ht="15">
      <c r="A731" s="90" t="s">
        <v>1915</v>
      </c>
      <c r="B731" s="89" t="s">
        <v>1942</v>
      </c>
    </row>
    <row r="732" spans="1:2" ht="15">
      <c r="A732" s="90" t="s">
        <v>1916</v>
      </c>
      <c r="B732" s="89" t="s">
        <v>1942</v>
      </c>
    </row>
    <row r="733" spans="1:2" ht="15">
      <c r="A733" s="90" t="s">
        <v>1917</v>
      </c>
      <c r="B733" s="89" t="s">
        <v>1942</v>
      </c>
    </row>
    <row r="734" spans="1:2" ht="15">
      <c r="A734" s="90" t="s">
        <v>1918</v>
      </c>
      <c r="B734" s="89" t="s">
        <v>1942</v>
      </c>
    </row>
    <row r="735" spans="1:2" ht="15">
      <c r="A735" s="90" t="s">
        <v>1919</v>
      </c>
      <c r="B735" s="89" t="s">
        <v>1942</v>
      </c>
    </row>
    <row r="736" spans="1:2" ht="15">
      <c r="A736" s="90" t="s">
        <v>1920</v>
      </c>
      <c r="B736" s="89" t="s">
        <v>1942</v>
      </c>
    </row>
    <row r="737" spans="1:2" ht="15">
      <c r="A737" s="90" t="s">
        <v>1921</v>
      </c>
      <c r="B737" s="89" t="s">
        <v>1942</v>
      </c>
    </row>
    <row r="738" spans="1:2" ht="15">
      <c r="A738" s="90" t="s">
        <v>1922</v>
      </c>
      <c r="B738" s="89" t="s">
        <v>1942</v>
      </c>
    </row>
    <row r="739" spans="1:2" ht="15">
      <c r="A739" s="90" t="s">
        <v>1923</v>
      </c>
      <c r="B739" s="89" t="s">
        <v>1942</v>
      </c>
    </row>
    <row r="740" spans="1:2" ht="15">
      <c r="A740" s="90" t="s">
        <v>1924</v>
      </c>
      <c r="B740" s="89" t="s">
        <v>1942</v>
      </c>
    </row>
    <row r="741" spans="1:2" ht="15">
      <c r="A741" s="90" t="s">
        <v>1925</v>
      </c>
      <c r="B741" s="89" t="s">
        <v>1942</v>
      </c>
    </row>
    <row r="742" spans="1:2" ht="15">
      <c r="A742" s="90" t="s">
        <v>1926</v>
      </c>
      <c r="B742" s="89" t="s">
        <v>1942</v>
      </c>
    </row>
    <row r="743" spans="1:2" ht="15">
      <c r="A743" s="90" t="s">
        <v>1927</v>
      </c>
      <c r="B743" s="89" t="s">
        <v>1942</v>
      </c>
    </row>
    <row r="744" spans="1:2" ht="15">
      <c r="A744" s="90" t="s">
        <v>1928</v>
      </c>
      <c r="B744" s="89" t="s">
        <v>1942</v>
      </c>
    </row>
    <row r="745" spans="1:2" ht="15">
      <c r="A745" s="90" t="s">
        <v>1929</v>
      </c>
      <c r="B745" s="89" t="s">
        <v>1942</v>
      </c>
    </row>
    <row r="746" spans="1:2" ht="15">
      <c r="A746" s="90" t="s">
        <v>1930</v>
      </c>
      <c r="B746" s="89" t="s">
        <v>1942</v>
      </c>
    </row>
    <row r="747" spans="1:2" ht="15">
      <c r="A747" s="90" t="s">
        <v>1931</v>
      </c>
      <c r="B747" s="89" t="s">
        <v>1942</v>
      </c>
    </row>
    <row r="748" spans="1:2" ht="15">
      <c r="A748" s="90" t="s">
        <v>1932</v>
      </c>
      <c r="B748" s="89" t="s">
        <v>1942</v>
      </c>
    </row>
    <row r="749" spans="1:2" ht="15">
      <c r="A749" s="90" t="s">
        <v>1933</v>
      </c>
      <c r="B749" s="89" t="s">
        <v>1943</v>
      </c>
    </row>
    <row r="750" spans="1:2" ht="15">
      <c r="A750" s="90" t="s">
        <v>1934</v>
      </c>
      <c r="B750" s="89" t="s">
        <v>1943</v>
      </c>
    </row>
    <row r="751" spans="1:2" ht="15">
      <c r="A751" s="90" t="s">
        <v>1935</v>
      </c>
      <c r="B751" s="89" t="s">
        <v>1944</v>
      </c>
    </row>
    <row r="752" spans="1:2" ht="15">
      <c r="A752" s="90" t="s">
        <v>1936</v>
      </c>
      <c r="B752" s="89" t="s">
        <v>1944</v>
      </c>
    </row>
    <row r="753" spans="1:2" ht="15">
      <c r="A753" s="90" t="s">
        <v>1937</v>
      </c>
      <c r="B753" s="89" t="s">
        <v>1944</v>
      </c>
    </row>
    <row r="754" spans="1:2" ht="15">
      <c r="A754" s="90" t="s">
        <v>1938</v>
      </c>
      <c r="B754" s="89" t="s">
        <v>1945</v>
      </c>
    </row>
    <row r="755" spans="1:2" ht="15">
      <c r="A755" s="90" t="s">
        <v>1939</v>
      </c>
      <c r="B755" s="89" t="s">
        <v>1945</v>
      </c>
    </row>
    <row r="756" spans="1:2" ht="15">
      <c r="A756" s="90" t="s">
        <v>1940</v>
      </c>
      <c r="B756" s="89" t="s">
        <v>1945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0E4F1-89BA-4D03-BEE3-EBF695D74ED0}">
  <dimension ref="A1:C1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1946</v>
      </c>
      <c r="B2" s="114" t="s">
        <v>1947</v>
      </c>
      <c r="C2" s="54" t="s">
        <v>1948</v>
      </c>
    </row>
    <row r="3" spans="1:3" ht="15">
      <c r="A3" s="113" t="s">
        <v>909</v>
      </c>
      <c r="B3" s="113" t="s">
        <v>909</v>
      </c>
      <c r="C3" s="35">
        <v>120</v>
      </c>
    </row>
    <row r="4" spans="1:3" ht="15">
      <c r="A4" s="113" t="s">
        <v>909</v>
      </c>
      <c r="B4" s="131" t="s">
        <v>911</v>
      </c>
      <c r="C4" s="35">
        <v>49</v>
      </c>
    </row>
    <row r="5" spans="1:3" ht="15">
      <c r="A5" s="113" t="s">
        <v>910</v>
      </c>
      <c r="B5" s="131" t="s">
        <v>909</v>
      </c>
      <c r="C5" s="35">
        <v>26</v>
      </c>
    </row>
    <row r="6" spans="1:3" ht="15">
      <c r="A6" s="113" t="s">
        <v>910</v>
      </c>
      <c r="B6" s="131" t="s">
        <v>910</v>
      </c>
      <c r="C6" s="35">
        <v>71</v>
      </c>
    </row>
    <row r="7" spans="1:3" ht="15">
      <c r="A7" s="113" t="s">
        <v>910</v>
      </c>
      <c r="B7" s="131" t="s">
        <v>911</v>
      </c>
      <c r="C7" s="35">
        <v>44</v>
      </c>
    </row>
    <row r="8" spans="1:3" ht="15">
      <c r="A8" s="113" t="s">
        <v>911</v>
      </c>
      <c r="B8" s="131" t="s">
        <v>909</v>
      </c>
      <c r="C8" s="35">
        <v>15</v>
      </c>
    </row>
    <row r="9" spans="1:3" ht="15">
      <c r="A9" s="113" t="s">
        <v>911</v>
      </c>
      <c r="B9" s="131" t="s">
        <v>910</v>
      </c>
      <c r="C9" s="35">
        <v>10</v>
      </c>
    </row>
    <row r="10" spans="1:3" ht="15">
      <c r="A10" s="113" t="s">
        <v>911</v>
      </c>
      <c r="B10" s="131" t="s">
        <v>911</v>
      </c>
      <c r="C10" s="35">
        <v>28</v>
      </c>
    </row>
    <row r="11" spans="1:3" ht="15">
      <c r="A11" s="113" t="s">
        <v>912</v>
      </c>
      <c r="B11" s="131" t="s">
        <v>912</v>
      </c>
      <c r="C11" s="35">
        <v>6</v>
      </c>
    </row>
    <row r="12" spans="1:3" ht="15">
      <c r="A12" s="113" t="s">
        <v>2361</v>
      </c>
      <c r="B12" s="131" t="s">
        <v>2361</v>
      </c>
      <c r="C12" s="35">
        <v>2</v>
      </c>
    </row>
    <row r="13" spans="1:3" ht="15">
      <c r="A13" s="132" t="s">
        <v>2362</v>
      </c>
      <c r="B13" s="131" t="s">
        <v>2362</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2BC6-7A28-4458-BEB8-4AEAE573C19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1968</v>
      </c>
      <c r="B1" s="13" t="s">
        <v>17</v>
      </c>
    </row>
    <row r="2" spans="1:2" ht="15">
      <c r="A2" s="89" t="s">
        <v>1969</v>
      </c>
      <c r="B2" s="89" t="s">
        <v>1975</v>
      </c>
    </row>
    <row r="3" spans="1:2" ht="15">
      <c r="A3" s="90" t="s">
        <v>1970</v>
      </c>
      <c r="B3" s="89" t="s">
        <v>1976</v>
      </c>
    </row>
    <row r="4" spans="1:2" ht="15">
      <c r="A4" s="90" t="s">
        <v>1971</v>
      </c>
      <c r="B4" s="89" t="s">
        <v>1977</v>
      </c>
    </row>
    <row r="5" spans="1:2" ht="15">
      <c r="A5" s="90" t="s">
        <v>1972</v>
      </c>
      <c r="B5" s="89" t="s">
        <v>1976</v>
      </c>
    </row>
    <row r="6" spans="1:2" ht="15">
      <c r="A6" s="90" t="s">
        <v>1973</v>
      </c>
      <c r="B6" s="89" t="s">
        <v>1978</v>
      </c>
    </row>
    <row r="7" spans="1:2" ht="15">
      <c r="A7" s="90" t="s">
        <v>1974</v>
      </c>
      <c r="B7" s="89" t="s">
        <v>1976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15DD-CB07-472C-A386-81DD95C78B0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1979</v>
      </c>
      <c r="B1" s="13" t="s">
        <v>34</v>
      </c>
    </row>
    <row r="2" spans="1:2" ht="15">
      <c r="A2" s="106" t="s">
        <v>293</v>
      </c>
      <c r="B2" s="89">
        <v>4265.537784</v>
      </c>
    </row>
    <row r="3" spans="1:2" ht="15">
      <c r="A3" s="109" t="s">
        <v>299</v>
      </c>
      <c r="B3" s="89">
        <v>2114.323437</v>
      </c>
    </row>
    <row r="4" spans="1:2" ht="15">
      <c r="A4" s="109" t="s">
        <v>302</v>
      </c>
      <c r="B4" s="89">
        <v>1650.122602</v>
      </c>
    </row>
    <row r="5" spans="1:2" ht="15">
      <c r="A5" s="109" t="s">
        <v>2137</v>
      </c>
      <c r="B5" s="89">
        <v>366</v>
      </c>
    </row>
    <row r="6" spans="1:2" ht="15">
      <c r="A6" s="109" t="s">
        <v>290</v>
      </c>
      <c r="B6" s="89">
        <v>180.968888</v>
      </c>
    </row>
    <row r="7" spans="1:2" ht="15">
      <c r="A7" s="109" t="s">
        <v>289</v>
      </c>
      <c r="B7" s="89">
        <v>85.381169</v>
      </c>
    </row>
    <row r="8" spans="1:2" ht="15">
      <c r="A8" s="109" t="s">
        <v>295</v>
      </c>
      <c r="B8" s="89">
        <v>57.485786</v>
      </c>
    </row>
    <row r="9" spans="1:2" ht="15">
      <c r="A9" s="109" t="s">
        <v>260</v>
      </c>
      <c r="B9" s="89">
        <v>50.81912</v>
      </c>
    </row>
    <row r="10" spans="1:2" ht="15">
      <c r="A10" s="109" t="s">
        <v>250</v>
      </c>
      <c r="B10" s="89">
        <v>37.100778</v>
      </c>
    </row>
    <row r="11" spans="1:2" ht="15">
      <c r="A11" s="109" t="s">
        <v>252</v>
      </c>
      <c r="B11" s="89">
        <v>37.100778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274E2-51DF-4E97-BA0D-1741C1D4BFF8}">
  <dimension ref="A1:N8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1980</v>
      </c>
      <c r="B1" s="13" t="s">
        <v>1990</v>
      </c>
      <c r="C1" s="13" t="s">
        <v>1991</v>
      </c>
      <c r="D1" s="13" t="s">
        <v>1993</v>
      </c>
      <c r="E1" s="13" t="s">
        <v>1992</v>
      </c>
      <c r="F1" s="13" t="s">
        <v>1995</v>
      </c>
      <c r="G1" s="13" t="s">
        <v>1994</v>
      </c>
      <c r="H1" s="13" t="s">
        <v>1997</v>
      </c>
      <c r="I1" s="13" t="s">
        <v>1996</v>
      </c>
      <c r="J1" s="13" t="s">
        <v>1999</v>
      </c>
      <c r="K1" s="13" t="s">
        <v>1998</v>
      </c>
      <c r="L1" s="13" t="s">
        <v>2489</v>
      </c>
      <c r="M1" s="13" t="s">
        <v>2488</v>
      </c>
      <c r="N1" s="13" t="s">
        <v>2490</v>
      </c>
    </row>
    <row r="2" spans="1:14" ht="15">
      <c r="A2" s="95" t="s">
        <v>1981</v>
      </c>
      <c r="B2" s="89">
        <v>71</v>
      </c>
      <c r="C2" s="95" t="s">
        <v>1981</v>
      </c>
      <c r="D2" s="89">
        <v>45</v>
      </c>
      <c r="E2" s="95" t="s">
        <v>1981</v>
      </c>
      <c r="F2" s="89">
        <v>9</v>
      </c>
      <c r="G2" s="95" t="s">
        <v>1981</v>
      </c>
      <c r="H2" s="89">
        <v>13</v>
      </c>
      <c r="I2" s="95" t="s">
        <v>1983</v>
      </c>
      <c r="J2" s="89">
        <v>2</v>
      </c>
      <c r="K2" s="95" t="s">
        <v>1981</v>
      </c>
      <c r="L2" s="89">
        <v>2</v>
      </c>
      <c r="M2" s="95" t="s">
        <v>2484</v>
      </c>
      <c r="N2" s="89">
        <v>2</v>
      </c>
    </row>
    <row r="3" spans="1:14" ht="15">
      <c r="A3" s="96" t="s">
        <v>1982</v>
      </c>
      <c r="B3" s="89">
        <v>21</v>
      </c>
      <c r="C3" s="95" t="s">
        <v>1982</v>
      </c>
      <c r="D3" s="89">
        <v>14</v>
      </c>
      <c r="E3" s="95" t="s">
        <v>2482</v>
      </c>
      <c r="F3" s="89">
        <v>9</v>
      </c>
      <c r="G3" s="95" t="s">
        <v>2485</v>
      </c>
      <c r="H3" s="89">
        <v>4</v>
      </c>
      <c r="I3" s="95" t="s">
        <v>1981</v>
      </c>
      <c r="J3" s="89">
        <v>2</v>
      </c>
      <c r="K3" s="95" t="s">
        <v>1982</v>
      </c>
      <c r="L3" s="89">
        <v>2</v>
      </c>
      <c r="M3" s="89"/>
      <c r="N3" s="89"/>
    </row>
    <row r="4" spans="1:14" ht="15">
      <c r="A4" s="96" t="s">
        <v>2482</v>
      </c>
      <c r="B4" s="89">
        <v>10</v>
      </c>
      <c r="C4" s="89"/>
      <c r="D4" s="89"/>
      <c r="E4" s="95" t="s">
        <v>2483</v>
      </c>
      <c r="F4" s="89">
        <v>7</v>
      </c>
      <c r="G4" s="95" t="s">
        <v>2486</v>
      </c>
      <c r="H4" s="89">
        <v>4</v>
      </c>
      <c r="I4" s="95" t="s">
        <v>2484</v>
      </c>
      <c r="J4" s="89">
        <v>2</v>
      </c>
      <c r="K4" s="89"/>
      <c r="L4" s="89"/>
      <c r="M4" s="89"/>
      <c r="N4" s="89"/>
    </row>
    <row r="5" spans="1:14" ht="15">
      <c r="A5" s="96" t="s">
        <v>2483</v>
      </c>
      <c r="B5" s="89">
        <v>8</v>
      </c>
      <c r="C5" s="89"/>
      <c r="D5" s="89"/>
      <c r="E5" s="95" t="s">
        <v>1984</v>
      </c>
      <c r="F5" s="89">
        <v>4</v>
      </c>
      <c r="G5" s="95" t="s">
        <v>1983</v>
      </c>
      <c r="H5" s="89">
        <v>3</v>
      </c>
      <c r="I5" s="95" t="s">
        <v>2487</v>
      </c>
      <c r="J5" s="89">
        <v>1</v>
      </c>
      <c r="K5" s="89"/>
      <c r="L5" s="89"/>
      <c r="M5" s="89"/>
      <c r="N5" s="89"/>
    </row>
    <row r="6" spans="1:14" ht="15">
      <c r="A6" s="96" t="s">
        <v>2484</v>
      </c>
      <c r="B6" s="89">
        <v>8</v>
      </c>
      <c r="C6" s="89"/>
      <c r="D6" s="89"/>
      <c r="E6" s="95" t="s">
        <v>1985</v>
      </c>
      <c r="F6" s="89">
        <v>4</v>
      </c>
      <c r="G6" s="95" t="s">
        <v>1982</v>
      </c>
      <c r="H6" s="89">
        <v>2</v>
      </c>
      <c r="I6" s="89"/>
      <c r="J6" s="89"/>
      <c r="K6" s="89"/>
      <c r="L6" s="89"/>
      <c r="M6" s="89"/>
      <c r="N6" s="89"/>
    </row>
    <row r="7" spans="1:14" ht="15">
      <c r="A7" s="96" t="s">
        <v>1983</v>
      </c>
      <c r="B7" s="89">
        <v>6</v>
      </c>
      <c r="C7" s="89"/>
      <c r="D7" s="89"/>
      <c r="E7" s="95" t="s">
        <v>1982</v>
      </c>
      <c r="F7" s="89">
        <v>3</v>
      </c>
      <c r="G7" s="95" t="s">
        <v>1989</v>
      </c>
      <c r="H7" s="89">
        <v>1</v>
      </c>
      <c r="I7" s="89"/>
      <c r="J7" s="89"/>
      <c r="K7" s="89"/>
      <c r="L7" s="89"/>
      <c r="M7" s="89"/>
      <c r="N7" s="89"/>
    </row>
    <row r="8" spans="1:14" ht="15">
      <c r="A8" s="96" t="s">
        <v>2485</v>
      </c>
      <c r="B8" s="89">
        <v>5</v>
      </c>
      <c r="C8" s="89"/>
      <c r="D8" s="89"/>
      <c r="E8" s="95" t="s">
        <v>2484</v>
      </c>
      <c r="F8" s="89">
        <v>3</v>
      </c>
      <c r="G8" s="95" t="s">
        <v>1986</v>
      </c>
      <c r="H8" s="89">
        <v>1</v>
      </c>
      <c r="I8" s="89"/>
      <c r="J8" s="89"/>
      <c r="K8" s="89"/>
      <c r="L8" s="89"/>
      <c r="M8" s="89"/>
      <c r="N8" s="89"/>
    </row>
    <row r="9" spans="1:14" ht="15">
      <c r="A9" s="96" t="s">
        <v>2486</v>
      </c>
      <c r="B9" s="89">
        <v>5</v>
      </c>
      <c r="C9" s="89"/>
      <c r="D9" s="89"/>
      <c r="E9" s="95" t="s">
        <v>1983</v>
      </c>
      <c r="F9" s="89">
        <v>1</v>
      </c>
      <c r="G9" s="95" t="s">
        <v>1988</v>
      </c>
      <c r="H9" s="89">
        <v>1</v>
      </c>
      <c r="I9" s="89"/>
      <c r="J9" s="89"/>
      <c r="K9" s="89"/>
      <c r="L9" s="89"/>
      <c r="M9" s="89"/>
      <c r="N9" s="89"/>
    </row>
    <row r="10" spans="1:14" ht="15">
      <c r="A10" s="96" t="s">
        <v>1984</v>
      </c>
      <c r="B10" s="89">
        <v>4</v>
      </c>
      <c r="C10" s="89"/>
      <c r="D10" s="89"/>
      <c r="E10" s="95" t="s">
        <v>2485</v>
      </c>
      <c r="F10" s="89">
        <v>1</v>
      </c>
      <c r="G10" s="95" t="s">
        <v>1987</v>
      </c>
      <c r="H10" s="89">
        <v>1</v>
      </c>
      <c r="I10" s="89"/>
      <c r="J10" s="89"/>
      <c r="K10" s="89"/>
      <c r="L10" s="89"/>
      <c r="M10" s="89"/>
      <c r="N10" s="89"/>
    </row>
    <row r="11" spans="1:14" ht="15">
      <c r="A11" s="96" t="s">
        <v>1985</v>
      </c>
      <c r="B11" s="89">
        <v>4</v>
      </c>
      <c r="C11" s="89"/>
      <c r="D11" s="89"/>
      <c r="E11" s="95" t="s">
        <v>2486</v>
      </c>
      <c r="F11" s="89">
        <v>1</v>
      </c>
      <c r="G11" s="95" t="s">
        <v>2483</v>
      </c>
      <c r="H11" s="89">
        <v>1</v>
      </c>
      <c r="I11" s="89"/>
      <c r="J11" s="89"/>
      <c r="K11" s="89"/>
      <c r="L11" s="89"/>
      <c r="M11" s="89"/>
      <c r="N11" s="89"/>
    </row>
    <row r="14" spans="1:14" ht="14.4" customHeight="1">
      <c r="A14" s="13" t="s">
        <v>2001</v>
      </c>
      <c r="B14" s="13" t="s">
        <v>1990</v>
      </c>
      <c r="C14" s="13" t="s">
        <v>2003</v>
      </c>
      <c r="D14" s="13" t="s">
        <v>1993</v>
      </c>
      <c r="E14" s="13" t="s">
        <v>2004</v>
      </c>
      <c r="F14" s="13" t="s">
        <v>1995</v>
      </c>
      <c r="G14" s="13" t="s">
        <v>2005</v>
      </c>
      <c r="H14" s="13" t="s">
        <v>1997</v>
      </c>
      <c r="I14" s="13" t="s">
        <v>2006</v>
      </c>
      <c r="J14" s="13" t="s">
        <v>1999</v>
      </c>
      <c r="K14" s="13" t="s">
        <v>2007</v>
      </c>
      <c r="L14" s="13" t="s">
        <v>2489</v>
      </c>
      <c r="M14" s="13" t="s">
        <v>2495</v>
      </c>
      <c r="N14" s="13" t="s">
        <v>2490</v>
      </c>
    </row>
    <row r="15" spans="1:14" ht="15">
      <c r="A15" s="89" t="s">
        <v>334</v>
      </c>
      <c r="B15" s="89">
        <v>89</v>
      </c>
      <c r="C15" s="89" t="s">
        <v>334</v>
      </c>
      <c r="D15" s="89">
        <v>45</v>
      </c>
      <c r="E15" s="89" t="s">
        <v>334</v>
      </c>
      <c r="F15" s="89">
        <v>25</v>
      </c>
      <c r="G15" s="89" t="s">
        <v>334</v>
      </c>
      <c r="H15" s="89">
        <v>15</v>
      </c>
      <c r="I15" s="89" t="s">
        <v>333</v>
      </c>
      <c r="J15" s="89">
        <v>3</v>
      </c>
      <c r="K15" s="89" t="s">
        <v>334</v>
      </c>
      <c r="L15" s="89">
        <v>2</v>
      </c>
      <c r="M15" s="89" t="s">
        <v>2153</v>
      </c>
      <c r="N15" s="89">
        <v>2</v>
      </c>
    </row>
    <row r="16" spans="1:14" ht="15">
      <c r="A16" s="90" t="s">
        <v>333</v>
      </c>
      <c r="B16" s="89">
        <v>36</v>
      </c>
      <c r="C16" s="89" t="s">
        <v>333</v>
      </c>
      <c r="D16" s="89">
        <v>14</v>
      </c>
      <c r="E16" s="89" t="s">
        <v>333</v>
      </c>
      <c r="F16" s="89">
        <v>8</v>
      </c>
      <c r="G16" s="89" t="s">
        <v>333</v>
      </c>
      <c r="H16" s="89">
        <v>9</v>
      </c>
      <c r="I16" s="89" t="s">
        <v>334</v>
      </c>
      <c r="J16" s="89">
        <v>2</v>
      </c>
      <c r="K16" s="89" t="s">
        <v>333</v>
      </c>
      <c r="L16" s="89">
        <v>2</v>
      </c>
      <c r="M16" s="89"/>
      <c r="N16" s="89"/>
    </row>
    <row r="17" spans="1:14" ht="15">
      <c r="A17" s="90" t="s">
        <v>2494</v>
      </c>
      <c r="B17" s="89">
        <v>10</v>
      </c>
      <c r="C17" s="89"/>
      <c r="D17" s="89"/>
      <c r="E17" s="89" t="s">
        <v>2002</v>
      </c>
      <c r="F17" s="89">
        <v>4</v>
      </c>
      <c r="G17" s="89" t="s">
        <v>2494</v>
      </c>
      <c r="H17" s="89">
        <v>8</v>
      </c>
      <c r="I17" s="89" t="s">
        <v>2153</v>
      </c>
      <c r="J17" s="89">
        <v>2</v>
      </c>
      <c r="K17" s="89"/>
      <c r="L17" s="89"/>
      <c r="M17" s="89"/>
      <c r="N17" s="89"/>
    </row>
    <row r="18" spans="1:14" ht="15">
      <c r="A18" s="90" t="s">
        <v>2153</v>
      </c>
      <c r="B18" s="89">
        <v>8</v>
      </c>
      <c r="C18" s="89"/>
      <c r="D18" s="89"/>
      <c r="E18" s="89" t="s">
        <v>2153</v>
      </c>
      <c r="F18" s="89">
        <v>3</v>
      </c>
      <c r="G18" s="89" t="s">
        <v>337</v>
      </c>
      <c r="H18" s="89">
        <v>1</v>
      </c>
      <c r="I18" s="89"/>
      <c r="J18" s="89"/>
      <c r="K18" s="89"/>
      <c r="L18" s="89"/>
      <c r="M18" s="89"/>
      <c r="N18" s="89"/>
    </row>
    <row r="19" spans="1:14" ht="15">
      <c r="A19" s="90" t="s">
        <v>2002</v>
      </c>
      <c r="B19" s="89">
        <v>4</v>
      </c>
      <c r="C19" s="89"/>
      <c r="D19" s="89"/>
      <c r="E19" s="89" t="s">
        <v>2494</v>
      </c>
      <c r="F19" s="89">
        <v>2</v>
      </c>
      <c r="G19" s="89" t="s">
        <v>2153</v>
      </c>
      <c r="H19" s="89">
        <v>1</v>
      </c>
      <c r="I19" s="89"/>
      <c r="J19" s="89"/>
      <c r="K19" s="89"/>
      <c r="L19" s="89"/>
      <c r="M19" s="89"/>
      <c r="N19" s="89"/>
    </row>
    <row r="20" spans="1:14" ht="15">
      <c r="A20" s="90" t="s">
        <v>337</v>
      </c>
      <c r="B20" s="89">
        <v>2</v>
      </c>
      <c r="C20" s="89"/>
      <c r="D20" s="89"/>
      <c r="E20" s="89" t="s">
        <v>337</v>
      </c>
      <c r="F20" s="89">
        <v>1</v>
      </c>
      <c r="G20" s="89"/>
      <c r="H20" s="89"/>
      <c r="I20" s="89"/>
      <c r="J20" s="89"/>
      <c r="K20" s="89"/>
      <c r="L20" s="89"/>
      <c r="M20" s="89"/>
      <c r="N20" s="89"/>
    </row>
    <row r="21" ht="14.4" customHeight="1"/>
    <row r="23" spans="1:14" ht="14.4" customHeight="1">
      <c r="A23" s="13" t="s">
        <v>2009</v>
      </c>
      <c r="B23" s="13" t="s">
        <v>1990</v>
      </c>
      <c r="C23" s="13" t="s">
        <v>2012</v>
      </c>
      <c r="D23" s="13" t="s">
        <v>1993</v>
      </c>
      <c r="E23" s="13" t="s">
        <v>2013</v>
      </c>
      <c r="F23" s="13" t="s">
        <v>1995</v>
      </c>
      <c r="G23" s="13" t="s">
        <v>2014</v>
      </c>
      <c r="H23" s="13" t="s">
        <v>1997</v>
      </c>
      <c r="I23" s="13" t="s">
        <v>2015</v>
      </c>
      <c r="J23" s="13" t="s">
        <v>1999</v>
      </c>
      <c r="K23" s="13" t="s">
        <v>2016</v>
      </c>
      <c r="L23" s="13" t="s">
        <v>2489</v>
      </c>
      <c r="M23" s="89" t="s">
        <v>2499</v>
      </c>
      <c r="N23" s="89" t="s">
        <v>2490</v>
      </c>
    </row>
    <row r="24" spans="1:14" ht="15">
      <c r="A24" s="89" t="s">
        <v>338</v>
      </c>
      <c r="B24" s="89">
        <v>94</v>
      </c>
      <c r="C24" s="89" t="s">
        <v>338</v>
      </c>
      <c r="D24" s="89">
        <v>52</v>
      </c>
      <c r="E24" s="89" t="s">
        <v>338</v>
      </c>
      <c r="F24" s="89">
        <v>21</v>
      </c>
      <c r="G24" s="89" t="s">
        <v>338</v>
      </c>
      <c r="H24" s="89">
        <v>19</v>
      </c>
      <c r="I24" s="89" t="s">
        <v>338</v>
      </c>
      <c r="J24" s="89">
        <v>2</v>
      </c>
      <c r="K24" s="89" t="s">
        <v>930</v>
      </c>
      <c r="L24" s="89">
        <v>2</v>
      </c>
      <c r="M24" s="89"/>
      <c r="N24" s="89"/>
    </row>
    <row r="25" spans="1:14" ht="15">
      <c r="A25" s="90" t="s">
        <v>1127</v>
      </c>
      <c r="B25" s="89">
        <v>6</v>
      </c>
      <c r="C25" s="89" t="s">
        <v>2010</v>
      </c>
      <c r="D25" s="89">
        <v>4</v>
      </c>
      <c r="E25" s="89" t="s">
        <v>1127</v>
      </c>
      <c r="F25" s="89">
        <v>5</v>
      </c>
      <c r="G25" s="89" t="s">
        <v>966</v>
      </c>
      <c r="H25" s="89">
        <v>1</v>
      </c>
      <c r="I25" s="89" t="s">
        <v>1162</v>
      </c>
      <c r="J25" s="89">
        <v>1</v>
      </c>
      <c r="K25" s="89" t="s">
        <v>991</v>
      </c>
      <c r="L25" s="89">
        <v>2</v>
      </c>
      <c r="M25" s="89"/>
      <c r="N25" s="89"/>
    </row>
    <row r="26" spans="1:14" ht="15">
      <c r="A26" s="90" t="s">
        <v>2010</v>
      </c>
      <c r="B26" s="89">
        <v>6</v>
      </c>
      <c r="C26" s="89" t="s">
        <v>966</v>
      </c>
      <c r="D26" s="89">
        <v>2</v>
      </c>
      <c r="E26" s="89" t="s">
        <v>971</v>
      </c>
      <c r="F26" s="89">
        <v>4</v>
      </c>
      <c r="G26" s="89" t="s">
        <v>1127</v>
      </c>
      <c r="H26" s="89">
        <v>1</v>
      </c>
      <c r="I26" s="89"/>
      <c r="J26" s="89"/>
      <c r="K26" s="89" t="s">
        <v>2010</v>
      </c>
      <c r="L26" s="89">
        <v>2</v>
      </c>
      <c r="M26" s="89"/>
      <c r="N26" s="89"/>
    </row>
    <row r="27" spans="1:14" ht="15">
      <c r="A27" s="90" t="s">
        <v>971</v>
      </c>
      <c r="B27" s="89">
        <v>4</v>
      </c>
      <c r="C27" s="89" t="s">
        <v>1179</v>
      </c>
      <c r="D27" s="89">
        <v>1</v>
      </c>
      <c r="E27" s="89" t="s">
        <v>2011</v>
      </c>
      <c r="F27" s="89">
        <v>2</v>
      </c>
      <c r="G27" s="89"/>
      <c r="H27" s="89"/>
      <c r="I27" s="89"/>
      <c r="J27" s="89"/>
      <c r="K27" s="89"/>
      <c r="L27" s="89"/>
      <c r="M27" s="89"/>
      <c r="N27" s="89"/>
    </row>
    <row r="28" spans="1:14" ht="15">
      <c r="A28" s="90" t="s">
        <v>930</v>
      </c>
      <c r="B28" s="89">
        <v>3</v>
      </c>
      <c r="C28" s="89" t="s">
        <v>1028</v>
      </c>
      <c r="D28" s="89">
        <v>1</v>
      </c>
      <c r="E28" s="89"/>
      <c r="F28" s="89"/>
      <c r="G28" s="89"/>
      <c r="H28" s="89"/>
      <c r="I28" s="89"/>
      <c r="J28" s="89"/>
      <c r="K28" s="89"/>
      <c r="L28" s="89"/>
      <c r="M28" s="89"/>
      <c r="N28" s="89"/>
    </row>
    <row r="29" spans="1:14" ht="15">
      <c r="A29" s="90" t="s">
        <v>966</v>
      </c>
      <c r="B29" s="89">
        <v>3</v>
      </c>
      <c r="C29" s="89" t="s">
        <v>930</v>
      </c>
      <c r="D29" s="89">
        <v>1</v>
      </c>
      <c r="E29" s="89"/>
      <c r="F29" s="89"/>
      <c r="G29" s="89"/>
      <c r="H29" s="89"/>
      <c r="I29" s="89"/>
      <c r="J29" s="89"/>
      <c r="K29" s="89"/>
      <c r="L29" s="89"/>
      <c r="M29" s="89"/>
      <c r="N29" s="89"/>
    </row>
    <row r="30" spans="1:14" ht="15">
      <c r="A30" s="90" t="s">
        <v>2011</v>
      </c>
      <c r="B30" s="89">
        <v>2</v>
      </c>
      <c r="C30" s="89"/>
      <c r="D30" s="89"/>
      <c r="E30" s="89"/>
      <c r="F30" s="89"/>
      <c r="G30" s="89"/>
      <c r="H30" s="89"/>
      <c r="I30" s="89"/>
      <c r="J30" s="89"/>
      <c r="K30" s="89"/>
      <c r="L30" s="89"/>
      <c r="M30" s="89"/>
      <c r="N30" s="89"/>
    </row>
    <row r="31" spans="1:14" ht="15">
      <c r="A31" s="90" t="s">
        <v>991</v>
      </c>
      <c r="B31" s="89">
        <v>2</v>
      </c>
      <c r="C31" s="89"/>
      <c r="D31" s="89"/>
      <c r="E31" s="89"/>
      <c r="F31" s="89"/>
      <c r="G31" s="89"/>
      <c r="H31" s="89"/>
      <c r="I31" s="89"/>
      <c r="J31" s="89"/>
      <c r="K31" s="89"/>
      <c r="L31" s="89"/>
      <c r="M31" s="89"/>
      <c r="N31" s="89"/>
    </row>
    <row r="32" spans="1:14" ht="15">
      <c r="A32" s="90" t="s">
        <v>1162</v>
      </c>
      <c r="B32" s="89">
        <v>1</v>
      </c>
      <c r="C32" s="89"/>
      <c r="D32" s="89"/>
      <c r="E32" s="89"/>
      <c r="F32" s="89"/>
      <c r="G32" s="89"/>
      <c r="H32" s="89"/>
      <c r="I32" s="89"/>
      <c r="J32" s="89"/>
      <c r="K32" s="89"/>
      <c r="L32" s="89"/>
      <c r="M32" s="89"/>
      <c r="N32" s="89"/>
    </row>
    <row r="33" spans="1:14" ht="15">
      <c r="A33" s="90" t="s">
        <v>1179</v>
      </c>
      <c r="B33" s="89">
        <v>1</v>
      </c>
      <c r="C33" s="89"/>
      <c r="D33" s="89"/>
      <c r="E33" s="89"/>
      <c r="F33" s="89"/>
      <c r="G33" s="89"/>
      <c r="H33" s="89"/>
      <c r="I33" s="89"/>
      <c r="J33" s="89"/>
      <c r="K33" s="89"/>
      <c r="L33" s="89"/>
      <c r="M33" s="89"/>
      <c r="N33" s="89"/>
    </row>
    <row r="34" ht="14.4" customHeight="1"/>
    <row r="36" spans="1:14" ht="14.4" customHeight="1">
      <c r="A36" s="13" t="s">
        <v>2020</v>
      </c>
      <c r="B36" s="13" t="s">
        <v>1990</v>
      </c>
      <c r="C36" s="13" t="s">
        <v>2021</v>
      </c>
      <c r="D36" s="13" t="s">
        <v>1993</v>
      </c>
      <c r="E36" s="13" t="s">
        <v>2022</v>
      </c>
      <c r="F36" s="13" t="s">
        <v>1995</v>
      </c>
      <c r="G36" s="13" t="s">
        <v>2023</v>
      </c>
      <c r="H36" s="13" t="s">
        <v>1997</v>
      </c>
      <c r="I36" s="13" t="s">
        <v>2024</v>
      </c>
      <c r="J36" s="13" t="s">
        <v>1999</v>
      </c>
      <c r="K36" s="13" t="s">
        <v>2025</v>
      </c>
      <c r="L36" s="13" t="s">
        <v>2489</v>
      </c>
      <c r="M36" s="13" t="s">
        <v>2502</v>
      </c>
      <c r="N36" s="13" t="s">
        <v>2490</v>
      </c>
    </row>
    <row r="37" spans="1:14" ht="15">
      <c r="A37" s="98" t="s">
        <v>930</v>
      </c>
      <c r="B37" s="98">
        <v>131</v>
      </c>
      <c r="C37" s="98" t="s">
        <v>930</v>
      </c>
      <c r="D37" s="98">
        <v>88</v>
      </c>
      <c r="E37" s="98" t="s">
        <v>293</v>
      </c>
      <c r="F37" s="98">
        <v>30</v>
      </c>
      <c r="G37" s="98" t="s">
        <v>932</v>
      </c>
      <c r="H37" s="98">
        <v>17</v>
      </c>
      <c r="I37" s="98" t="s">
        <v>930</v>
      </c>
      <c r="J37" s="98">
        <v>3</v>
      </c>
      <c r="K37" s="98" t="s">
        <v>2431</v>
      </c>
      <c r="L37" s="98">
        <v>2</v>
      </c>
      <c r="M37" s="98" t="s">
        <v>930</v>
      </c>
      <c r="N37" s="98">
        <v>2</v>
      </c>
    </row>
    <row r="38" spans="1:14" ht="15">
      <c r="A38" s="99" t="s">
        <v>931</v>
      </c>
      <c r="B38" s="98">
        <v>113</v>
      </c>
      <c r="C38" s="98" t="s">
        <v>931</v>
      </c>
      <c r="D38" s="98">
        <v>88</v>
      </c>
      <c r="E38" s="98" t="s">
        <v>930</v>
      </c>
      <c r="F38" s="98">
        <v>23</v>
      </c>
      <c r="G38" s="98" t="s">
        <v>934</v>
      </c>
      <c r="H38" s="98">
        <v>17</v>
      </c>
      <c r="I38" s="98" t="s">
        <v>933</v>
      </c>
      <c r="J38" s="98">
        <v>2</v>
      </c>
      <c r="K38" s="98" t="s">
        <v>2432</v>
      </c>
      <c r="L38" s="98">
        <v>2</v>
      </c>
      <c r="M38" s="98" t="s">
        <v>933</v>
      </c>
      <c r="N38" s="98">
        <v>2</v>
      </c>
    </row>
    <row r="39" spans="1:14" ht="15">
      <c r="A39" s="99" t="s">
        <v>932</v>
      </c>
      <c r="B39" s="98">
        <v>91</v>
      </c>
      <c r="C39" s="98" t="s">
        <v>299</v>
      </c>
      <c r="D39" s="98">
        <v>57</v>
      </c>
      <c r="E39" s="98" t="s">
        <v>295</v>
      </c>
      <c r="F39" s="98">
        <v>20</v>
      </c>
      <c r="G39" s="98" t="s">
        <v>930</v>
      </c>
      <c r="H39" s="98">
        <v>15</v>
      </c>
      <c r="I39" s="98" t="s">
        <v>932</v>
      </c>
      <c r="J39" s="98">
        <v>2</v>
      </c>
      <c r="K39" s="98" t="s">
        <v>2433</v>
      </c>
      <c r="L39" s="98">
        <v>2</v>
      </c>
      <c r="M39" s="98" t="s">
        <v>966</v>
      </c>
      <c r="N39" s="98">
        <v>2</v>
      </c>
    </row>
    <row r="40" spans="1:14" ht="15">
      <c r="A40" s="99" t="s">
        <v>299</v>
      </c>
      <c r="B40" s="98">
        <v>80</v>
      </c>
      <c r="C40" s="98" t="s">
        <v>302</v>
      </c>
      <c r="D40" s="98">
        <v>56</v>
      </c>
      <c r="E40" s="98" t="s">
        <v>932</v>
      </c>
      <c r="F40" s="98">
        <v>20</v>
      </c>
      <c r="G40" s="98" t="s">
        <v>945</v>
      </c>
      <c r="H40" s="98">
        <v>12</v>
      </c>
      <c r="I40" s="98" t="s">
        <v>966</v>
      </c>
      <c r="J40" s="98">
        <v>2</v>
      </c>
      <c r="K40" s="98" t="s">
        <v>2429</v>
      </c>
      <c r="L40" s="98">
        <v>2</v>
      </c>
      <c r="M40" s="98" t="s">
        <v>948</v>
      </c>
      <c r="N40" s="98">
        <v>2</v>
      </c>
    </row>
    <row r="41" spans="1:14" ht="15">
      <c r="A41" s="99" t="s">
        <v>933</v>
      </c>
      <c r="B41" s="98">
        <v>76</v>
      </c>
      <c r="C41" s="98" t="s">
        <v>932</v>
      </c>
      <c r="D41" s="98">
        <v>52</v>
      </c>
      <c r="E41" s="98" t="s">
        <v>260</v>
      </c>
      <c r="F41" s="98">
        <v>17</v>
      </c>
      <c r="G41" s="98" t="s">
        <v>933</v>
      </c>
      <c r="H41" s="98">
        <v>12</v>
      </c>
      <c r="I41" s="98" t="s">
        <v>945</v>
      </c>
      <c r="J41" s="98">
        <v>2</v>
      </c>
      <c r="K41" s="98" t="s">
        <v>2434</v>
      </c>
      <c r="L41" s="98">
        <v>2</v>
      </c>
      <c r="M41" s="98" t="s">
        <v>959</v>
      </c>
      <c r="N41" s="98">
        <v>2</v>
      </c>
    </row>
    <row r="42" spans="1:14" ht="15">
      <c r="A42" s="99" t="s">
        <v>934</v>
      </c>
      <c r="B42" s="98">
        <v>72</v>
      </c>
      <c r="C42" s="98" t="s">
        <v>934</v>
      </c>
      <c r="D42" s="98">
        <v>45</v>
      </c>
      <c r="E42" s="98" t="s">
        <v>299</v>
      </c>
      <c r="F42" s="98">
        <v>16</v>
      </c>
      <c r="G42" s="98" t="s">
        <v>931</v>
      </c>
      <c r="H42" s="98">
        <v>10</v>
      </c>
      <c r="I42" s="98"/>
      <c r="J42" s="98"/>
      <c r="K42" s="98" t="s">
        <v>2435</v>
      </c>
      <c r="L42" s="98">
        <v>2</v>
      </c>
      <c r="M42" s="98" t="s">
        <v>960</v>
      </c>
      <c r="N42" s="98">
        <v>2</v>
      </c>
    </row>
    <row r="43" spans="1:14" ht="15">
      <c r="A43" s="99" t="s">
        <v>302</v>
      </c>
      <c r="B43" s="98">
        <v>71</v>
      </c>
      <c r="C43" s="98" t="s">
        <v>936</v>
      </c>
      <c r="D43" s="98">
        <v>45</v>
      </c>
      <c r="E43" s="98" t="s">
        <v>933</v>
      </c>
      <c r="F43" s="98">
        <v>15</v>
      </c>
      <c r="G43" s="98" t="s">
        <v>1027</v>
      </c>
      <c r="H43" s="98">
        <v>8</v>
      </c>
      <c r="I43" s="98"/>
      <c r="J43" s="98"/>
      <c r="K43" s="98" t="s">
        <v>931</v>
      </c>
      <c r="L43" s="98">
        <v>2</v>
      </c>
      <c r="M43" s="98" t="s">
        <v>961</v>
      </c>
      <c r="N43" s="98">
        <v>2</v>
      </c>
    </row>
    <row r="44" spans="1:14" ht="15">
      <c r="A44" s="99" t="s">
        <v>935</v>
      </c>
      <c r="B44" s="98">
        <v>60</v>
      </c>
      <c r="C44" s="98" t="s">
        <v>933</v>
      </c>
      <c r="D44" s="98">
        <v>45</v>
      </c>
      <c r="E44" s="98" t="s">
        <v>931</v>
      </c>
      <c r="F44" s="98">
        <v>13</v>
      </c>
      <c r="G44" s="98" t="s">
        <v>944</v>
      </c>
      <c r="H44" s="98">
        <v>8</v>
      </c>
      <c r="I44" s="98"/>
      <c r="J44" s="98"/>
      <c r="K44" s="98" t="s">
        <v>1206</v>
      </c>
      <c r="L44" s="98">
        <v>2</v>
      </c>
      <c r="M44" s="98" t="s">
        <v>962</v>
      </c>
      <c r="N44" s="98">
        <v>2</v>
      </c>
    </row>
    <row r="45" spans="1:14" ht="15">
      <c r="A45" s="99" t="s">
        <v>936</v>
      </c>
      <c r="B45" s="98">
        <v>56</v>
      </c>
      <c r="C45" s="98" t="s">
        <v>938</v>
      </c>
      <c r="D45" s="98">
        <v>44</v>
      </c>
      <c r="E45" s="98" t="s">
        <v>935</v>
      </c>
      <c r="F45" s="98">
        <v>12</v>
      </c>
      <c r="G45" s="98" t="s">
        <v>293</v>
      </c>
      <c r="H45" s="98">
        <v>8</v>
      </c>
      <c r="I45" s="98"/>
      <c r="J45" s="98"/>
      <c r="K45" s="98" t="s">
        <v>945</v>
      </c>
      <c r="L45" s="98">
        <v>2</v>
      </c>
      <c r="M45" s="98" t="s">
        <v>963</v>
      </c>
      <c r="N45" s="98">
        <v>2</v>
      </c>
    </row>
    <row r="46" spans="1:14" ht="15">
      <c r="A46" s="99" t="s">
        <v>937</v>
      </c>
      <c r="B46" s="98">
        <v>55</v>
      </c>
      <c r="C46" s="98" t="s">
        <v>935</v>
      </c>
      <c r="D46" s="98">
        <v>44</v>
      </c>
      <c r="E46" s="98" t="s">
        <v>996</v>
      </c>
      <c r="F46" s="98">
        <v>11</v>
      </c>
      <c r="G46" s="98" t="s">
        <v>996</v>
      </c>
      <c r="H46" s="98">
        <v>7</v>
      </c>
      <c r="I46" s="98"/>
      <c r="J46" s="98"/>
      <c r="K46" s="98" t="s">
        <v>980</v>
      </c>
      <c r="L46" s="98">
        <v>2</v>
      </c>
      <c r="M46" s="98" t="s">
        <v>964</v>
      </c>
      <c r="N46" s="98">
        <v>2</v>
      </c>
    </row>
    <row r="47" ht="14.4" customHeight="1"/>
    <row r="49" spans="1:14" ht="14.4" customHeight="1">
      <c r="A49" s="13" t="s">
        <v>2027</v>
      </c>
      <c r="B49" s="13" t="s">
        <v>1990</v>
      </c>
      <c r="C49" s="13" t="s">
        <v>2038</v>
      </c>
      <c r="D49" s="13" t="s">
        <v>1993</v>
      </c>
      <c r="E49" s="13" t="s">
        <v>2040</v>
      </c>
      <c r="F49" s="13" t="s">
        <v>1995</v>
      </c>
      <c r="G49" s="13" t="s">
        <v>2041</v>
      </c>
      <c r="H49" s="13" t="s">
        <v>1997</v>
      </c>
      <c r="I49" s="13" t="s">
        <v>2042</v>
      </c>
      <c r="J49" s="13" t="s">
        <v>1999</v>
      </c>
      <c r="K49" s="13" t="s">
        <v>2043</v>
      </c>
      <c r="L49" s="13" t="s">
        <v>2489</v>
      </c>
      <c r="M49" s="13" t="s">
        <v>2531</v>
      </c>
      <c r="N49" s="13" t="s">
        <v>2490</v>
      </c>
    </row>
    <row r="50" spans="1:14" ht="15">
      <c r="A50" s="98" t="s">
        <v>2028</v>
      </c>
      <c r="B50" s="98">
        <v>75</v>
      </c>
      <c r="C50" s="98" t="s">
        <v>2029</v>
      </c>
      <c r="D50" s="98">
        <v>56</v>
      </c>
      <c r="E50" s="98" t="s">
        <v>2509</v>
      </c>
      <c r="F50" s="98">
        <v>16</v>
      </c>
      <c r="G50" s="98" t="s">
        <v>2028</v>
      </c>
      <c r="H50" s="98">
        <v>11</v>
      </c>
      <c r="I50" s="98" t="s">
        <v>2028</v>
      </c>
      <c r="J50" s="98">
        <v>2</v>
      </c>
      <c r="K50" s="98" t="s">
        <v>2521</v>
      </c>
      <c r="L50" s="98">
        <v>2</v>
      </c>
      <c r="M50" s="98" t="s">
        <v>2028</v>
      </c>
      <c r="N50" s="98">
        <v>2</v>
      </c>
    </row>
    <row r="51" spans="1:14" ht="15">
      <c r="A51" s="99" t="s">
        <v>2029</v>
      </c>
      <c r="B51" s="98">
        <v>69</v>
      </c>
      <c r="C51" s="98" t="s">
        <v>2030</v>
      </c>
      <c r="D51" s="98">
        <v>47</v>
      </c>
      <c r="E51" s="98" t="s">
        <v>2028</v>
      </c>
      <c r="F51" s="98">
        <v>15</v>
      </c>
      <c r="G51" s="98" t="s">
        <v>2510</v>
      </c>
      <c r="H51" s="98">
        <v>7</v>
      </c>
      <c r="I51" s="98"/>
      <c r="J51" s="98"/>
      <c r="K51" s="98" t="s">
        <v>2522</v>
      </c>
      <c r="L51" s="98">
        <v>2</v>
      </c>
      <c r="M51" s="98" t="s">
        <v>2532</v>
      </c>
      <c r="N51" s="98">
        <v>2</v>
      </c>
    </row>
    <row r="52" spans="1:14" ht="15">
      <c r="A52" s="99" t="s">
        <v>2030</v>
      </c>
      <c r="B52" s="98">
        <v>58</v>
      </c>
      <c r="C52" s="98" t="s">
        <v>2031</v>
      </c>
      <c r="D52" s="98">
        <v>45</v>
      </c>
      <c r="E52" s="98" t="s">
        <v>2510</v>
      </c>
      <c r="F52" s="98">
        <v>11</v>
      </c>
      <c r="G52" s="98" t="s">
        <v>2511</v>
      </c>
      <c r="H52" s="98">
        <v>7</v>
      </c>
      <c r="I52" s="98"/>
      <c r="J52" s="98"/>
      <c r="K52" s="98" t="s">
        <v>2523</v>
      </c>
      <c r="L52" s="98">
        <v>2</v>
      </c>
      <c r="M52" s="98" t="s">
        <v>2533</v>
      </c>
      <c r="N52" s="98">
        <v>2</v>
      </c>
    </row>
    <row r="53" spans="1:14" ht="15">
      <c r="A53" s="99" t="s">
        <v>2031</v>
      </c>
      <c r="B53" s="98">
        <v>56</v>
      </c>
      <c r="C53" s="98" t="s">
        <v>2032</v>
      </c>
      <c r="D53" s="98">
        <v>45</v>
      </c>
      <c r="E53" s="98" t="s">
        <v>2511</v>
      </c>
      <c r="F53" s="98">
        <v>11</v>
      </c>
      <c r="G53" s="98" t="s">
        <v>2029</v>
      </c>
      <c r="H53" s="98">
        <v>6</v>
      </c>
      <c r="I53" s="98"/>
      <c r="J53" s="98"/>
      <c r="K53" s="98" t="s">
        <v>2524</v>
      </c>
      <c r="L53" s="98">
        <v>2</v>
      </c>
      <c r="M53" s="98" t="s">
        <v>2534</v>
      </c>
      <c r="N53" s="98">
        <v>2</v>
      </c>
    </row>
    <row r="54" spans="1:14" ht="15">
      <c r="A54" s="99" t="s">
        <v>2032</v>
      </c>
      <c r="B54" s="98">
        <v>56</v>
      </c>
      <c r="C54" s="98" t="s">
        <v>2028</v>
      </c>
      <c r="D54" s="98">
        <v>45</v>
      </c>
      <c r="E54" s="98" t="s">
        <v>2512</v>
      </c>
      <c r="F54" s="98">
        <v>9</v>
      </c>
      <c r="G54" s="98" t="s">
        <v>2518</v>
      </c>
      <c r="H54" s="98">
        <v>5</v>
      </c>
      <c r="I54" s="98"/>
      <c r="J54" s="98"/>
      <c r="K54" s="98" t="s">
        <v>2525</v>
      </c>
      <c r="L54" s="98">
        <v>2</v>
      </c>
      <c r="M54" s="98" t="s">
        <v>2535</v>
      </c>
      <c r="N54" s="98">
        <v>2</v>
      </c>
    </row>
    <row r="55" spans="1:14" ht="15">
      <c r="A55" s="99" t="s">
        <v>2033</v>
      </c>
      <c r="B55" s="98">
        <v>54</v>
      </c>
      <c r="C55" s="98" t="s">
        <v>2034</v>
      </c>
      <c r="D55" s="98">
        <v>43</v>
      </c>
      <c r="E55" s="98" t="s">
        <v>2513</v>
      </c>
      <c r="F55" s="98">
        <v>9</v>
      </c>
      <c r="G55" s="98" t="s">
        <v>2031</v>
      </c>
      <c r="H55" s="98">
        <v>5</v>
      </c>
      <c r="I55" s="98"/>
      <c r="J55" s="98"/>
      <c r="K55" s="98" t="s">
        <v>2526</v>
      </c>
      <c r="L55" s="98">
        <v>2</v>
      </c>
      <c r="M55" s="98" t="s">
        <v>2536</v>
      </c>
      <c r="N55" s="98">
        <v>2</v>
      </c>
    </row>
    <row r="56" spans="1:14" ht="15">
      <c r="A56" s="99" t="s">
        <v>2034</v>
      </c>
      <c r="B56" s="98">
        <v>53</v>
      </c>
      <c r="C56" s="98" t="s">
        <v>2035</v>
      </c>
      <c r="D56" s="98">
        <v>43</v>
      </c>
      <c r="E56" s="98" t="s">
        <v>2514</v>
      </c>
      <c r="F56" s="98">
        <v>9</v>
      </c>
      <c r="G56" s="98" t="s">
        <v>2032</v>
      </c>
      <c r="H56" s="98">
        <v>5</v>
      </c>
      <c r="I56" s="98"/>
      <c r="J56" s="98"/>
      <c r="K56" s="98" t="s">
        <v>2527</v>
      </c>
      <c r="L56" s="98">
        <v>2</v>
      </c>
      <c r="M56" s="98" t="s">
        <v>2537</v>
      </c>
      <c r="N56" s="98">
        <v>2</v>
      </c>
    </row>
    <row r="57" spans="1:14" ht="15">
      <c r="A57" s="99" t="s">
        <v>2035</v>
      </c>
      <c r="B57" s="98">
        <v>53</v>
      </c>
      <c r="C57" s="98" t="s">
        <v>2036</v>
      </c>
      <c r="D57" s="98">
        <v>43</v>
      </c>
      <c r="E57" s="98" t="s">
        <v>2515</v>
      </c>
      <c r="F57" s="98">
        <v>9</v>
      </c>
      <c r="G57" s="98" t="s">
        <v>2030</v>
      </c>
      <c r="H57" s="98">
        <v>5</v>
      </c>
      <c r="I57" s="98"/>
      <c r="J57" s="98"/>
      <c r="K57" s="98" t="s">
        <v>2528</v>
      </c>
      <c r="L57" s="98">
        <v>2</v>
      </c>
      <c r="M57" s="98" t="s">
        <v>2538</v>
      </c>
      <c r="N57" s="98">
        <v>2</v>
      </c>
    </row>
    <row r="58" spans="1:14" ht="15">
      <c r="A58" s="99" t="s">
        <v>2036</v>
      </c>
      <c r="B58" s="98">
        <v>53</v>
      </c>
      <c r="C58" s="98" t="s">
        <v>2037</v>
      </c>
      <c r="D58" s="98">
        <v>43</v>
      </c>
      <c r="E58" s="98" t="s">
        <v>2516</v>
      </c>
      <c r="F58" s="98">
        <v>9</v>
      </c>
      <c r="G58" s="98" t="s">
        <v>2519</v>
      </c>
      <c r="H58" s="98">
        <v>4</v>
      </c>
      <c r="I58" s="98"/>
      <c r="J58" s="98"/>
      <c r="K58" s="98" t="s">
        <v>2529</v>
      </c>
      <c r="L58" s="98">
        <v>2</v>
      </c>
      <c r="M58" s="98" t="s">
        <v>2539</v>
      </c>
      <c r="N58" s="98">
        <v>2</v>
      </c>
    </row>
    <row r="59" spans="1:14" ht="15">
      <c r="A59" s="99" t="s">
        <v>2037</v>
      </c>
      <c r="B59" s="98">
        <v>53</v>
      </c>
      <c r="C59" s="98" t="s">
        <v>2039</v>
      </c>
      <c r="D59" s="98">
        <v>43</v>
      </c>
      <c r="E59" s="98" t="s">
        <v>2517</v>
      </c>
      <c r="F59" s="98">
        <v>9</v>
      </c>
      <c r="G59" s="98" t="s">
        <v>2520</v>
      </c>
      <c r="H59" s="98">
        <v>4</v>
      </c>
      <c r="I59" s="98"/>
      <c r="J59" s="98"/>
      <c r="K59" s="98" t="s">
        <v>2530</v>
      </c>
      <c r="L59" s="98">
        <v>2</v>
      </c>
      <c r="M59" s="98" t="s">
        <v>2540</v>
      </c>
      <c r="N59" s="98">
        <v>2</v>
      </c>
    </row>
    <row r="60" ht="14.4" customHeight="1"/>
    <row r="62" spans="1:14" ht="14.4" customHeight="1">
      <c r="A62" s="13" t="s">
        <v>2046</v>
      </c>
      <c r="B62" s="13" t="s">
        <v>1990</v>
      </c>
      <c r="C62" s="89" t="s">
        <v>2048</v>
      </c>
      <c r="D62" s="89" t="s">
        <v>1993</v>
      </c>
      <c r="E62" s="13" t="s">
        <v>2049</v>
      </c>
      <c r="F62" s="13" t="s">
        <v>1995</v>
      </c>
      <c r="G62" s="89" t="s">
        <v>2052</v>
      </c>
      <c r="H62" s="89" t="s">
        <v>1997</v>
      </c>
      <c r="I62" s="89" t="s">
        <v>2054</v>
      </c>
      <c r="J62" s="89" t="s">
        <v>1999</v>
      </c>
      <c r="K62" s="89" t="s">
        <v>2056</v>
      </c>
      <c r="L62" s="89" t="s">
        <v>2489</v>
      </c>
      <c r="M62" s="89" t="s">
        <v>2545</v>
      </c>
      <c r="N62" s="89" t="s">
        <v>2490</v>
      </c>
    </row>
    <row r="63" spans="1:14" ht="15">
      <c r="A63" s="89" t="s">
        <v>293</v>
      </c>
      <c r="B63" s="89">
        <v>2</v>
      </c>
      <c r="C63" s="89"/>
      <c r="D63" s="89"/>
      <c r="E63" s="89" t="s">
        <v>293</v>
      </c>
      <c r="F63" s="89">
        <v>2</v>
      </c>
      <c r="G63" s="89"/>
      <c r="H63" s="89"/>
      <c r="I63" s="89"/>
      <c r="J63" s="89"/>
      <c r="K63" s="89"/>
      <c r="L63" s="89"/>
      <c r="M63" s="89"/>
      <c r="N63" s="89"/>
    </row>
    <row r="64" ht="14.4" customHeight="1"/>
    <row r="66" spans="1:14" ht="14.4" customHeight="1">
      <c r="A66" s="13" t="s">
        <v>2047</v>
      </c>
      <c r="B66" s="13" t="s">
        <v>1990</v>
      </c>
      <c r="C66" s="13" t="s">
        <v>2050</v>
      </c>
      <c r="D66" s="13" t="s">
        <v>1993</v>
      </c>
      <c r="E66" s="13" t="s">
        <v>2051</v>
      </c>
      <c r="F66" s="13" t="s">
        <v>1995</v>
      </c>
      <c r="G66" s="13" t="s">
        <v>2053</v>
      </c>
      <c r="H66" s="13" t="s">
        <v>1997</v>
      </c>
      <c r="I66" s="89" t="s">
        <v>2055</v>
      </c>
      <c r="J66" s="89" t="s">
        <v>1999</v>
      </c>
      <c r="K66" s="89" t="s">
        <v>2057</v>
      </c>
      <c r="L66" s="89" t="s">
        <v>2489</v>
      </c>
      <c r="M66" s="89" t="s">
        <v>2546</v>
      </c>
      <c r="N66" s="89" t="s">
        <v>2490</v>
      </c>
    </row>
    <row r="67" spans="1:14" ht="15">
      <c r="A67" s="89" t="s">
        <v>299</v>
      </c>
      <c r="B67" s="89">
        <v>80</v>
      </c>
      <c r="C67" s="89" t="s">
        <v>299</v>
      </c>
      <c r="D67" s="89">
        <v>57</v>
      </c>
      <c r="E67" s="89" t="s">
        <v>293</v>
      </c>
      <c r="F67" s="89">
        <v>26</v>
      </c>
      <c r="G67" s="89" t="s">
        <v>293</v>
      </c>
      <c r="H67" s="89">
        <v>8</v>
      </c>
      <c r="I67" s="89"/>
      <c r="J67" s="89"/>
      <c r="K67" s="89"/>
      <c r="L67" s="89"/>
      <c r="M67" s="89"/>
      <c r="N67" s="89"/>
    </row>
    <row r="68" spans="1:14" ht="15">
      <c r="A68" s="90" t="s">
        <v>302</v>
      </c>
      <c r="B68" s="89">
        <v>71</v>
      </c>
      <c r="C68" s="89" t="s">
        <v>302</v>
      </c>
      <c r="D68" s="89">
        <v>56</v>
      </c>
      <c r="E68" s="89" t="s">
        <v>295</v>
      </c>
      <c r="F68" s="89">
        <v>20</v>
      </c>
      <c r="G68" s="89" t="s">
        <v>299</v>
      </c>
      <c r="H68" s="89">
        <v>7</v>
      </c>
      <c r="I68" s="89"/>
      <c r="J68" s="89"/>
      <c r="K68" s="89"/>
      <c r="L68" s="89"/>
      <c r="M68" s="89"/>
      <c r="N68" s="89"/>
    </row>
    <row r="69" spans="1:14" ht="15">
      <c r="A69" s="90" t="s">
        <v>293</v>
      </c>
      <c r="B69" s="89">
        <v>40</v>
      </c>
      <c r="C69" s="89" t="s">
        <v>293</v>
      </c>
      <c r="D69" s="89">
        <v>6</v>
      </c>
      <c r="E69" s="89" t="s">
        <v>260</v>
      </c>
      <c r="F69" s="89">
        <v>17</v>
      </c>
      <c r="G69" s="89" t="s">
        <v>302</v>
      </c>
      <c r="H69" s="89">
        <v>6</v>
      </c>
      <c r="I69" s="89"/>
      <c r="J69" s="89"/>
      <c r="K69" s="89"/>
      <c r="L69" s="89"/>
      <c r="M69" s="89"/>
      <c r="N69" s="89"/>
    </row>
    <row r="70" spans="1:14" ht="15">
      <c r="A70" s="90" t="s">
        <v>295</v>
      </c>
      <c r="B70" s="89">
        <v>22</v>
      </c>
      <c r="C70" s="89"/>
      <c r="D70" s="89"/>
      <c r="E70" s="89" t="s">
        <v>299</v>
      </c>
      <c r="F70" s="89">
        <v>16</v>
      </c>
      <c r="G70" s="89" t="s">
        <v>303</v>
      </c>
      <c r="H70" s="89">
        <v>3</v>
      </c>
      <c r="I70" s="89"/>
      <c r="J70" s="89"/>
      <c r="K70" s="89"/>
      <c r="L70" s="89"/>
      <c r="M70" s="89"/>
      <c r="N70" s="89"/>
    </row>
    <row r="71" spans="1:14" ht="15">
      <c r="A71" s="90" t="s">
        <v>260</v>
      </c>
      <c r="B71" s="89">
        <v>20</v>
      </c>
      <c r="C71" s="89"/>
      <c r="D71" s="89"/>
      <c r="E71" s="89" t="s">
        <v>252</v>
      </c>
      <c r="F71" s="89">
        <v>9</v>
      </c>
      <c r="G71" s="89" t="s">
        <v>260</v>
      </c>
      <c r="H71" s="89">
        <v>3</v>
      </c>
      <c r="I71" s="89"/>
      <c r="J71" s="89"/>
      <c r="K71" s="89"/>
      <c r="L71" s="89"/>
      <c r="M71" s="89"/>
      <c r="N71" s="89"/>
    </row>
    <row r="72" spans="1:14" ht="15">
      <c r="A72" s="90" t="s">
        <v>252</v>
      </c>
      <c r="B72" s="89">
        <v>10</v>
      </c>
      <c r="C72" s="89"/>
      <c r="D72" s="89"/>
      <c r="E72" s="89" t="s">
        <v>302</v>
      </c>
      <c r="F72" s="89">
        <v>9</v>
      </c>
      <c r="G72" s="89" t="s">
        <v>295</v>
      </c>
      <c r="H72" s="89">
        <v>2</v>
      </c>
      <c r="I72" s="89"/>
      <c r="J72" s="89"/>
      <c r="K72" s="89"/>
      <c r="L72" s="89"/>
      <c r="M72" s="89"/>
      <c r="N72" s="89"/>
    </row>
    <row r="73" spans="1:14" ht="15">
      <c r="A73" s="90" t="s">
        <v>303</v>
      </c>
      <c r="B73" s="89">
        <v>6</v>
      </c>
      <c r="C73" s="89"/>
      <c r="D73" s="89"/>
      <c r="E73" s="89" t="s">
        <v>297</v>
      </c>
      <c r="F73" s="89">
        <v>4</v>
      </c>
      <c r="G73" s="89" t="s">
        <v>252</v>
      </c>
      <c r="H73" s="89">
        <v>1</v>
      </c>
      <c r="I73" s="89"/>
      <c r="J73" s="89"/>
      <c r="K73" s="89"/>
      <c r="L73" s="89"/>
      <c r="M73" s="89"/>
      <c r="N73" s="89"/>
    </row>
    <row r="74" spans="1:14" ht="15">
      <c r="A74" s="90" t="s">
        <v>297</v>
      </c>
      <c r="B74" s="89">
        <v>4</v>
      </c>
      <c r="C74" s="89"/>
      <c r="D74" s="89"/>
      <c r="E74" s="89" t="s">
        <v>303</v>
      </c>
      <c r="F74" s="89">
        <v>3</v>
      </c>
      <c r="G74" s="89"/>
      <c r="H74" s="89"/>
      <c r="I74" s="89"/>
      <c r="J74" s="89"/>
      <c r="K74" s="89"/>
      <c r="L74" s="89"/>
      <c r="M74" s="89"/>
      <c r="N74" s="89"/>
    </row>
    <row r="75" spans="1:14" ht="14.4" customHeight="1">
      <c r="A75" s="90" t="s">
        <v>304</v>
      </c>
      <c r="B75" s="89">
        <v>2</v>
      </c>
      <c r="C75" s="89"/>
      <c r="D75" s="89"/>
      <c r="E75" s="89" t="s">
        <v>304</v>
      </c>
      <c r="F75" s="89">
        <v>2</v>
      </c>
      <c r="G75" s="89"/>
      <c r="H75" s="89"/>
      <c r="I75" s="89"/>
      <c r="J75" s="89"/>
      <c r="K75" s="89"/>
      <c r="L75" s="89"/>
      <c r="M75" s="89"/>
      <c r="N75" s="89"/>
    </row>
    <row r="78" spans="1:14" ht="14.4" customHeight="1">
      <c r="A78" s="13" t="s">
        <v>2060</v>
      </c>
      <c r="B78" s="13" t="s">
        <v>1990</v>
      </c>
      <c r="C78" s="13" t="s">
        <v>2061</v>
      </c>
      <c r="D78" s="13" t="s">
        <v>1993</v>
      </c>
      <c r="E78" s="13" t="s">
        <v>2062</v>
      </c>
      <c r="F78" s="13" t="s">
        <v>1995</v>
      </c>
      <c r="G78" s="13" t="s">
        <v>2063</v>
      </c>
      <c r="H78" s="13" t="s">
        <v>1997</v>
      </c>
      <c r="I78" s="13" t="s">
        <v>2064</v>
      </c>
      <c r="J78" s="13" t="s">
        <v>1999</v>
      </c>
      <c r="K78" s="13" t="s">
        <v>2065</v>
      </c>
      <c r="L78" s="13" t="s">
        <v>2489</v>
      </c>
      <c r="M78" s="13" t="s">
        <v>2550</v>
      </c>
      <c r="N78" s="13" t="s">
        <v>2490</v>
      </c>
    </row>
    <row r="79" spans="1:14" ht="15">
      <c r="A79" s="106" t="s">
        <v>2138</v>
      </c>
      <c r="B79" s="89">
        <v>231058</v>
      </c>
      <c r="C79" s="106" t="s">
        <v>227</v>
      </c>
      <c r="D79" s="89">
        <v>222183</v>
      </c>
      <c r="E79" s="106" t="s">
        <v>2115</v>
      </c>
      <c r="F79" s="89">
        <v>192536</v>
      </c>
      <c r="G79" s="106" t="s">
        <v>2138</v>
      </c>
      <c r="H79" s="89">
        <v>231058</v>
      </c>
      <c r="I79" s="106" t="s">
        <v>2124</v>
      </c>
      <c r="J79" s="89">
        <v>17222</v>
      </c>
      <c r="K79" s="106" t="s">
        <v>2129</v>
      </c>
      <c r="L79" s="89">
        <v>18056</v>
      </c>
      <c r="M79" s="106" t="s">
        <v>2126</v>
      </c>
      <c r="N79" s="89">
        <v>10830</v>
      </c>
    </row>
    <row r="80" spans="1:14" ht="15">
      <c r="A80" s="109" t="s">
        <v>227</v>
      </c>
      <c r="B80" s="89">
        <v>222183</v>
      </c>
      <c r="C80" s="106" t="s">
        <v>263</v>
      </c>
      <c r="D80" s="89">
        <v>94509</v>
      </c>
      <c r="E80" s="106" t="s">
        <v>2120</v>
      </c>
      <c r="F80" s="89">
        <v>38105</v>
      </c>
      <c r="G80" s="106" t="s">
        <v>249</v>
      </c>
      <c r="H80" s="89">
        <v>16335</v>
      </c>
      <c r="I80" s="106" t="s">
        <v>237</v>
      </c>
      <c r="J80" s="89">
        <v>14826</v>
      </c>
      <c r="K80" s="106" t="s">
        <v>2128</v>
      </c>
      <c r="L80" s="89">
        <v>7537</v>
      </c>
      <c r="M80" s="106" t="s">
        <v>2125</v>
      </c>
      <c r="N80" s="89">
        <v>4436</v>
      </c>
    </row>
    <row r="81" spans="1:14" ht="15">
      <c r="A81" s="109" t="s">
        <v>2115</v>
      </c>
      <c r="B81" s="89">
        <v>192536</v>
      </c>
      <c r="C81" s="106" t="s">
        <v>232</v>
      </c>
      <c r="D81" s="89">
        <v>71518</v>
      </c>
      <c r="E81" s="106" t="s">
        <v>273</v>
      </c>
      <c r="F81" s="89">
        <v>37029</v>
      </c>
      <c r="G81" s="106" t="s">
        <v>292</v>
      </c>
      <c r="H81" s="89">
        <v>15004</v>
      </c>
      <c r="I81" s="106" t="s">
        <v>253</v>
      </c>
      <c r="J81" s="89">
        <v>11507</v>
      </c>
      <c r="K81" s="106"/>
      <c r="L81" s="89"/>
      <c r="M81" s="106"/>
      <c r="N81" s="89"/>
    </row>
    <row r="82" spans="1:14" ht="15">
      <c r="A82" s="109" t="s">
        <v>263</v>
      </c>
      <c r="B82" s="89">
        <v>94509</v>
      </c>
      <c r="C82" s="106" t="s">
        <v>255</v>
      </c>
      <c r="D82" s="89">
        <v>65826</v>
      </c>
      <c r="E82" s="106" t="s">
        <v>260</v>
      </c>
      <c r="F82" s="89">
        <v>18531</v>
      </c>
      <c r="G82" s="106" t="s">
        <v>2137</v>
      </c>
      <c r="H82" s="89">
        <v>14311</v>
      </c>
      <c r="I82" s="106" t="s">
        <v>2131</v>
      </c>
      <c r="J82" s="89">
        <v>2617</v>
      </c>
      <c r="K82" s="106"/>
      <c r="L82" s="89"/>
      <c r="M82" s="106"/>
      <c r="N82" s="89"/>
    </row>
    <row r="83" spans="1:14" ht="15">
      <c r="A83" s="109" t="s">
        <v>232</v>
      </c>
      <c r="B83" s="89">
        <v>71518</v>
      </c>
      <c r="C83" s="106" t="s">
        <v>272</v>
      </c>
      <c r="D83" s="89">
        <v>46846</v>
      </c>
      <c r="E83" s="106" t="s">
        <v>2135</v>
      </c>
      <c r="F83" s="89">
        <v>15951</v>
      </c>
      <c r="G83" s="106" t="s">
        <v>303</v>
      </c>
      <c r="H83" s="89">
        <v>13027</v>
      </c>
      <c r="I83" s="106" t="s">
        <v>2123</v>
      </c>
      <c r="J83" s="89">
        <v>809</v>
      </c>
      <c r="K83" s="106"/>
      <c r="L83" s="89"/>
      <c r="M83" s="106"/>
      <c r="N83" s="89"/>
    </row>
    <row r="84" spans="1:14" ht="15">
      <c r="A84" s="109" t="s">
        <v>255</v>
      </c>
      <c r="B84" s="89">
        <v>65826</v>
      </c>
      <c r="C84" s="106" t="s">
        <v>2122</v>
      </c>
      <c r="D84" s="89">
        <v>27263</v>
      </c>
      <c r="E84" s="106" t="s">
        <v>250</v>
      </c>
      <c r="F84" s="89">
        <v>14019</v>
      </c>
      <c r="G84" s="106" t="s">
        <v>301</v>
      </c>
      <c r="H84" s="89">
        <v>11765</v>
      </c>
      <c r="I84" s="106" t="s">
        <v>2132</v>
      </c>
      <c r="J84" s="89">
        <v>639</v>
      </c>
      <c r="K84" s="106"/>
      <c r="L84" s="89"/>
      <c r="M84" s="106"/>
      <c r="N84" s="89"/>
    </row>
    <row r="85" spans="1:14" ht="15">
      <c r="A85" s="109" t="s">
        <v>272</v>
      </c>
      <c r="B85" s="89">
        <v>46846</v>
      </c>
      <c r="C85" s="106" t="s">
        <v>265</v>
      </c>
      <c r="D85" s="89">
        <v>26152</v>
      </c>
      <c r="E85" s="106" t="s">
        <v>289</v>
      </c>
      <c r="F85" s="89">
        <v>12954</v>
      </c>
      <c r="G85" s="106" t="s">
        <v>282</v>
      </c>
      <c r="H85" s="89">
        <v>10253</v>
      </c>
      <c r="I85" s="106"/>
      <c r="J85" s="89"/>
      <c r="K85" s="106"/>
      <c r="L85" s="89"/>
      <c r="M85" s="106"/>
      <c r="N85" s="89"/>
    </row>
    <row r="86" spans="1:14" ht="15">
      <c r="A86" s="109" t="s">
        <v>2120</v>
      </c>
      <c r="B86" s="89">
        <v>38105</v>
      </c>
      <c r="C86" s="106" t="s">
        <v>231</v>
      </c>
      <c r="D86" s="89">
        <v>23270</v>
      </c>
      <c r="E86" s="106" t="s">
        <v>248</v>
      </c>
      <c r="F86" s="89">
        <v>8138</v>
      </c>
      <c r="G86" s="106" t="s">
        <v>225</v>
      </c>
      <c r="H86" s="89">
        <v>9942</v>
      </c>
      <c r="I86" s="106"/>
      <c r="J86" s="89"/>
      <c r="K86" s="106"/>
      <c r="L86" s="89"/>
      <c r="M86" s="106"/>
      <c r="N86" s="89"/>
    </row>
    <row r="87" spans="1:14" ht="15">
      <c r="A87" s="109" t="s">
        <v>273</v>
      </c>
      <c r="B87" s="89">
        <v>37029</v>
      </c>
      <c r="C87" s="106" t="s">
        <v>299</v>
      </c>
      <c r="D87" s="89">
        <v>17214</v>
      </c>
      <c r="E87" s="106" t="s">
        <v>295</v>
      </c>
      <c r="F87" s="89">
        <v>7242</v>
      </c>
      <c r="G87" s="106" t="s">
        <v>235</v>
      </c>
      <c r="H87" s="89">
        <v>7252</v>
      </c>
      <c r="I87" s="106"/>
      <c r="J87" s="89"/>
      <c r="K87" s="106"/>
      <c r="L87" s="89"/>
      <c r="M87" s="106"/>
      <c r="N87" s="89"/>
    </row>
    <row r="88" spans="1:14" ht="15">
      <c r="A88" s="109" t="s">
        <v>2122</v>
      </c>
      <c r="B88" s="89">
        <v>27263</v>
      </c>
      <c r="C88" s="106" t="s">
        <v>256</v>
      </c>
      <c r="D88" s="89">
        <v>13974</v>
      </c>
      <c r="E88" s="106" t="s">
        <v>2136</v>
      </c>
      <c r="F88" s="89">
        <v>5825</v>
      </c>
      <c r="G88" s="106" t="s">
        <v>261</v>
      </c>
      <c r="H88" s="89">
        <v>4349</v>
      </c>
      <c r="I88" s="106"/>
      <c r="J88" s="89"/>
      <c r="K88" s="106"/>
      <c r="L88" s="89"/>
      <c r="M88" s="106"/>
      <c r="N88" s="89"/>
    </row>
  </sheetData>
  <hyperlinks>
    <hyperlink ref="A2" r:id="rId1" display="https://talouskurssi.fi/"/>
    <hyperlink ref="A3" r:id="rId2" display="https://twitter.com/HelsinkiGSE/status/1448530102837514240"/>
    <hyperlink ref="A4" r:id="rId3" display="https://talouskurssi.fi/"/>
    <hyperlink ref="A5" r:id="rId4" display="https://talouskurssi.fi/?fbclid=IwAR3lQxACK6cI50BBFObd0zCsOMC4Cq1tFNNNCY5sktWLRNSCs13ALYuQ2cg"/>
    <hyperlink ref="A6" r:id="rId5" display="https://www.op.fi/op-ryhma/vastuullisuus/vastuullisuus/taloustaidot/talouskurssi"/>
    <hyperlink ref="A7" r:id="rId6" display="https://twitter.com/helsinkigse/status/1448530102837514240"/>
    <hyperlink ref="A8" r:id="rId7" display="https://www.linkedin.com/slink?code=dNTUEdbA"/>
    <hyperlink ref="A9" r:id="rId8" display="https://www.linkedin.com/slink?code=dN5D_Pwk"/>
    <hyperlink ref="A10" r:id="rId9" display="https://www.ekonomit.fi/ajankohtaista/tule-mukaan-talouskinkereille-opi-olennainen-taloudesta-viihdyttavasti-julia-thurenin-ja-vieraiden-seurassa/"/>
    <hyperlink ref="A11" r:id="rId10" display="https://twitter.com/IdaLevanen/status/1448555809940643840"/>
    <hyperlink ref="C2" r:id="rId11" display="https://talouskurssi.fi/"/>
    <hyperlink ref="C3" r:id="rId12" display="https://twitter.com/HelsinkiGSE/status/1448530102837514240"/>
    <hyperlink ref="E2" r:id="rId13" display="https://talouskurssi.fi/"/>
    <hyperlink ref="E3" r:id="rId14" display="https://talouskurssi.fi/"/>
    <hyperlink ref="E4" r:id="rId15" display="https://talouskurssi.fi/?fbclid=IwAR3lQxACK6cI50BBFObd0zCsOMC4Cq1tFNNNCY5sktWLRNSCs13ALYuQ2cg"/>
    <hyperlink ref="E5" r:id="rId16" display="https://www.ekonomit.fi/ajankohtaista/tule-mukaan-talouskinkereille-opi-olennainen-taloudesta-viihdyttavasti-julia-thurenin-ja-vieraiden-seurassa/"/>
    <hyperlink ref="E6" r:id="rId17" display="https://twitter.com/IdaLevanen/status/1448555809940643840"/>
    <hyperlink ref="E7" r:id="rId18" display="https://twitter.com/HelsinkiGSE/status/1448530102837514240"/>
    <hyperlink ref="E8" r:id="rId19" display="https://www.op.fi/op-ryhma/vastuullisuus/vastuullisuus/taloustaidot/talouskurssi"/>
    <hyperlink ref="E9" r:id="rId20" display="https://twitter.com/helsinkigse/status/1448530102837514240"/>
    <hyperlink ref="E10" r:id="rId21" display="https://www.linkedin.com/slink?code=dNTUEdbA"/>
    <hyperlink ref="E11" r:id="rId22" display="https://www.linkedin.com/slink?code=dN5D_Pwk"/>
    <hyperlink ref="G2" r:id="rId23" display="https://talouskurssi.fi/"/>
    <hyperlink ref="G3" r:id="rId24" display="https://www.linkedin.com/slink?code=dNTUEdbA"/>
    <hyperlink ref="G4" r:id="rId25" display="https://www.linkedin.com/slink?code=dN5D_Pwk"/>
    <hyperlink ref="G5" r:id="rId26" display="https://twitter.com/helsinkigse/status/1448530102837514240"/>
    <hyperlink ref="G6" r:id="rId27" display="https://twitter.com/HelsinkiGSE/status/1448530102837514240"/>
    <hyperlink ref="G7" r:id="rId28" display="https://twitter.com/AtteHarjanne/status/1448617819982241796"/>
    <hyperlink ref="G8" r:id="rId29" display="https://areena.yle.fi/audio/1-50940059?utm_source=twitter-share"/>
    <hyperlink ref="G9" r:id="rId30" display="https://twitter.com/matiasmakynen/status/1448626251804053506"/>
    <hyperlink ref="G10" r:id="rId31" display="https://twitter.com/OPHelsinki/status/1448647975987650570"/>
    <hyperlink ref="G11" r:id="rId32" display="https://talouskurssi.fi/?fbclid=IwAR3lQxACK6cI50BBFObd0zCsOMC4Cq1tFNNNCY5sktWLRNSCs13ALYuQ2cg"/>
    <hyperlink ref="I2" r:id="rId33" display="https://twitter.com/helsinkigse/status/1448530102837514240"/>
    <hyperlink ref="I3" r:id="rId34" display="https://talouskurssi.fi/"/>
    <hyperlink ref="I4" r:id="rId35" display="https://www.op.fi/op-ryhma/vastuullisuus/vastuullisuus/taloustaidot/talouskurssi"/>
    <hyperlink ref="I5" r:id="rId36" display="https://twitter.com/troutamaa/status/1448600142685290504"/>
    <hyperlink ref="K2" r:id="rId37" display="https://talouskurssi.fi/"/>
    <hyperlink ref="K3" r:id="rId38" display="https://twitter.com/HelsinkiGSE/status/1448530102837514240"/>
    <hyperlink ref="M2" r:id="rId39" display="https://www.op.fi/op-ryhma/vastuullisuus/vastuullisuus/taloustaidot/talouskurssi"/>
  </hyperlinks>
  <printOptions/>
  <pageMargins left="0.7" right="0.7" top="0.75" bottom="0.75" header="0.3" footer="0.3"/>
  <pageSetup orientation="portrait" paperSize="9"/>
  <tableParts>
    <tablePart r:id="rId44"/>
    <tablePart r:id="rId45"/>
    <tablePart r:id="rId42"/>
    <tablePart r:id="rId40"/>
    <tablePart r:id="rId46"/>
    <tablePart r:id="rId47"/>
    <tablePart r:id="rId41"/>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6"/>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205</v>
      </c>
      <c r="AU2" s="13" t="s">
        <v>564</v>
      </c>
      <c r="AV2" s="13" t="s">
        <v>565</v>
      </c>
      <c r="AW2" s="13" t="s">
        <v>566</v>
      </c>
      <c r="AX2" s="13" t="s">
        <v>567</v>
      </c>
      <c r="AY2" s="13" t="s">
        <v>568</v>
      </c>
      <c r="AZ2" s="13" t="s">
        <v>569</v>
      </c>
      <c r="BA2" s="13" t="s">
        <v>917</v>
      </c>
      <c r="BB2" s="112" t="s">
        <v>1068</v>
      </c>
      <c r="BC2" s="112" t="s">
        <v>1069</v>
      </c>
      <c r="BD2" s="112" t="s">
        <v>1070</v>
      </c>
      <c r="BE2" s="112" t="s">
        <v>1071</v>
      </c>
      <c r="BF2" s="112" t="s">
        <v>1072</v>
      </c>
      <c r="BG2" s="112" t="s">
        <v>1073</v>
      </c>
      <c r="BH2" s="112" t="s">
        <v>1074</v>
      </c>
      <c r="BI2" s="112" t="s">
        <v>1075</v>
      </c>
      <c r="BJ2" s="112" t="s">
        <v>1077</v>
      </c>
      <c r="BK2" s="112" t="s">
        <v>2067</v>
      </c>
      <c r="BL2" s="112" t="s">
        <v>2069</v>
      </c>
      <c r="BM2" s="112" t="s">
        <v>2070</v>
      </c>
      <c r="BN2" s="112" t="s">
        <v>2072</v>
      </c>
      <c r="BO2" s="112" t="s">
        <v>2073</v>
      </c>
      <c r="BP2" s="112" t="s">
        <v>2075</v>
      </c>
      <c r="BQ2" s="112" t="s">
        <v>2077</v>
      </c>
      <c r="BR2" s="112" t="s">
        <v>2088</v>
      </c>
      <c r="BS2" s="112" t="s">
        <v>2090</v>
      </c>
      <c r="BT2" s="112" t="s">
        <v>2107</v>
      </c>
      <c r="BU2" s="3"/>
      <c r="BV2" s="3"/>
    </row>
    <row r="3" spans="1:74" ht="15" customHeight="1">
      <c r="A3" s="66" t="s">
        <v>301</v>
      </c>
      <c r="B3" s="67"/>
      <c r="C3" s="67" t="s">
        <v>64</v>
      </c>
      <c r="D3" s="68">
        <v>10</v>
      </c>
      <c r="E3" s="70"/>
      <c r="F3" s="105" t="str">
        <f>HYPERLINK("https://pbs.twimg.com/profile_images/1313386689512042498/i0FBBxPa_normal.jpg")</f>
        <v>https://pbs.twimg.com/profile_images/1313386689512042498/i0FBBxPa_normal.jpg</v>
      </c>
      <c r="G3" s="67"/>
      <c r="H3" s="71" t="s">
        <v>301</v>
      </c>
      <c r="I3" s="72" t="s">
        <v>2635</v>
      </c>
      <c r="J3" s="72" t="s">
        <v>73</v>
      </c>
      <c r="K3" s="71" t="s">
        <v>901</v>
      </c>
      <c r="L3" s="75">
        <v>129.17948717948718</v>
      </c>
      <c r="M3" s="76">
        <v>7881.8681640625</v>
      </c>
      <c r="N3" s="76">
        <v>603.9728393554688</v>
      </c>
      <c r="O3" s="77"/>
      <c r="P3" s="78"/>
      <c r="Q3" s="78"/>
      <c r="R3" s="104"/>
      <c r="S3" s="49">
        <v>1</v>
      </c>
      <c r="T3" s="49">
        <v>1</v>
      </c>
      <c r="U3" s="50">
        <v>0</v>
      </c>
      <c r="V3" s="50">
        <v>0.005155</v>
      </c>
      <c r="W3" s="50">
        <v>0.003929</v>
      </c>
      <c r="X3" s="50">
        <v>0.4748</v>
      </c>
      <c r="Y3" s="50">
        <v>0.5</v>
      </c>
      <c r="Z3" s="50">
        <v>0</v>
      </c>
      <c r="AA3" s="73">
        <v>3</v>
      </c>
      <c r="AB3" s="73"/>
      <c r="AC3" s="74"/>
      <c r="AD3" s="89" t="s">
        <v>648</v>
      </c>
      <c r="AE3" s="98" t="s">
        <v>727</v>
      </c>
      <c r="AF3" s="89">
        <v>2191</v>
      </c>
      <c r="AG3" s="89">
        <v>8078</v>
      </c>
      <c r="AH3" s="89">
        <v>11765</v>
      </c>
      <c r="AI3" s="89">
        <v>14310</v>
      </c>
      <c r="AJ3" s="89"/>
      <c r="AK3" s="89" t="s">
        <v>805</v>
      </c>
      <c r="AL3" s="89"/>
      <c r="AM3" s="95"/>
      <c r="AN3" s="89"/>
      <c r="AO3" s="92">
        <v>41856.769594907404</v>
      </c>
      <c r="AP3" s="95" t="str">
        <f>HYPERLINK("https://pbs.twimg.com/profile_banners/2710024153/1418736951")</f>
        <v>https://pbs.twimg.com/profile_banners/2710024153/1418736951</v>
      </c>
      <c r="AQ3" s="89" t="b">
        <v>1</v>
      </c>
      <c r="AR3" s="89" t="b">
        <v>0</v>
      </c>
      <c r="AS3" s="89" t="b">
        <v>0</v>
      </c>
      <c r="AT3" s="89"/>
      <c r="AU3" s="89">
        <v>51</v>
      </c>
      <c r="AV3" s="95" t="str">
        <f>HYPERLINK("https://abs.twimg.com/images/themes/theme1/bg.png")</f>
        <v>https://abs.twimg.com/images/themes/theme1/bg.png</v>
      </c>
      <c r="AW3" s="89" t="b">
        <v>0</v>
      </c>
      <c r="AX3" s="89" t="s">
        <v>827</v>
      </c>
      <c r="AY3" s="95" t="str">
        <f>HYPERLINK("https://twitter.com/sapakarinen")</f>
        <v>https://twitter.com/sapakarinen</v>
      </c>
      <c r="AZ3" s="89" t="s">
        <v>66</v>
      </c>
      <c r="BA3" s="89" t="str">
        <f>REPLACE(INDEX(GroupVertices[Group],MATCH(Vertices[[#This Row],[Vertex]],GroupVertices[Vertex],0)),1,1,"")</f>
        <v>3</v>
      </c>
      <c r="BB3" s="49">
        <v>0</v>
      </c>
      <c r="BC3" s="50">
        <v>0</v>
      </c>
      <c r="BD3" s="49">
        <v>0</v>
      </c>
      <c r="BE3" s="50">
        <v>0</v>
      </c>
      <c r="BF3" s="49">
        <v>0</v>
      </c>
      <c r="BG3" s="50">
        <v>0</v>
      </c>
      <c r="BH3" s="49">
        <v>14</v>
      </c>
      <c r="BI3" s="50">
        <v>100</v>
      </c>
      <c r="BJ3" s="49">
        <v>14</v>
      </c>
      <c r="BK3" s="49" t="s">
        <v>1983</v>
      </c>
      <c r="BL3" s="49" t="s">
        <v>1983</v>
      </c>
      <c r="BM3" s="49" t="s">
        <v>333</v>
      </c>
      <c r="BN3" s="49" t="s">
        <v>333</v>
      </c>
      <c r="BO3" s="49" t="s">
        <v>338</v>
      </c>
      <c r="BP3" s="49" t="s">
        <v>338</v>
      </c>
      <c r="BQ3" s="116" t="s">
        <v>2078</v>
      </c>
      <c r="BR3" s="116" t="s">
        <v>2078</v>
      </c>
      <c r="BS3" s="116" t="s">
        <v>2091</v>
      </c>
      <c r="BT3" s="116" t="s">
        <v>2091</v>
      </c>
      <c r="BU3" s="3"/>
      <c r="BV3" s="3"/>
    </row>
    <row r="4" spans="1:77" ht="15">
      <c r="A4" s="66" t="s">
        <v>293</v>
      </c>
      <c r="B4" s="67"/>
      <c r="C4" s="67" t="s">
        <v>64</v>
      </c>
      <c r="D4" s="68">
        <v>1000</v>
      </c>
      <c r="E4" s="117"/>
      <c r="F4" s="105" t="str">
        <f>HYPERLINK("https://pbs.twimg.com/profile_images/1448535539880243200/KmRATUa5_normal.jpg")</f>
        <v>https://pbs.twimg.com/profile_images/1448535539880243200/KmRATUa5_normal.jpg</v>
      </c>
      <c r="G4" s="118"/>
      <c r="H4" s="71" t="s">
        <v>293</v>
      </c>
      <c r="I4" s="72" t="s">
        <v>2635</v>
      </c>
      <c r="J4" s="119" t="s">
        <v>73</v>
      </c>
      <c r="K4" s="71" t="s">
        <v>2331</v>
      </c>
      <c r="L4" s="120">
        <v>9999</v>
      </c>
      <c r="M4" s="76">
        <v>7834.3037109375</v>
      </c>
      <c r="N4" s="76">
        <v>2271.40966796875</v>
      </c>
      <c r="O4" s="77"/>
      <c r="P4" s="78"/>
      <c r="Q4" s="78"/>
      <c r="R4" s="121"/>
      <c r="S4" s="49">
        <v>78</v>
      </c>
      <c r="T4" s="49">
        <v>14</v>
      </c>
      <c r="U4" s="50">
        <v>4265.537784</v>
      </c>
      <c r="V4" s="50">
        <v>0.009709</v>
      </c>
      <c r="W4" s="50">
        <v>0.059291</v>
      </c>
      <c r="X4" s="50">
        <v>12.156278</v>
      </c>
      <c r="Y4" s="50">
        <v>0.02938583602703497</v>
      </c>
      <c r="Z4" s="50">
        <v>0.08433734939759036</v>
      </c>
      <c r="AA4" s="73">
        <v>4</v>
      </c>
      <c r="AB4" s="73"/>
      <c r="AC4" s="74"/>
      <c r="AD4" s="90" t="s">
        <v>570</v>
      </c>
      <c r="AE4" s="99" t="s">
        <v>649</v>
      </c>
      <c r="AF4" s="90">
        <v>99</v>
      </c>
      <c r="AG4" s="90">
        <v>1648</v>
      </c>
      <c r="AH4" s="90">
        <v>299</v>
      </c>
      <c r="AI4" s="90">
        <v>245</v>
      </c>
      <c r="AJ4" s="90"/>
      <c r="AK4" s="90" t="s">
        <v>728</v>
      </c>
      <c r="AL4" s="90"/>
      <c r="AM4" s="96" t="str">
        <f>HYPERLINK("https://t.co/qX7yN9QJt3")</f>
        <v>https://t.co/qX7yN9QJt3</v>
      </c>
      <c r="AN4" s="90"/>
      <c r="AO4" s="93">
        <v>43270.32363425926</v>
      </c>
      <c r="AP4" s="96" t="str">
        <f>HYPERLINK("https://pbs.twimg.com/profile_banners/1008979201532317696/1634192761")</f>
        <v>https://pbs.twimg.com/profile_banners/1008979201532317696/1634192761</v>
      </c>
      <c r="AQ4" s="90" t="b">
        <v>1</v>
      </c>
      <c r="AR4" s="90" t="b">
        <v>0</v>
      </c>
      <c r="AS4" s="90" t="b">
        <v>0</v>
      </c>
      <c r="AT4" s="90"/>
      <c r="AU4" s="90">
        <v>10</v>
      </c>
      <c r="AV4" s="90"/>
      <c r="AW4" s="90" t="b">
        <v>0</v>
      </c>
      <c r="AX4" s="90" t="s">
        <v>827</v>
      </c>
      <c r="AY4" s="96" t="str">
        <f>HYPERLINK("https://twitter.com/helsinkigse")</f>
        <v>https://twitter.com/helsinkigse</v>
      </c>
      <c r="AZ4" s="90" t="s">
        <v>66</v>
      </c>
      <c r="BA4" s="89" t="str">
        <f>REPLACE(INDEX(GroupVertices[Group],MATCH(Vertices[[#This Row],[Vertex]],GroupVertices[Vertex],0)),1,1,"")</f>
        <v>3</v>
      </c>
      <c r="BB4" s="49">
        <v>0</v>
      </c>
      <c r="BC4" s="50">
        <v>0</v>
      </c>
      <c r="BD4" s="49">
        <v>0</v>
      </c>
      <c r="BE4" s="50">
        <v>0</v>
      </c>
      <c r="BF4" s="49">
        <v>0</v>
      </c>
      <c r="BG4" s="50">
        <v>0</v>
      </c>
      <c r="BH4" s="49">
        <v>266</v>
      </c>
      <c r="BI4" s="50">
        <v>100</v>
      </c>
      <c r="BJ4" s="49">
        <v>266</v>
      </c>
      <c r="BK4" s="49" t="s">
        <v>2557</v>
      </c>
      <c r="BL4" s="49" t="s">
        <v>2557</v>
      </c>
      <c r="BM4" s="49" t="s">
        <v>2567</v>
      </c>
      <c r="BN4" s="49" t="s">
        <v>2571</v>
      </c>
      <c r="BO4" s="49" t="s">
        <v>2574</v>
      </c>
      <c r="BP4" s="49" t="s">
        <v>2576</v>
      </c>
      <c r="BQ4" s="116" t="s">
        <v>2578</v>
      </c>
      <c r="BR4" s="116" t="s">
        <v>2608</v>
      </c>
      <c r="BS4" s="116" t="s">
        <v>2619</v>
      </c>
      <c r="BT4" s="116" t="s">
        <v>2619</v>
      </c>
      <c r="BU4" s="2"/>
      <c r="BV4" s="3"/>
      <c r="BW4" s="3"/>
      <c r="BX4" s="3"/>
      <c r="BY4" s="3"/>
    </row>
    <row r="5" spans="1:77" ht="15">
      <c r="A5" s="66" t="s">
        <v>225</v>
      </c>
      <c r="B5" s="67"/>
      <c r="C5" s="67" t="s">
        <v>46</v>
      </c>
      <c r="D5" s="68"/>
      <c r="E5" s="117"/>
      <c r="F5" s="105" t="str">
        <f>HYPERLINK("https://pbs.twimg.com/profile_images/1300021896050860032/LE_yIUpk_normal.jpg")</f>
        <v>https://pbs.twimg.com/profile_images/1300021896050860032/LE_yIUpk_normal.jpg</v>
      </c>
      <c r="G5" s="118"/>
      <c r="H5" s="71" t="s">
        <v>225</v>
      </c>
      <c r="I5" s="72" t="s">
        <v>2635</v>
      </c>
      <c r="J5" s="119" t="s">
        <v>73</v>
      </c>
      <c r="K5" s="71" t="s">
        <v>828</v>
      </c>
      <c r="L5" s="120">
        <v>1</v>
      </c>
      <c r="M5" s="76">
        <v>8339.3759765625</v>
      </c>
      <c r="N5" s="76">
        <v>1058.2301025390625</v>
      </c>
      <c r="O5" s="77"/>
      <c r="P5" s="78"/>
      <c r="Q5" s="78"/>
      <c r="R5" s="121"/>
      <c r="S5" s="49">
        <v>0</v>
      </c>
      <c r="T5" s="49">
        <v>2</v>
      </c>
      <c r="U5" s="50">
        <v>0</v>
      </c>
      <c r="V5" s="50">
        <v>0.005155</v>
      </c>
      <c r="W5" s="50">
        <v>0.003929</v>
      </c>
      <c r="X5" s="50">
        <v>0.4748</v>
      </c>
      <c r="Y5" s="50">
        <v>0.5</v>
      </c>
      <c r="Z5" s="50">
        <v>0</v>
      </c>
      <c r="AA5" s="73">
        <v>5</v>
      </c>
      <c r="AB5" s="73"/>
      <c r="AC5" s="74"/>
      <c r="AD5" s="90" t="s">
        <v>571</v>
      </c>
      <c r="AE5" s="99" t="s">
        <v>650</v>
      </c>
      <c r="AF5" s="90">
        <v>566</v>
      </c>
      <c r="AG5" s="90">
        <v>503</v>
      </c>
      <c r="AH5" s="90">
        <v>9942</v>
      </c>
      <c r="AI5" s="90">
        <v>14513</v>
      </c>
      <c r="AJ5" s="90"/>
      <c r="AK5" s="90" t="s">
        <v>729</v>
      </c>
      <c r="AL5" s="90"/>
      <c r="AM5" s="96" t="str">
        <f>HYPERLINK("https://t.co/IDRW0VQSbG")</f>
        <v>https://t.co/IDRW0VQSbG</v>
      </c>
      <c r="AN5" s="90"/>
      <c r="AO5" s="93">
        <v>40856.234976851854</v>
      </c>
      <c r="AP5" s="90"/>
      <c r="AQ5" s="90" t="b">
        <v>1</v>
      </c>
      <c r="AR5" s="90" t="b">
        <v>0</v>
      </c>
      <c r="AS5" s="90" t="b">
        <v>1</v>
      </c>
      <c r="AT5" s="90"/>
      <c r="AU5" s="90">
        <v>1</v>
      </c>
      <c r="AV5" s="96" t="str">
        <f>HYPERLINK("https://abs.twimg.com/images/themes/theme1/bg.png")</f>
        <v>https://abs.twimg.com/images/themes/theme1/bg.png</v>
      </c>
      <c r="AW5" s="90" t="b">
        <v>0</v>
      </c>
      <c r="AX5" s="90" t="s">
        <v>827</v>
      </c>
      <c r="AY5" s="96" t="str">
        <f>HYPERLINK("https://twitter.com/tapioylipuranen")</f>
        <v>https://twitter.com/tapioylipuranen</v>
      </c>
      <c r="AZ5" s="90" t="s">
        <v>66</v>
      </c>
      <c r="BA5" s="89" t="str">
        <f>REPLACE(INDEX(GroupVertices[Group],MATCH(Vertices[[#This Row],[Vertex]],GroupVertices[Vertex],0)),1,1,"")</f>
        <v>3</v>
      </c>
      <c r="BB5" s="49">
        <v>0</v>
      </c>
      <c r="BC5" s="50">
        <v>0</v>
      </c>
      <c r="BD5" s="49">
        <v>0</v>
      </c>
      <c r="BE5" s="50">
        <v>0</v>
      </c>
      <c r="BF5" s="49">
        <v>0</v>
      </c>
      <c r="BG5" s="50">
        <v>0</v>
      </c>
      <c r="BH5" s="49">
        <v>14</v>
      </c>
      <c r="BI5" s="50">
        <v>100</v>
      </c>
      <c r="BJ5" s="49">
        <v>14</v>
      </c>
      <c r="BK5" s="49" t="s">
        <v>1983</v>
      </c>
      <c r="BL5" s="49" t="s">
        <v>1983</v>
      </c>
      <c r="BM5" s="49" t="s">
        <v>333</v>
      </c>
      <c r="BN5" s="49" t="s">
        <v>333</v>
      </c>
      <c r="BO5" s="49" t="s">
        <v>338</v>
      </c>
      <c r="BP5" s="49" t="s">
        <v>338</v>
      </c>
      <c r="BQ5" s="116" t="s">
        <v>2078</v>
      </c>
      <c r="BR5" s="116" t="s">
        <v>2078</v>
      </c>
      <c r="BS5" s="116" t="s">
        <v>2091</v>
      </c>
      <c r="BT5" s="116" t="s">
        <v>2091</v>
      </c>
      <c r="BU5" s="2"/>
      <c r="BV5" s="3"/>
      <c r="BW5" s="3"/>
      <c r="BX5" s="3"/>
      <c r="BY5" s="3"/>
    </row>
    <row r="6" spans="1:77" ht="15">
      <c r="A6" s="66" t="s">
        <v>226</v>
      </c>
      <c r="B6" s="67"/>
      <c r="C6" s="67" t="s">
        <v>46</v>
      </c>
      <c r="D6" s="68"/>
      <c r="E6" s="117"/>
      <c r="F6" s="105" t="str">
        <f>HYPERLINK("https://pbs.twimg.com/profile_images/1180386173451194368/-Csx05P8_normal.jpg")</f>
        <v>https://pbs.twimg.com/profile_images/1180386173451194368/-Csx05P8_normal.jpg</v>
      </c>
      <c r="G6" s="118"/>
      <c r="H6" s="71" t="s">
        <v>226</v>
      </c>
      <c r="I6" s="72" t="s">
        <v>2109</v>
      </c>
      <c r="J6" s="119" t="s">
        <v>73</v>
      </c>
      <c r="K6" s="71" t="s">
        <v>829</v>
      </c>
      <c r="L6" s="120">
        <v>1</v>
      </c>
      <c r="M6" s="76">
        <v>5783.99462890625</v>
      </c>
      <c r="N6" s="76">
        <v>5147.703125</v>
      </c>
      <c r="O6" s="77"/>
      <c r="P6" s="78"/>
      <c r="Q6" s="78"/>
      <c r="R6" s="121"/>
      <c r="S6" s="49">
        <v>0</v>
      </c>
      <c r="T6" s="49">
        <v>3</v>
      </c>
      <c r="U6" s="50">
        <v>0</v>
      </c>
      <c r="V6" s="50">
        <v>0.005376</v>
      </c>
      <c r="W6" s="50">
        <v>0.009884</v>
      </c>
      <c r="X6" s="50">
        <v>0.519233</v>
      </c>
      <c r="Y6" s="50">
        <v>0.6666666666666666</v>
      </c>
      <c r="Z6" s="50">
        <v>0</v>
      </c>
      <c r="AA6" s="73">
        <v>6</v>
      </c>
      <c r="AB6" s="73"/>
      <c r="AC6" s="74"/>
      <c r="AD6" s="90" t="s">
        <v>572</v>
      </c>
      <c r="AE6" s="99" t="s">
        <v>651</v>
      </c>
      <c r="AF6" s="90">
        <v>2127</v>
      </c>
      <c r="AG6" s="90">
        <v>1324</v>
      </c>
      <c r="AH6" s="90">
        <v>13468</v>
      </c>
      <c r="AI6" s="90">
        <v>22034</v>
      </c>
      <c r="AJ6" s="90"/>
      <c r="AK6" s="90" t="s">
        <v>730</v>
      </c>
      <c r="AL6" s="90" t="s">
        <v>806</v>
      </c>
      <c r="AM6" s="90"/>
      <c r="AN6" s="90"/>
      <c r="AO6" s="93">
        <v>39882.49980324074</v>
      </c>
      <c r="AP6" s="96" t="str">
        <f>HYPERLINK("https://pbs.twimg.com/profile_banners/23583485/1584567447")</f>
        <v>https://pbs.twimg.com/profile_banners/23583485/1584567447</v>
      </c>
      <c r="AQ6" s="90" t="b">
        <v>1</v>
      </c>
      <c r="AR6" s="90" t="b">
        <v>0</v>
      </c>
      <c r="AS6" s="90" t="b">
        <v>1</v>
      </c>
      <c r="AT6" s="90"/>
      <c r="AU6" s="90">
        <v>29</v>
      </c>
      <c r="AV6" s="96" t="str">
        <f>HYPERLINK("https://abs.twimg.com/images/themes/theme1/bg.png")</f>
        <v>https://abs.twimg.com/images/themes/theme1/bg.png</v>
      </c>
      <c r="AW6" s="90" t="b">
        <v>0</v>
      </c>
      <c r="AX6" s="90" t="s">
        <v>827</v>
      </c>
      <c r="AY6" s="96" t="str">
        <f>HYPERLINK("https://twitter.com/jaakkoha")</f>
        <v>https://twitter.com/jaakkoha</v>
      </c>
      <c r="AZ6" s="90" t="s">
        <v>66</v>
      </c>
      <c r="BA6" s="89" t="str">
        <f>REPLACE(INDEX(GroupVertices[Group],MATCH(Vertices[[#This Row],[Vertex]],GroupVertices[Vertex],0)),1,1,"")</f>
        <v>1</v>
      </c>
      <c r="BB6" s="49">
        <v>0</v>
      </c>
      <c r="BC6" s="50">
        <v>0</v>
      </c>
      <c r="BD6" s="49">
        <v>0</v>
      </c>
      <c r="BE6" s="50">
        <v>0</v>
      </c>
      <c r="BF6" s="49">
        <v>0</v>
      </c>
      <c r="BG6" s="50">
        <v>0</v>
      </c>
      <c r="BH6" s="49">
        <v>28</v>
      </c>
      <c r="BI6" s="50">
        <v>100</v>
      </c>
      <c r="BJ6" s="49">
        <v>28</v>
      </c>
      <c r="BK6" s="49" t="s">
        <v>1981</v>
      </c>
      <c r="BL6" s="49" t="s">
        <v>1981</v>
      </c>
      <c r="BM6" s="49" t="s">
        <v>334</v>
      </c>
      <c r="BN6" s="49" t="s">
        <v>334</v>
      </c>
      <c r="BO6" s="49" t="s">
        <v>338</v>
      </c>
      <c r="BP6" s="49" t="s">
        <v>338</v>
      </c>
      <c r="BQ6" s="116" t="s">
        <v>2079</v>
      </c>
      <c r="BR6" s="116" t="s">
        <v>2079</v>
      </c>
      <c r="BS6" s="116" t="s">
        <v>2092</v>
      </c>
      <c r="BT6" s="116" t="s">
        <v>2092</v>
      </c>
      <c r="BU6" s="2"/>
      <c r="BV6" s="3"/>
      <c r="BW6" s="3"/>
      <c r="BX6" s="3"/>
      <c r="BY6" s="3"/>
    </row>
    <row r="7" spans="1:77" ht="15">
      <c r="A7" s="66" t="s">
        <v>299</v>
      </c>
      <c r="B7" s="67"/>
      <c r="C7" s="67" t="s">
        <v>64</v>
      </c>
      <c r="D7" s="68">
        <v>1000</v>
      </c>
      <c r="E7" s="117"/>
      <c r="F7" s="105" t="str">
        <f>HYPERLINK("https://pbs.twimg.com/profile_images/851407702769250304/dA8NaETZ_normal.jpg")</f>
        <v>https://pbs.twimg.com/profile_images/851407702769250304/dA8NaETZ_normal.jpg</v>
      </c>
      <c r="G7" s="118"/>
      <c r="H7" s="71" t="s">
        <v>299</v>
      </c>
      <c r="I7" s="72" t="s">
        <v>2109</v>
      </c>
      <c r="J7" s="119" t="s">
        <v>73</v>
      </c>
      <c r="K7" s="71" t="s">
        <v>830</v>
      </c>
      <c r="L7" s="120">
        <v>9101.74358974359</v>
      </c>
      <c r="M7" s="76">
        <v>3340.445068359375</v>
      </c>
      <c r="N7" s="76">
        <v>5000.94970703125</v>
      </c>
      <c r="O7" s="77"/>
      <c r="P7" s="78"/>
      <c r="Q7" s="78"/>
      <c r="R7" s="121"/>
      <c r="S7" s="49">
        <v>71</v>
      </c>
      <c r="T7" s="49">
        <v>2</v>
      </c>
      <c r="U7" s="50">
        <v>2114.323437</v>
      </c>
      <c r="V7" s="50">
        <v>0.008621</v>
      </c>
      <c r="W7" s="50">
        <v>0.051194</v>
      </c>
      <c r="X7" s="50">
        <v>10.424944</v>
      </c>
      <c r="Y7" s="50">
        <v>0.030907668231611892</v>
      </c>
      <c r="Z7" s="50">
        <v>0.013888888888888888</v>
      </c>
      <c r="AA7" s="73">
        <v>7</v>
      </c>
      <c r="AB7" s="73"/>
      <c r="AC7" s="74"/>
      <c r="AD7" s="90" t="s">
        <v>573</v>
      </c>
      <c r="AE7" s="99" t="s">
        <v>652</v>
      </c>
      <c r="AF7" s="90">
        <v>2434</v>
      </c>
      <c r="AG7" s="90">
        <v>48124</v>
      </c>
      <c r="AH7" s="90">
        <v>17214</v>
      </c>
      <c r="AI7" s="90">
        <v>28899</v>
      </c>
      <c r="AJ7" s="90"/>
      <c r="AK7" s="90" t="s">
        <v>731</v>
      </c>
      <c r="AL7" s="90" t="s">
        <v>806</v>
      </c>
      <c r="AM7" s="96" t="str">
        <f>HYPERLINK("https://t.co/3IKhm9DSrX")</f>
        <v>https://t.co/3IKhm9DSrX</v>
      </c>
      <c r="AN7" s="90"/>
      <c r="AO7" s="93">
        <v>40379.42534722222</v>
      </c>
      <c r="AP7" s="96" t="str">
        <f>HYPERLINK("https://pbs.twimg.com/profile_banners/168607383/1578918957")</f>
        <v>https://pbs.twimg.com/profile_banners/168607383/1578918957</v>
      </c>
      <c r="AQ7" s="90" t="b">
        <v>0</v>
      </c>
      <c r="AR7" s="90" t="b">
        <v>0</v>
      </c>
      <c r="AS7" s="90" t="b">
        <v>1</v>
      </c>
      <c r="AT7" s="90"/>
      <c r="AU7" s="90">
        <v>416</v>
      </c>
      <c r="AV7" s="96" t="str">
        <f>HYPERLINK("https://abs.twimg.com/images/themes/theme1/bg.png")</f>
        <v>https://abs.twimg.com/images/themes/theme1/bg.png</v>
      </c>
      <c r="AW7" s="90" t="b">
        <v>1</v>
      </c>
      <c r="AX7" s="90" t="s">
        <v>827</v>
      </c>
      <c r="AY7" s="96" t="str">
        <f>HYPERLINK("https://twitter.com/helsinkiuni")</f>
        <v>https://twitter.com/helsinkiuni</v>
      </c>
      <c r="AZ7" s="90" t="s">
        <v>66</v>
      </c>
      <c r="BA7" s="89" t="str">
        <f>REPLACE(INDEX(GroupVertices[Group],MATCH(Vertices[[#This Row],[Vertex]],GroupVertices[Vertex],0)),1,1,"")</f>
        <v>1</v>
      </c>
      <c r="BB7" s="49">
        <v>0</v>
      </c>
      <c r="BC7" s="50">
        <v>0</v>
      </c>
      <c r="BD7" s="49">
        <v>0</v>
      </c>
      <c r="BE7" s="50">
        <v>0</v>
      </c>
      <c r="BF7" s="49">
        <v>0</v>
      </c>
      <c r="BG7" s="50">
        <v>0</v>
      </c>
      <c r="BH7" s="49">
        <v>28</v>
      </c>
      <c r="BI7" s="50">
        <v>100</v>
      </c>
      <c r="BJ7" s="49">
        <v>28</v>
      </c>
      <c r="BK7" s="49" t="s">
        <v>1981</v>
      </c>
      <c r="BL7" s="49" t="s">
        <v>1981</v>
      </c>
      <c r="BM7" s="49" t="s">
        <v>334</v>
      </c>
      <c r="BN7" s="49" t="s">
        <v>334</v>
      </c>
      <c r="BO7" s="49" t="s">
        <v>338</v>
      </c>
      <c r="BP7" s="49" t="s">
        <v>338</v>
      </c>
      <c r="BQ7" s="116" t="s">
        <v>2079</v>
      </c>
      <c r="BR7" s="116" t="s">
        <v>2079</v>
      </c>
      <c r="BS7" s="116" t="s">
        <v>2092</v>
      </c>
      <c r="BT7" s="116" t="s">
        <v>2092</v>
      </c>
      <c r="BU7" s="2"/>
      <c r="BV7" s="3"/>
      <c r="BW7" s="3"/>
      <c r="BX7" s="3"/>
      <c r="BY7" s="3"/>
    </row>
    <row r="8" spans="1:77" ht="15">
      <c r="A8" s="66" t="s">
        <v>302</v>
      </c>
      <c r="B8" s="67"/>
      <c r="C8" s="67" t="s">
        <v>64</v>
      </c>
      <c r="D8" s="68">
        <v>1000</v>
      </c>
      <c r="E8" s="117"/>
      <c r="F8" s="105" t="str">
        <f>HYPERLINK("https://pbs.twimg.com/profile_images/1430456658602377216/t-6NKKMY_normal.jpg")</f>
        <v>https://pbs.twimg.com/profile_images/1430456658602377216/t-6NKKMY_normal.jpg</v>
      </c>
      <c r="G8" s="118"/>
      <c r="H8" s="71" t="s">
        <v>302</v>
      </c>
      <c r="I8" s="72" t="s">
        <v>2109</v>
      </c>
      <c r="J8" s="119" t="s">
        <v>75</v>
      </c>
      <c r="K8" s="71" t="s">
        <v>831</v>
      </c>
      <c r="L8" s="120">
        <v>8589.02564102564</v>
      </c>
      <c r="M8" s="76">
        <v>3469.670654296875</v>
      </c>
      <c r="N8" s="76">
        <v>5021.1279296875</v>
      </c>
      <c r="O8" s="77"/>
      <c r="P8" s="78"/>
      <c r="Q8" s="78"/>
      <c r="R8" s="121"/>
      <c r="S8" s="49">
        <v>67</v>
      </c>
      <c r="T8" s="49">
        <v>0</v>
      </c>
      <c r="U8" s="50">
        <v>1650.122602</v>
      </c>
      <c r="V8" s="50">
        <v>0.008264</v>
      </c>
      <c r="W8" s="50">
        <v>0.048552</v>
      </c>
      <c r="X8" s="50">
        <v>9.707191</v>
      </c>
      <c r="Y8" s="50">
        <v>0.03346901854364541</v>
      </c>
      <c r="Z8" s="50">
        <v>0</v>
      </c>
      <c r="AA8" s="73">
        <v>8</v>
      </c>
      <c r="AB8" s="73"/>
      <c r="AC8" s="74"/>
      <c r="AD8" s="90" t="s">
        <v>574</v>
      </c>
      <c r="AE8" s="99" t="s">
        <v>653</v>
      </c>
      <c r="AF8" s="90">
        <v>1141</v>
      </c>
      <c r="AG8" s="90">
        <v>43127</v>
      </c>
      <c r="AH8" s="90">
        <v>10533</v>
      </c>
      <c r="AI8" s="90">
        <v>6999</v>
      </c>
      <c r="AJ8" s="90"/>
      <c r="AK8" s="90" t="s">
        <v>732</v>
      </c>
      <c r="AL8" s="90" t="s">
        <v>807</v>
      </c>
      <c r="AM8" s="90"/>
      <c r="AN8" s="90"/>
      <c r="AO8" s="93">
        <v>40133.30637731482</v>
      </c>
      <c r="AP8" s="96" t="str">
        <f>HYPERLINK("https://pbs.twimg.com/profile_banners/90345811/1631532696")</f>
        <v>https://pbs.twimg.com/profile_banners/90345811/1631532696</v>
      </c>
      <c r="AQ8" s="90" t="b">
        <v>0</v>
      </c>
      <c r="AR8" s="90" t="b">
        <v>0</v>
      </c>
      <c r="AS8" s="90" t="b">
        <v>1</v>
      </c>
      <c r="AT8" s="90"/>
      <c r="AU8" s="90">
        <v>0</v>
      </c>
      <c r="AV8" s="96" t="str">
        <f>HYPERLINK("https://abs.twimg.com/images/themes/theme1/bg.png")</f>
        <v>https://abs.twimg.com/images/themes/theme1/bg.png</v>
      </c>
      <c r="AW8" s="90" t="b">
        <v>0</v>
      </c>
      <c r="AX8" s="90" t="s">
        <v>827</v>
      </c>
      <c r="AY8" s="96" t="str">
        <f>HYPERLINK("https://twitter.com/aaltouniversity")</f>
        <v>https://twitter.com/aaltouniversity</v>
      </c>
      <c r="AZ8" s="90" t="s">
        <v>65</v>
      </c>
      <c r="BA8" s="8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227</v>
      </c>
      <c r="B9" s="67"/>
      <c r="C9" s="67" t="s">
        <v>46</v>
      </c>
      <c r="D9" s="68"/>
      <c r="E9" s="117"/>
      <c r="F9" s="105" t="str">
        <f>HYPERLINK("https://pbs.twimg.com/profile_images/672706218281074689/3-e4p7PL_normal.jpg")</f>
        <v>https://pbs.twimg.com/profile_images/672706218281074689/3-e4p7PL_normal.jpg</v>
      </c>
      <c r="G9" s="118"/>
      <c r="H9" s="71" t="s">
        <v>227</v>
      </c>
      <c r="I9" s="72" t="s">
        <v>2109</v>
      </c>
      <c r="J9" s="119" t="s">
        <v>73</v>
      </c>
      <c r="K9" s="71" t="s">
        <v>832</v>
      </c>
      <c r="L9" s="120">
        <v>1</v>
      </c>
      <c r="M9" s="76">
        <v>1577.6392822265625</v>
      </c>
      <c r="N9" s="76">
        <v>1983.51953125</v>
      </c>
      <c r="O9" s="77"/>
      <c r="P9" s="78"/>
      <c r="Q9" s="78"/>
      <c r="R9" s="121"/>
      <c r="S9" s="49">
        <v>0</v>
      </c>
      <c r="T9" s="49">
        <v>3</v>
      </c>
      <c r="U9" s="50">
        <v>0</v>
      </c>
      <c r="V9" s="50">
        <v>0.005376</v>
      </c>
      <c r="W9" s="50">
        <v>0.009884</v>
      </c>
      <c r="X9" s="50">
        <v>0.519233</v>
      </c>
      <c r="Y9" s="50">
        <v>0.6666666666666666</v>
      </c>
      <c r="Z9" s="50">
        <v>0</v>
      </c>
      <c r="AA9" s="73">
        <v>9</v>
      </c>
      <c r="AB9" s="73"/>
      <c r="AC9" s="74"/>
      <c r="AD9" s="90" t="s">
        <v>575</v>
      </c>
      <c r="AE9" s="99" t="s">
        <v>654</v>
      </c>
      <c r="AF9" s="90">
        <v>4170</v>
      </c>
      <c r="AG9" s="90">
        <v>11962</v>
      </c>
      <c r="AH9" s="90">
        <v>222183</v>
      </c>
      <c r="AI9" s="90">
        <v>262475</v>
      </c>
      <c r="AJ9" s="90"/>
      <c r="AK9" s="90" t="s">
        <v>733</v>
      </c>
      <c r="AL9" s="90" t="s">
        <v>807</v>
      </c>
      <c r="AM9" s="96" t="str">
        <f>HYPERLINK("https://t.co/v2YsI8clrY")</f>
        <v>https://t.co/v2YsI8clrY</v>
      </c>
      <c r="AN9" s="90"/>
      <c r="AO9" s="93">
        <v>40027.58225694444</v>
      </c>
      <c r="AP9" s="96" t="str">
        <f>HYPERLINK("https://pbs.twimg.com/profile_banners/62264590/1449220585")</f>
        <v>https://pbs.twimg.com/profile_banners/62264590/1449220585</v>
      </c>
      <c r="AQ9" s="90" t="b">
        <v>0</v>
      </c>
      <c r="AR9" s="90" t="b">
        <v>0</v>
      </c>
      <c r="AS9" s="90" t="b">
        <v>0</v>
      </c>
      <c r="AT9" s="90"/>
      <c r="AU9" s="90">
        <v>155</v>
      </c>
      <c r="AV9" s="96" t="str">
        <f>HYPERLINK("https://abs.twimg.com/images/themes/theme1/bg.png")</f>
        <v>https://abs.twimg.com/images/themes/theme1/bg.png</v>
      </c>
      <c r="AW9" s="90" t="b">
        <v>0</v>
      </c>
      <c r="AX9" s="90" t="s">
        <v>827</v>
      </c>
      <c r="AY9" s="96" t="str">
        <f>HYPERLINK("https://twitter.com/jmkorhonen")</f>
        <v>https://twitter.com/jmkorhonen</v>
      </c>
      <c r="AZ9" s="90" t="s">
        <v>66</v>
      </c>
      <c r="BA9" s="89" t="str">
        <f>REPLACE(INDEX(GroupVertices[Group],MATCH(Vertices[[#This Row],[Vertex]],GroupVertices[Vertex],0)),1,1,"")</f>
        <v>1</v>
      </c>
      <c r="BB9" s="49">
        <v>0</v>
      </c>
      <c r="BC9" s="50">
        <v>0</v>
      </c>
      <c r="BD9" s="49">
        <v>0</v>
      </c>
      <c r="BE9" s="50">
        <v>0</v>
      </c>
      <c r="BF9" s="49">
        <v>0</v>
      </c>
      <c r="BG9" s="50">
        <v>0</v>
      </c>
      <c r="BH9" s="49">
        <v>28</v>
      </c>
      <c r="BI9" s="50">
        <v>100</v>
      </c>
      <c r="BJ9" s="49">
        <v>28</v>
      </c>
      <c r="BK9" s="49" t="s">
        <v>1981</v>
      </c>
      <c r="BL9" s="49" t="s">
        <v>1981</v>
      </c>
      <c r="BM9" s="49" t="s">
        <v>334</v>
      </c>
      <c r="BN9" s="49" t="s">
        <v>334</v>
      </c>
      <c r="BO9" s="49" t="s">
        <v>338</v>
      </c>
      <c r="BP9" s="49" t="s">
        <v>338</v>
      </c>
      <c r="BQ9" s="116" t="s">
        <v>2079</v>
      </c>
      <c r="BR9" s="116" t="s">
        <v>2079</v>
      </c>
      <c r="BS9" s="116" t="s">
        <v>2092</v>
      </c>
      <c r="BT9" s="116" t="s">
        <v>2092</v>
      </c>
      <c r="BU9" s="2"/>
      <c r="BV9" s="3"/>
      <c r="BW9" s="3"/>
      <c r="BX9" s="3"/>
      <c r="BY9" s="3"/>
    </row>
    <row r="10" spans="1:77" ht="15">
      <c r="A10" s="66" t="s">
        <v>228</v>
      </c>
      <c r="B10" s="67"/>
      <c r="C10" s="67" t="s">
        <v>46</v>
      </c>
      <c r="D10" s="68"/>
      <c r="E10" s="117"/>
      <c r="F10" s="105" t="str">
        <f>HYPERLINK("https://pbs.twimg.com/profile_images/1341750501902348288/347zR34M_normal.jpg")</f>
        <v>https://pbs.twimg.com/profile_images/1341750501902348288/347zR34M_normal.jpg</v>
      </c>
      <c r="G10" s="118"/>
      <c r="H10" s="71" t="s">
        <v>228</v>
      </c>
      <c r="I10" s="72" t="s">
        <v>2109</v>
      </c>
      <c r="J10" s="119" t="s">
        <v>73</v>
      </c>
      <c r="K10" s="71" t="s">
        <v>833</v>
      </c>
      <c r="L10" s="120">
        <v>1</v>
      </c>
      <c r="M10" s="76">
        <v>3740.00341796875</v>
      </c>
      <c r="N10" s="76">
        <v>9547.7978515625</v>
      </c>
      <c r="O10" s="77"/>
      <c r="P10" s="78"/>
      <c r="Q10" s="78"/>
      <c r="R10" s="121"/>
      <c r="S10" s="49">
        <v>0</v>
      </c>
      <c r="T10" s="49">
        <v>3</v>
      </c>
      <c r="U10" s="50">
        <v>0</v>
      </c>
      <c r="V10" s="50">
        <v>0.005376</v>
      </c>
      <c r="W10" s="50">
        <v>0.009884</v>
      </c>
      <c r="X10" s="50">
        <v>0.519233</v>
      </c>
      <c r="Y10" s="50">
        <v>0.6666666666666666</v>
      </c>
      <c r="Z10" s="50">
        <v>0</v>
      </c>
      <c r="AA10" s="73">
        <v>10</v>
      </c>
      <c r="AB10" s="73"/>
      <c r="AC10" s="74"/>
      <c r="AD10" s="90" t="s">
        <v>576</v>
      </c>
      <c r="AE10" s="99" t="s">
        <v>655</v>
      </c>
      <c r="AF10" s="90">
        <v>84</v>
      </c>
      <c r="AG10" s="90">
        <v>12</v>
      </c>
      <c r="AH10" s="90">
        <v>887</v>
      </c>
      <c r="AI10" s="90">
        <v>12238</v>
      </c>
      <c r="AJ10" s="90"/>
      <c r="AK10" s="90"/>
      <c r="AL10" s="90"/>
      <c r="AM10" s="90"/>
      <c r="AN10" s="90"/>
      <c r="AO10" s="93">
        <v>43675.496770833335</v>
      </c>
      <c r="AP10" s="96" t="str">
        <f>HYPERLINK("https://pbs.twimg.com/profile_banners/1155809028704034817/1577952978")</f>
        <v>https://pbs.twimg.com/profile_banners/1155809028704034817/1577952978</v>
      </c>
      <c r="AQ10" s="90" t="b">
        <v>1</v>
      </c>
      <c r="AR10" s="90" t="b">
        <v>0</v>
      </c>
      <c r="AS10" s="90" t="b">
        <v>0</v>
      </c>
      <c r="AT10" s="90"/>
      <c r="AU10" s="90">
        <v>0</v>
      </c>
      <c r="AV10" s="90"/>
      <c r="AW10" s="90" t="b">
        <v>0</v>
      </c>
      <c r="AX10" s="90" t="s">
        <v>827</v>
      </c>
      <c r="AY10" s="96" t="str">
        <f>HYPERLINK("https://twitter.com/sari62494762")</f>
        <v>https://twitter.com/sari62494762</v>
      </c>
      <c r="AZ10" s="90" t="s">
        <v>66</v>
      </c>
      <c r="BA10" s="89" t="str">
        <f>REPLACE(INDEX(GroupVertices[Group],MATCH(Vertices[[#This Row],[Vertex]],GroupVertices[Vertex],0)),1,1,"")</f>
        <v>1</v>
      </c>
      <c r="BB10" s="49">
        <v>0</v>
      </c>
      <c r="BC10" s="50">
        <v>0</v>
      </c>
      <c r="BD10" s="49">
        <v>0</v>
      </c>
      <c r="BE10" s="50">
        <v>0</v>
      </c>
      <c r="BF10" s="49">
        <v>0</v>
      </c>
      <c r="BG10" s="50">
        <v>0</v>
      </c>
      <c r="BH10" s="49">
        <v>28</v>
      </c>
      <c r="BI10" s="50">
        <v>100</v>
      </c>
      <c r="BJ10" s="49">
        <v>28</v>
      </c>
      <c r="BK10" s="49" t="s">
        <v>1981</v>
      </c>
      <c r="BL10" s="49" t="s">
        <v>1981</v>
      </c>
      <c r="BM10" s="49" t="s">
        <v>334</v>
      </c>
      <c r="BN10" s="49" t="s">
        <v>334</v>
      </c>
      <c r="BO10" s="49" t="s">
        <v>338</v>
      </c>
      <c r="BP10" s="49" t="s">
        <v>338</v>
      </c>
      <c r="BQ10" s="116" t="s">
        <v>2079</v>
      </c>
      <c r="BR10" s="116" t="s">
        <v>2079</v>
      </c>
      <c r="BS10" s="116" t="s">
        <v>2092</v>
      </c>
      <c r="BT10" s="116" t="s">
        <v>2092</v>
      </c>
      <c r="BU10" s="2"/>
      <c r="BV10" s="3"/>
      <c r="BW10" s="3"/>
      <c r="BX10" s="3"/>
      <c r="BY10" s="3"/>
    </row>
    <row r="11" spans="1:77" ht="15">
      <c r="A11" s="66" t="s">
        <v>229</v>
      </c>
      <c r="B11" s="67"/>
      <c r="C11" s="67" t="s">
        <v>46</v>
      </c>
      <c r="D11" s="68"/>
      <c r="E11" s="117"/>
      <c r="F11" s="105" t="str">
        <f>HYPERLINK("https://pbs.twimg.com/profile_images/1204753737232859140/il5OdkIT_normal.jpg")</f>
        <v>https://pbs.twimg.com/profile_images/1204753737232859140/il5OdkIT_normal.jpg</v>
      </c>
      <c r="G11" s="118"/>
      <c r="H11" s="71" t="s">
        <v>229</v>
      </c>
      <c r="I11" s="72" t="s">
        <v>2109</v>
      </c>
      <c r="J11" s="119" t="s">
        <v>73</v>
      </c>
      <c r="K11" s="71" t="s">
        <v>834</v>
      </c>
      <c r="L11" s="120">
        <v>1</v>
      </c>
      <c r="M11" s="76">
        <v>1444.6346435546875</v>
      </c>
      <c r="N11" s="76">
        <v>4011.978759765625</v>
      </c>
      <c r="O11" s="77"/>
      <c r="P11" s="78"/>
      <c r="Q11" s="78"/>
      <c r="R11" s="121"/>
      <c r="S11" s="49">
        <v>0</v>
      </c>
      <c r="T11" s="49">
        <v>3</v>
      </c>
      <c r="U11" s="50">
        <v>0</v>
      </c>
      <c r="V11" s="50">
        <v>0.005376</v>
      </c>
      <c r="W11" s="50">
        <v>0.009884</v>
      </c>
      <c r="X11" s="50">
        <v>0.519233</v>
      </c>
      <c r="Y11" s="50">
        <v>0.6666666666666666</v>
      </c>
      <c r="Z11" s="50">
        <v>0</v>
      </c>
      <c r="AA11" s="73">
        <v>11</v>
      </c>
      <c r="AB11" s="73"/>
      <c r="AC11" s="74"/>
      <c r="AD11" s="90" t="s">
        <v>577</v>
      </c>
      <c r="AE11" s="99" t="s">
        <v>656</v>
      </c>
      <c r="AF11" s="90">
        <v>9077</v>
      </c>
      <c r="AG11" s="90">
        <v>12720</v>
      </c>
      <c r="AH11" s="90">
        <v>891</v>
      </c>
      <c r="AI11" s="90">
        <v>1423</v>
      </c>
      <c r="AJ11" s="90"/>
      <c r="AK11" s="90" t="s">
        <v>734</v>
      </c>
      <c r="AL11" s="90" t="s">
        <v>808</v>
      </c>
      <c r="AM11" s="96" t="str">
        <f>HYPERLINK("https://t.co/zQ487nxJXd")</f>
        <v>https://t.co/zQ487nxJXd</v>
      </c>
      <c r="AN11" s="90"/>
      <c r="AO11" s="93">
        <v>40516.58994212963</v>
      </c>
      <c r="AP11" s="96" t="str">
        <f>HYPERLINK("https://pbs.twimg.com/profile_banners/222802607/1484743234")</f>
        <v>https://pbs.twimg.com/profile_banners/222802607/1484743234</v>
      </c>
      <c r="AQ11" s="90" t="b">
        <v>1</v>
      </c>
      <c r="AR11" s="90" t="b">
        <v>0</v>
      </c>
      <c r="AS11" s="90" t="b">
        <v>1</v>
      </c>
      <c r="AT11" s="90"/>
      <c r="AU11" s="90">
        <v>93</v>
      </c>
      <c r="AV11" s="96" t="str">
        <f>HYPERLINK("https://abs.twimg.com/images/themes/theme1/bg.png")</f>
        <v>https://abs.twimg.com/images/themes/theme1/bg.png</v>
      </c>
      <c r="AW11" s="90" t="b">
        <v>0</v>
      </c>
      <c r="AX11" s="90" t="s">
        <v>827</v>
      </c>
      <c r="AY11" s="96" t="str">
        <f>HYPERLINK("https://twitter.com/v_pikkarainen")</f>
        <v>https://twitter.com/v_pikkarainen</v>
      </c>
      <c r="AZ11" s="90" t="s">
        <v>66</v>
      </c>
      <c r="BA11" s="89" t="str">
        <f>REPLACE(INDEX(GroupVertices[Group],MATCH(Vertices[[#This Row],[Vertex]],GroupVertices[Vertex],0)),1,1,"")</f>
        <v>1</v>
      </c>
      <c r="BB11" s="49">
        <v>0</v>
      </c>
      <c r="BC11" s="50">
        <v>0</v>
      </c>
      <c r="BD11" s="49">
        <v>0</v>
      </c>
      <c r="BE11" s="50">
        <v>0</v>
      </c>
      <c r="BF11" s="49">
        <v>0</v>
      </c>
      <c r="BG11" s="50">
        <v>0</v>
      </c>
      <c r="BH11" s="49">
        <v>28</v>
      </c>
      <c r="BI11" s="50">
        <v>100</v>
      </c>
      <c r="BJ11" s="49">
        <v>28</v>
      </c>
      <c r="BK11" s="49" t="s">
        <v>1981</v>
      </c>
      <c r="BL11" s="49" t="s">
        <v>1981</v>
      </c>
      <c r="BM11" s="49" t="s">
        <v>334</v>
      </c>
      <c r="BN11" s="49" t="s">
        <v>334</v>
      </c>
      <c r="BO11" s="49" t="s">
        <v>338</v>
      </c>
      <c r="BP11" s="49" t="s">
        <v>338</v>
      </c>
      <c r="BQ11" s="116" t="s">
        <v>2079</v>
      </c>
      <c r="BR11" s="116" t="s">
        <v>2079</v>
      </c>
      <c r="BS11" s="116" t="s">
        <v>2092</v>
      </c>
      <c r="BT11" s="116" t="s">
        <v>2092</v>
      </c>
      <c r="BU11" s="2"/>
      <c r="BV11" s="3"/>
      <c r="BW11" s="3"/>
      <c r="BX11" s="3"/>
      <c r="BY11" s="3"/>
    </row>
    <row r="12" spans="1:77" ht="15">
      <c r="A12" s="66" t="s">
        <v>230</v>
      </c>
      <c r="B12" s="67"/>
      <c r="C12" s="67" t="s">
        <v>46</v>
      </c>
      <c r="D12" s="68"/>
      <c r="E12" s="117"/>
      <c r="F12" s="105" t="str">
        <f>HYPERLINK("https://pbs.twimg.com/profile_images/1289346532198821889/Of6Iy-81_normal.jpg")</f>
        <v>https://pbs.twimg.com/profile_images/1289346532198821889/Of6Iy-81_normal.jpg</v>
      </c>
      <c r="G12" s="118"/>
      <c r="H12" s="71" t="s">
        <v>230</v>
      </c>
      <c r="I12" s="72" t="s">
        <v>2109</v>
      </c>
      <c r="J12" s="119" t="s">
        <v>73</v>
      </c>
      <c r="K12" s="71" t="s">
        <v>835</v>
      </c>
      <c r="L12" s="120">
        <v>1</v>
      </c>
      <c r="M12" s="76">
        <v>1467.3482666015625</v>
      </c>
      <c r="N12" s="76">
        <v>7858.37744140625</v>
      </c>
      <c r="O12" s="77"/>
      <c r="P12" s="78"/>
      <c r="Q12" s="78"/>
      <c r="R12" s="121"/>
      <c r="S12" s="49">
        <v>0</v>
      </c>
      <c r="T12" s="49">
        <v>3</v>
      </c>
      <c r="U12" s="50">
        <v>0</v>
      </c>
      <c r="V12" s="50">
        <v>0.005376</v>
      </c>
      <c r="W12" s="50">
        <v>0.009884</v>
      </c>
      <c r="X12" s="50">
        <v>0.519233</v>
      </c>
      <c r="Y12" s="50">
        <v>0.6666666666666666</v>
      </c>
      <c r="Z12" s="50">
        <v>0</v>
      </c>
      <c r="AA12" s="73">
        <v>12</v>
      </c>
      <c r="AB12" s="73"/>
      <c r="AC12" s="74"/>
      <c r="AD12" s="90" t="s">
        <v>578</v>
      </c>
      <c r="AE12" s="99" t="s">
        <v>657</v>
      </c>
      <c r="AF12" s="90">
        <v>3288</v>
      </c>
      <c r="AG12" s="90">
        <v>3368</v>
      </c>
      <c r="AH12" s="90">
        <v>4415</v>
      </c>
      <c r="AI12" s="90">
        <v>15156</v>
      </c>
      <c r="AJ12" s="90"/>
      <c r="AK12" s="90" t="s">
        <v>735</v>
      </c>
      <c r="AL12" s="90" t="s">
        <v>806</v>
      </c>
      <c r="AM12" s="96" t="str">
        <f>HYPERLINK("https://t.co/OJcWHIaPxc")</f>
        <v>https://t.co/OJcWHIaPxc</v>
      </c>
      <c r="AN12" s="90"/>
      <c r="AO12" s="93">
        <v>42876.76008101852</v>
      </c>
      <c r="AP12" s="96" t="str">
        <f>HYPERLINK("https://pbs.twimg.com/profile_banners/866356546355245056/1630739624")</f>
        <v>https://pbs.twimg.com/profile_banners/866356546355245056/1630739624</v>
      </c>
      <c r="AQ12" s="90" t="b">
        <v>0</v>
      </c>
      <c r="AR12" s="90" t="b">
        <v>0</v>
      </c>
      <c r="AS12" s="90" t="b">
        <v>0</v>
      </c>
      <c r="AT12" s="90"/>
      <c r="AU12" s="90">
        <v>13</v>
      </c>
      <c r="AV12" s="96" t="str">
        <f>HYPERLINK("https://abs.twimg.com/images/themes/theme1/bg.png")</f>
        <v>https://abs.twimg.com/images/themes/theme1/bg.png</v>
      </c>
      <c r="AW12" s="90" t="b">
        <v>0</v>
      </c>
      <c r="AX12" s="90" t="s">
        <v>827</v>
      </c>
      <c r="AY12" s="96" t="str">
        <f>HYPERLINK("https://twitter.com/teemupekkarinen")</f>
        <v>https://twitter.com/teemupekkarinen</v>
      </c>
      <c r="AZ12" s="90" t="s">
        <v>66</v>
      </c>
      <c r="BA12" s="89" t="str">
        <f>REPLACE(INDEX(GroupVertices[Group],MATCH(Vertices[[#This Row],[Vertex]],GroupVertices[Vertex],0)),1,1,"")</f>
        <v>1</v>
      </c>
      <c r="BB12" s="49">
        <v>0</v>
      </c>
      <c r="BC12" s="50">
        <v>0</v>
      </c>
      <c r="BD12" s="49">
        <v>0</v>
      </c>
      <c r="BE12" s="50">
        <v>0</v>
      </c>
      <c r="BF12" s="49">
        <v>0</v>
      </c>
      <c r="BG12" s="50">
        <v>0</v>
      </c>
      <c r="BH12" s="49">
        <v>28</v>
      </c>
      <c r="BI12" s="50">
        <v>100</v>
      </c>
      <c r="BJ12" s="49">
        <v>28</v>
      </c>
      <c r="BK12" s="49" t="s">
        <v>1981</v>
      </c>
      <c r="BL12" s="49" t="s">
        <v>1981</v>
      </c>
      <c r="BM12" s="49" t="s">
        <v>334</v>
      </c>
      <c r="BN12" s="49" t="s">
        <v>334</v>
      </c>
      <c r="BO12" s="49" t="s">
        <v>338</v>
      </c>
      <c r="BP12" s="49" t="s">
        <v>338</v>
      </c>
      <c r="BQ12" s="116" t="s">
        <v>2079</v>
      </c>
      <c r="BR12" s="116" t="s">
        <v>2079</v>
      </c>
      <c r="BS12" s="116" t="s">
        <v>2092</v>
      </c>
      <c r="BT12" s="116" t="s">
        <v>2092</v>
      </c>
      <c r="BU12" s="2"/>
      <c r="BV12" s="3"/>
      <c r="BW12" s="3"/>
      <c r="BX12" s="3"/>
      <c r="BY12" s="3"/>
    </row>
    <row r="13" spans="1:77" ht="15">
      <c r="A13" s="66" t="s">
        <v>231</v>
      </c>
      <c r="B13" s="67"/>
      <c r="C13" s="67" t="s">
        <v>46</v>
      </c>
      <c r="D13" s="68"/>
      <c r="E13" s="117"/>
      <c r="F13" s="105" t="str">
        <f>HYPERLINK("https://pbs.twimg.com/profile_images/539866984138407936/DP11Ej81_normal.jpeg")</f>
        <v>https://pbs.twimg.com/profile_images/539866984138407936/DP11Ej81_normal.jpeg</v>
      </c>
      <c r="G13" s="118"/>
      <c r="H13" s="71" t="s">
        <v>231</v>
      </c>
      <c r="I13" s="72" t="s">
        <v>2109</v>
      </c>
      <c r="J13" s="119" t="s">
        <v>73</v>
      </c>
      <c r="K13" s="71" t="s">
        <v>836</v>
      </c>
      <c r="L13" s="120">
        <v>1</v>
      </c>
      <c r="M13" s="76">
        <v>3983.40283203125</v>
      </c>
      <c r="N13" s="76">
        <v>8523.111328125</v>
      </c>
      <c r="O13" s="77"/>
      <c r="P13" s="78"/>
      <c r="Q13" s="78"/>
      <c r="R13" s="121"/>
      <c r="S13" s="49">
        <v>0</v>
      </c>
      <c r="T13" s="49">
        <v>3</v>
      </c>
      <c r="U13" s="50">
        <v>0</v>
      </c>
      <c r="V13" s="50">
        <v>0.005376</v>
      </c>
      <c r="W13" s="50">
        <v>0.009884</v>
      </c>
      <c r="X13" s="50">
        <v>0.519233</v>
      </c>
      <c r="Y13" s="50">
        <v>0.6666666666666666</v>
      </c>
      <c r="Z13" s="50">
        <v>0</v>
      </c>
      <c r="AA13" s="73">
        <v>13</v>
      </c>
      <c r="AB13" s="73"/>
      <c r="AC13" s="74"/>
      <c r="AD13" s="90" t="s">
        <v>579</v>
      </c>
      <c r="AE13" s="99" t="s">
        <v>658</v>
      </c>
      <c r="AF13" s="90">
        <v>907</v>
      </c>
      <c r="AG13" s="90">
        <v>1904</v>
      </c>
      <c r="AH13" s="90">
        <v>23270</v>
      </c>
      <c r="AI13" s="90">
        <v>10216</v>
      </c>
      <c r="AJ13" s="90"/>
      <c r="AK13" s="90" t="s">
        <v>736</v>
      </c>
      <c r="AL13" s="90" t="s">
        <v>809</v>
      </c>
      <c r="AM13" s="96" t="str">
        <f>HYPERLINK("https://t.co/xelriVqVzD")</f>
        <v>https://t.co/xelriVqVzD</v>
      </c>
      <c r="AN13" s="90"/>
      <c r="AO13" s="93">
        <v>40686.68969907407</v>
      </c>
      <c r="AP13" s="96" t="str">
        <f>HYPERLINK("https://pbs.twimg.com/profile_banners/303911418/1422452507")</f>
        <v>https://pbs.twimg.com/profile_banners/303911418/1422452507</v>
      </c>
      <c r="AQ13" s="90" t="b">
        <v>0</v>
      </c>
      <c r="AR13" s="90" t="b">
        <v>0</v>
      </c>
      <c r="AS13" s="90" t="b">
        <v>0</v>
      </c>
      <c r="AT13" s="90"/>
      <c r="AU13" s="90">
        <v>28</v>
      </c>
      <c r="AV13" s="96" t="str">
        <f>HYPERLINK("https://abs.twimg.com/images/themes/theme1/bg.png")</f>
        <v>https://abs.twimg.com/images/themes/theme1/bg.png</v>
      </c>
      <c r="AW13" s="90" t="b">
        <v>0</v>
      </c>
      <c r="AX13" s="90" t="s">
        <v>827</v>
      </c>
      <c r="AY13" s="96" t="str">
        <f>HYPERLINK("https://twitter.com/makisenjussi")</f>
        <v>https://twitter.com/makisenjussi</v>
      </c>
      <c r="AZ13" s="90" t="s">
        <v>66</v>
      </c>
      <c r="BA13" s="89" t="str">
        <f>REPLACE(INDEX(GroupVertices[Group],MATCH(Vertices[[#This Row],[Vertex]],GroupVertices[Vertex],0)),1,1,"")</f>
        <v>1</v>
      </c>
      <c r="BB13" s="49">
        <v>0</v>
      </c>
      <c r="BC13" s="50">
        <v>0</v>
      </c>
      <c r="BD13" s="49">
        <v>0</v>
      </c>
      <c r="BE13" s="50">
        <v>0</v>
      </c>
      <c r="BF13" s="49">
        <v>0</v>
      </c>
      <c r="BG13" s="50">
        <v>0</v>
      </c>
      <c r="BH13" s="49">
        <v>28</v>
      </c>
      <c r="BI13" s="50">
        <v>100</v>
      </c>
      <c r="BJ13" s="49">
        <v>28</v>
      </c>
      <c r="BK13" s="49" t="s">
        <v>1981</v>
      </c>
      <c r="BL13" s="49" t="s">
        <v>1981</v>
      </c>
      <c r="BM13" s="49" t="s">
        <v>334</v>
      </c>
      <c r="BN13" s="49" t="s">
        <v>334</v>
      </c>
      <c r="BO13" s="49" t="s">
        <v>338</v>
      </c>
      <c r="BP13" s="49" t="s">
        <v>338</v>
      </c>
      <c r="BQ13" s="116" t="s">
        <v>2079</v>
      </c>
      <c r="BR13" s="116" t="s">
        <v>2079</v>
      </c>
      <c r="BS13" s="116" t="s">
        <v>2092</v>
      </c>
      <c r="BT13" s="116" t="s">
        <v>2092</v>
      </c>
      <c r="BU13" s="2"/>
      <c r="BV13" s="3"/>
      <c r="BW13" s="3"/>
      <c r="BX13" s="3"/>
      <c r="BY13" s="3"/>
    </row>
    <row r="14" spans="1:77" ht="15">
      <c r="A14" s="66" t="s">
        <v>232</v>
      </c>
      <c r="B14" s="67"/>
      <c r="C14" s="67" t="s">
        <v>46</v>
      </c>
      <c r="D14" s="68"/>
      <c r="E14" s="117"/>
      <c r="F14" s="105" t="str">
        <f>HYPERLINK("https://pbs.twimg.com/profile_images/1244540235700228096/9VumH2jc_normal.jpg")</f>
        <v>https://pbs.twimg.com/profile_images/1244540235700228096/9VumH2jc_normal.jpg</v>
      </c>
      <c r="G14" s="118"/>
      <c r="H14" s="71" t="s">
        <v>232</v>
      </c>
      <c r="I14" s="72" t="s">
        <v>2109</v>
      </c>
      <c r="J14" s="119" t="s">
        <v>73</v>
      </c>
      <c r="K14" s="71" t="s">
        <v>837</v>
      </c>
      <c r="L14" s="120">
        <v>1</v>
      </c>
      <c r="M14" s="76">
        <v>2191.736572265625</v>
      </c>
      <c r="N14" s="76">
        <v>4165.3076171875</v>
      </c>
      <c r="O14" s="77"/>
      <c r="P14" s="78"/>
      <c r="Q14" s="78"/>
      <c r="R14" s="121"/>
      <c r="S14" s="49">
        <v>0</v>
      </c>
      <c r="T14" s="49">
        <v>3</v>
      </c>
      <c r="U14" s="50">
        <v>0</v>
      </c>
      <c r="V14" s="50">
        <v>0.005376</v>
      </c>
      <c r="W14" s="50">
        <v>0.009884</v>
      </c>
      <c r="X14" s="50">
        <v>0.519233</v>
      </c>
      <c r="Y14" s="50">
        <v>0.6666666666666666</v>
      </c>
      <c r="Z14" s="50">
        <v>0</v>
      </c>
      <c r="AA14" s="73">
        <v>14</v>
      </c>
      <c r="AB14" s="73"/>
      <c r="AC14" s="74"/>
      <c r="AD14" s="90" t="s">
        <v>580</v>
      </c>
      <c r="AE14" s="99" t="s">
        <v>659</v>
      </c>
      <c r="AF14" s="90">
        <v>23547</v>
      </c>
      <c r="AG14" s="90">
        <v>85768</v>
      </c>
      <c r="AH14" s="90">
        <v>71518</v>
      </c>
      <c r="AI14" s="90">
        <v>94199</v>
      </c>
      <c r="AJ14" s="90"/>
      <c r="AK14" s="90" t="s">
        <v>737</v>
      </c>
      <c r="AL14" s="90" t="s">
        <v>810</v>
      </c>
      <c r="AM14" s="96" t="str">
        <f>HYPERLINK("https://t.co/CWVm73Z6iu")</f>
        <v>https://t.co/CWVm73Z6iu</v>
      </c>
      <c r="AN14" s="90"/>
      <c r="AO14" s="93">
        <v>39645.69641203704</v>
      </c>
      <c r="AP14" s="96" t="str">
        <f>HYPERLINK("https://pbs.twimg.com/profile_banners/15456487/1526966521")</f>
        <v>https://pbs.twimg.com/profile_banners/15456487/1526966521</v>
      </c>
      <c r="AQ14" s="90" t="b">
        <v>0</v>
      </c>
      <c r="AR14" s="90" t="b">
        <v>0</v>
      </c>
      <c r="AS14" s="90" t="b">
        <v>1</v>
      </c>
      <c r="AT14" s="90"/>
      <c r="AU14" s="90">
        <v>694</v>
      </c>
      <c r="AV14" s="96" t="str">
        <f>HYPERLINK("https://abs.twimg.com/images/themes/theme1/bg.png")</f>
        <v>https://abs.twimg.com/images/themes/theme1/bg.png</v>
      </c>
      <c r="AW14" s="90" t="b">
        <v>0</v>
      </c>
      <c r="AX14" s="90" t="s">
        <v>827</v>
      </c>
      <c r="AY14" s="96" t="str">
        <f>HYPERLINK("https://twitter.com/pvesterbacka")</f>
        <v>https://twitter.com/pvesterbacka</v>
      </c>
      <c r="AZ14" s="90" t="s">
        <v>66</v>
      </c>
      <c r="BA14" s="89" t="str">
        <f>REPLACE(INDEX(GroupVertices[Group],MATCH(Vertices[[#This Row],[Vertex]],GroupVertices[Vertex],0)),1,1,"")</f>
        <v>1</v>
      </c>
      <c r="BB14" s="49">
        <v>0</v>
      </c>
      <c r="BC14" s="50">
        <v>0</v>
      </c>
      <c r="BD14" s="49">
        <v>0</v>
      </c>
      <c r="BE14" s="50">
        <v>0</v>
      </c>
      <c r="BF14" s="49">
        <v>0</v>
      </c>
      <c r="BG14" s="50">
        <v>0</v>
      </c>
      <c r="BH14" s="49">
        <v>28</v>
      </c>
      <c r="BI14" s="50">
        <v>100</v>
      </c>
      <c r="BJ14" s="49">
        <v>28</v>
      </c>
      <c r="BK14" s="49" t="s">
        <v>1981</v>
      </c>
      <c r="BL14" s="49" t="s">
        <v>1981</v>
      </c>
      <c r="BM14" s="49" t="s">
        <v>334</v>
      </c>
      <c r="BN14" s="49" t="s">
        <v>334</v>
      </c>
      <c r="BO14" s="49" t="s">
        <v>338</v>
      </c>
      <c r="BP14" s="49" t="s">
        <v>338</v>
      </c>
      <c r="BQ14" s="116" t="s">
        <v>2079</v>
      </c>
      <c r="BR14" s="116" t="s">
        <v>2079</v>
      </c>
      <c r="BS14" s="116" t="s">
        <v>2092</v>
      </c>
      <c r="BT14" s="116" t="s">
        <v>2092</v>
      </c>
      <c r="BU14" s="2"/>
      <c r="BV14" s="3"/>
      <c r="BW14" s="3"/>
      <c r="BX14" s="3"/>
      <c r="BY14" s="3"/>
    </row>
    <row r="15" spans="1:77" ht="15">
      <c r="A15" s="66" t="s">
        <v>233</v>
      </c>
      <c r="B15" s="67"/>
      <c r="C15" s="67" t="s">
        <v>46</v>
      </c>
      <c r="D15" s="68"/>
      <c r="E15" s="117"/>
      <c r="F15" s="105" t="str">
        <f>HYPERLINK("https://pbs.twimg.com/profile_images/1383908234461777927/PzYaiI7__normal.jpg")</f>
        <v>https://pbs.twimg.com/profile_images/1383908234461777927/PzYaiI7__normal.jpg</v>
      </c>
      <c r="G15" s="118"/>
      <c r="H15" s="71" t="s">
        <v>233</v>
      </c>
      <c r="I15" s="72" t="s">
        <v>2109</v>
      </c>
      <c r="J15" s="119" t="s">
        <v>73</v>
      </c>
      <c r="K15" s="71" t="s">
        <v>838</v>
      </c>
      <c r="L15" s="120">
        <v>1</v>
      </c>
      <c r="M15" s="76">
        <v>1056.728759765625</v>
      </c>
      <c r="N15" s="76">
        <v>4710.6630859375</v>
      </c>
      <c r="O15" s="77"/>
      <c r="P15" s="78"/>
      <c r="Q15" s="78"/>
      <c r="R15" s="121"/>
      <c r="S15" s="49">
        <v>0</v>
      </c>
      <c r="T15" s="49">
        <v>3</v>
      </c>
      <c r="U15" s="50">
        <v>0</v>
      </c>
      <c r="V15" s="50">
        <v>0.005376</v>
      </c>
      <c r="W15" s="50">
        <v>0.009884</v>
      </c>
      <c r="X15" s="50">
        <v>0.519233</v>
      </c>
      <c r="Y15" s="50">
        <v>0.6666666666666666</v>
      </c>
      <c r="Z15" s="50">
        <v>0</v>
      </c>
      <c r="AA15" s="73">
        <v>15</v>
      </c>
      <c r="AB15" s="73"/>
      <c r="AC15" s="74"/>
      <c r="AD15" s="90" t="s">
        <v>581</v>
      </c>
      <c r="AE15" s="99" t="s">
        <v>660</v>
      </c>
      <c r="AF15" s="90">
        <v>299</v>
      </c>
      <c r="AG15" s="90">
        <v>6937</v>
      </c>
      <c r="AH15" s="90">
        <v>4847</v>
      </c>
      <c r="AI15" s="90">
        <v>543</v>
      </c>
      <c r="AJ15" s="90"/>
      <c r="AK15" s="90" t="s">
        <v>738</v>
      </c>
      <c r="AL15" s="90" t="s">
        <v>811</v>
      </c>
      <c r="AM15" s="90"/>
      <c r="AN15" s="90"/>
      <c r="AO15" s="93">
        <v>42679.638506944444</v>
      </c>
      <c r="AP15" s="96" t="str">
        <f>HYPERLINK("https://pbs.twimg.com/profile_banners/794922078503895040/1478775788")</f>
        <v>https://pbs.twimg.com/profile_banners/794922078503895040/1478775788</v>
      </c>
      <c r="AQ15" s="90" t="b">
        <v>1</v>
      </c>
      <c r="AR15" s="90" t="b">
        <v>0</v>
      </c>
      <c r="AS15" s="90" t="b">
        <v>0</v>
      </c>
      <c r="AT15" s="90"/>
      <c r="AU15" s="90">
        <v>37</v>
      </c>
      <c r="AV15" s="90"/>
      <c r="AW15" s="90" t="b">
        <v>0</v>
      </c>
      <c r="AX15" s="90" t="s">
        <v>827</v>
      </c>
      <c r="AY15" s="96" t="str">
        <f>HYPERLINK("https://twitter.com/roope_uusitalo")</f>
        <v>https://twitter.com/roope_uusitalo</v>
      </c>
      <c r="AZ15" s="90" t="s">
        <v>66</v>
      </c>
      <c r="BA15" s="89" t="str">
        <f>REPLACE(INDEX(GroupVertices[Group],MATCH(Vertices[[#This Row],[Vertex]],GroupVertices[Vertex],0)),1,1,"")</f>
        <v>1</v>
      </c>
      <c r="BB15" s="49">
        <v>0</v>
      </c>
      <c r="BC15" s="50">
        <v>0</v>
      </c>
      <c r="BD15" s="49">
        <v>0</v>
      </c>
      <c r="BE15" s="50">
        <v>0</v>
      </c>
      <c r="BF15" s="49">
        <v>0</v>
      </c>
      <c r="BG15" s="50">
        <v>0</v>
      </c>
      <c r="BH15" s="49">
        <v>28</v>
      </c>
      <c r="BI15" s="50">
        <v>100</v>
      </c>
      <c r="BJ15" s="49">
        <v>28</v>
      </c>
      <c r="BK15" s="49" t="s">
        <v>1981</v>
      </c>
      <c r="BL15" s="49" t="s">
        <v>1981</v>
      </c>
      <c r="BM15" s="49" t="s">
        <v>334</v>
      </c>
      <c r="BN15" s="49" t="s">
        <v>334</v>
      </c>
      <c r="BO15" s="49" t="s">
        <v>338</v>
      </c>
      <c r="BP15" s="49" t="s">
        <v>338</v>
      </c>
      <c r="BQ15" s="116" t="s">
        <v>2079</v>
      </c>
      <c r="BR15" s="116" t="s">
        <v>2079</v>
      </c>
      <c r="BS15" s="116" t="s">
        <v>2092</v>
      </c>
      <c r="BT15" s="116" t="s">
        <v>2092</v>
      </c>
      <c r="BU15" s="2"/>
      <c r="BV15" s="3"/>
      <c r="BW15" s="3"/>
      <c r="BX15" s="3"/>
      <c r="BY15" s="3"/>
    </row>
    <row r="16" spans="1:77" ht="15">
      <c r="A16" s="66" t="s">
        <v>234</v>
      </c>
      <c r="B16" s="67"/>
      <c r="C16" s="67" t="s">
        <v>46</v>
      </c>
      <c r="D16" s="68"/>
      <c r="E16" s="117"/>
      <c r="F16" s="105" t="str">
        <f>HYPERLINK("https://pbs.twimg.com/profile_images/3208187865/c7f13b8523356614db94ae526743b01a_normal.jpeg")</f>
        <v>https://pbs.twimg.com/profile_images/3208187865/c7f13b8523356614db94ae526743b01a_normal.jpeg</v>
      </c>
      <c r="G16" s="118"/>
      <c r="H16" s="71" t="s">
        <v>234</v>
      </c>
      <c r="I16" s="72" t="s">
        <v>2109</v>
      </c>
      <c r="J16" s="119" t="s">
        <v>73</v>
      </c>
      <c r="K16" s="71" t="s">
        <v>839</v>
      </c>
      <c r="L16" s="120">
        <v>1</v>
      </c>
      <c r="M16" s="76">
        <v>2405.779052734375</v>
      </c>
      <c r="N16" s="76">
        <v>8816.958984375</v>
      </c>
      <c r="O16" s="77"/>
      <c r="P16" s="78"/>
      <c r="Q16" s="78"/>
      <c r="R16" s="121"/>
      <c r="S16" s="49">
        <v>0</v>
      </c>
      <c r="T16" s="49">
        <v>3</v>
      </c>
      <c r="U16" s="50">
        <v>0</v>
      </c>
      <c r="V16" s="50">
        <v>0.005376</v>
      </c>
      <c r="W16" s="50">
        <v>0.009884</v>
      </c>
      <c r="X16" s="50">
        <v>0.519233</v>
      </c>
      <c r="Y16" s="50">
        <v>0.6666666666666666</v>
      </c>
      <c r="Z16" s="50">
        <v>0</v>
      </c>
      <c r="AA16" s="73">
        <v>16</v>
      </c>
      <c r="AB16" s="73"/>
      <c r="AC16" s="74"/>
      <c r="AD16" s="90" t="s">
        <v>582</v>
      </c>
      <c r="AE16" s="99" t="s">
        <v>661</v>
      </c>
      <c r="AF16" s="90">
        <v>908</v>
      </c>
      <c r="AG16" s="90">
        <v>4034</v>
      </c>
      <c r="AH16" s="90">
        <v>3173</v>
      </c>
      <c r="AI16" s="90">
        <v>699</v>
      </c>
      <c r="AJ16" s="90"/>
      <c r="AK16" s="90" t="s">
        <v>739</v>
      </c>
      <c r="AL16" s="90"/>
      <c r="AM16" s="96" t="str">
        <f>HYPERLINK("https://t.co/B18Co9R7WB")</f>
        <v>https://t.co/B18Co9R7WB</v>
      </c>
      <c r="AN16" s="90"/>
      <c r="AO16" s="93">
        <v>40320.28371527778</v>
      </c>
      <c r="AP16" s="90"/>
      <c r="AQ16" s="90" t="b">
        <v>1</v>
      </c>
      <c r="AR16" s="90" t="b">
        <v>0</v>
      </c>
      <c r="AS16" s="90" t="b">
        <v>1</v>
      </c>
      <c r="AT16" s="90"/>
      <c r="AU16" s="90">
        <v>45</v>
      </c>
      <c r="AV16" s="96" t="str">
        <f>HYPERLINK("https://abs.twimg.com/images/themes/theme1/bg.png")</f>
        <v>https://abs.twimg.com/images/themes/theme1/bg.png</v>
      </c>
      <c r="AW16" s="90" t="b">
        <v>0</v>
      </c>
      <c r="AX16" s="90" t="s">
        <v>827</v>
      </c>
      <c r="AY16" s="96" t="str">
        <f>HYPERLINK("https://twitter.com/rsiivonen")</f>
        <v>https://twitter.com/rsiivonen</v>
      </c>
      <c r="AZ16" s="90" t="s">
        <v>66</v>
      </c>
      <c r="BA16" s="89" t="str">
        <f>REPLACE(INDEX(GroupVertices[Group],MATCH(Vertices[[#This Row],[Vertex]],GroupVertices[Vertex],0)),1,1,"")</f>
        <v>1</v>
      </c>
      <c r="BB16" s="49">
        <v>0</v>
      </c>
      <c r="BC16" s="50">
        <v>0</v>
      </c>
      <c r="BD16" s="49">
        <v>0</v>
      </c>
      <c r="BE16" s="50">
        <v>0</v>
      </c>
      <c r="BF16" s="49">
        <v>0</v>
      </c>
      <c r="BG16" s="50">
        <v>0</v>
      </c>
      <c r="BH16" s="49">
        <v>28</v>
      </c>
      <c r="BI16" s="50">
        <v>100</v>
      </c>
      <c r="BJ16" s="49">
        <v>28</v>
      </c>
      <c r="BK16" s="49" t="s">
        <v>1981</v>
      </c>
      <c r="BL16" s="49" t="s">
        <v>1981</v>
      </c>
      <c r="BM16" s="49" t="s">
        <v>334</v>
      </c>
      <c r="BN16" s="49" t="s">
        <v>334</v>
      </c>
      <c r="BO16" s="49" t="s">
        <v>338</v>
      </c>
      <c r="BP16" s="49" t="s">
        <v>338</v>
      </c>
      <c r="BQ16" s="116" t="s">
        <v>2079</v>
      </c>
      <c r="BR16" s="116" t="s">
        <v>2079</v>
      </c>
      <c r="BS16" s="116" t="s">
        <v>2092</v>
      </c>
      <c r="BT16" s="116" t="s">
        <v>2092</v>
      </c>
      <c r="BU16" s="2"/>
      <c r="BV16" s="3"/>
      <c r="BW16" s="3"/>
      <c r="BX16" s="3"/>
      <c r="BY16" s="3"/>
    </row>
    <row r="17" spans="1:77" ht="15">
      <c r="A17" s="66" t="s">
        <v>236</v>
      </c>
      <c r="B17" s="67"/>
      <c r="C17" s="67" t="s">
        <v>46</v>
      </c>
      <c r="D17" s="68"/>
      <c r="E17" s="117"/>
      <c r="F17" s="105" t="str">
        <f>HYPERLINK("https://pbs.twimg.com/profile_images/905727794658902016/UClz0VV2_normal.jpg")</f>
        <v>https://pbs.twimg.com/profile_images/905727794658902016/UClz0VV2_normal.jpg</v>
      </c>
      <c r="G17" s="118"/>
      <c r="H17" s="71" t="s">
        <v>236</v>
      </c>
      <c r="I17" s="72" t="s">
        <v>2109</v>
      </c>
      <c r="J17" s="119" t="s">
        <v>73</v>
      </c>
      <c r="K17" s="71" t="s">
        <v>840</v>
      </c>
      <c r="L17" s="120">
        <v>1</v>
      </c>
      <c r="M17" s="76">
        <v>5650.5185546875</v>
      </c>
      <c r="N17" s="76">
        <v>3200.642578125</v>
      </c>
      <c r="O17" s="77"/>
      <c r="P17" s="78"/>
      <c r="Q17" s="78"/>
      <c r="R17" s="121"/>
      <c r="S17" s="49">
        <v>0</v>
      </c>
      <c r="T17" s="49">
        <v>3</v>
      </c>
      <c r="U17" s="50">
        <v>0</v>
      </c>
      <c r="V17" s="50">
        <v>0.005376</v>
      </c>
      <c r="W17" s="50">
        <v>0.009884</v>
      </c>
      <c r="X17" s="50">
        <v>0.519233</v>
      </c>
      <c r="Y17" s="50">
        <v>0.6666666666666666</v>
      </c>
      <c r="Z17" s="50">
        <v>0</v>
      </c>
      <c r="AA17" s="73">
        <v>17</v>
      </c>
      <c r="AB17" s="73"/>
      <c r="AC17" s="74"/>
      <c r="AD17" s="90" t="s">
        <v>584</v>
      </c>
      <c r="AE17" s="99" t="s">
        <v>663</v>
      </c>
      <c r="AF17" s="90">
        <v>345</v>
      </c>
      <c r="AG17" s="90">
        <v>134</v>
      </c>
      <c r="AH17" s="90">
        <v>375</v>
      </c>
      <c r="AI17" s="90">
        <v>7642</v>
      </c>
      <c r="AJ17" s="90"/>
      <c r="AK17" s="90" t="s">
        <v>741</v>
      </c>
      <c r="AL17" s="90"/>
      <c r="AM17" s="90"/>
      <c r="AN17" s="90"/>
      <c r="AO17" s="93">
        <v>40469.36324074074</v>
      </c>
      <c r="AP17" s="96" t="str">
        <f>HYPERLINK("https://pbs.twimg.com/profile_banners/204251257/1506666765")</f>
        <v>https://pbs.twimg.com/profile_banners/204251257/1506666765</v>
      </c>
      <c r="AQ17" s="90" t="b">
        <v>1</v>
      </c>
      <c r="AR17" s="90" t="b">
        <v>0</v>
      </c>
      <c r="AS17" s="90" t="b">
        <v>0</v>
      </c>
      <c r="AT17" s="90"/>
      <c r="AU17" s="90">
        <v>1</v>
      </c>
      <c r="AV17" s="96" t="str">
        <f>HYPERLINK("https://abs.twimg.com/images/themes/theme1/bg.png")</f>
        <v>https://abs.twimg.com/images/themes/theme1/bg.png</v>
      </c>
      <c r="AW17" s="90" t="b">
        <v>0</v>
      </c>
      <c r="AX17" s="90" t="s">
        <v>827</v>
      </c>
      <c r="AY17" s="96" t="str">
        <f>HYPERLINK("https://twitter.com/susannarosin")</f>
        <v>https://twitter.com/susannarosin</v>
      </c>
      <c r="AZ17" s="90" t="s">
        <v>66</v>
      </c>
      <c r="BA17" s="89" t="str">
        <f>REPLACE(INDEX(GroupVertices[Group],MATCH(Vertices[[#This Row],[Vertex]],GroupVertices[Vertex],0)),1,1,"")</f>
        <v>1</v>
      </c>
      <c r="BB17" s="49">
        <v>0</v>
      </c>
      <c r="BC17" s="50">
        <v>0</v>
      </c>
      <c r="BD17" s="49">
        <v>0</v>
      </c>
      <c r="BE17" s="50">
        <v>0</v>
      </c>
      <c r="BF17" s="49">
        <v>0</v>
      </c>
      <c r="BG17" s="50">
        <v>0</v>
      </c>
      <c r="BH17" s="49">
        <v>28</v>
      </c>
      <c r="BI17" s="50">
        <v>100</v>
      </c>
      <c r="BJ17" s="49">
        <v>28</v>
      </c>
      <c r="BK17" s="49" t="s">
        <v>1981</v>
      </c>
      <c r="BL17" s="49" t="s">
        <v>1981</v>
      </c>
      <c r="BM17" s="49" t="s">
        <v>334</v>
      </c>
      <c r="BN17" s="49" t="s">
        <v>334</v>
      </c>
      <c r="BO17" s="49" t="s">
        <v>338</v>
      </c>
      <c r="BP17" s="49" t="s">
        <v>338</v>
      </c>
      <c r="BQ17" s="116" t="s">
        <v>2079</v>
      </c>
      <c r="BR17" s="116" t="s">
        <v>2079</v>
      </c>
      <c r="BS17" s="116" t="s">
        <v>2092</v>
      </c>
      <c r="BT17" s="116" t="s">
        <v>2092</v>
      </c>
      <c r="BU17" s="2"/>
      <c r="BV17" s="3"/>
      <c r="BW17" s="3"/>
      <c r="BX17" s="3"/>
      <c r="BY17" s="3"/>
    </row>
    <row r="18" spans="1:77" ht="15">
      <c r="A18" s="66" t="s">
        <v>237</v>
      </c>
      <c r="B18" s="67"/>
      <c r="C18" s="67" t="s">
        <v>64</v>
      </c>
      <c r="D18" s="68">
        <v>10</v>
      </c>
      <c r="E18" s="117"/>
      <c r="F18" s="105" t="str">
        <f>HYPERLINK("https://pbs.twimg.com/profile_images/1229493933304156162/mMH8aNdt_normal.jpg")</f>
        <v>https://pbs.twimg.com/profile_images/1229493933304156162/mMH8aNdt_normal.jpg</v>
      </c>
      <c r="G18" s="118"/>
      <c r="H18" s="71" t="s">
        <v>237</v>
      </c>
      <c r="I18" s="72" t="s">
        <v>2636</v>
      </c>
      <c r="J18" s="119" t="s">
        <v>73</v>
      </c>
      <c r="K18" s="71" t="s">
        <v>841</v>
      </c>
      <c r="L18" s="120">
        <v>129.17948717948718</v>
      </c>
      <c r="M18" s="76"/>
      <c r="N18" s="76"/>
      <c r="O18" s="77"/>
      <c r="P18" s="78"/>
      <c r="Q18" s="78"/>
      <c r="R18" s="121"/>
      <c r="S18" s="49">
        <v>1</v>
      </c>
      <c r="T18" s="49">
        <v>1</v>
      </c>
      <c r="U18" s="50">
        <v>0</v>
      </c>
      <c r="V18" s="50">
        <v>0</v>
      </c>
      <c r="W18" s="50">
        <v>0</v>
      </c>
      <c r="X18" s="50">
        <v>0.999995</v>
      </c>
      <c r="Y18" s="50">
        <v>0</v>
      </c>
      <c r="Z18" s="50">
        <v>0</v>
      </c>
      <c r="AA18" s="73">
        <v>18</v>
      </c>
      <c r="AB18" s="73"/>
      <c r="AC18" s="74"/>
      <c r="AD18" s="90" t="s">
        <v>585</v>
      </c>
      <c r="AE18" s="99" t="s">
        <v>664</v>
      </c>
      <c r="AF18" s="90">
        <v>1277</v>
      </c>
      <c r="AG18" s="90">
        <v>10255</v>
      </c>
      <c r="AH18" s="90">
        <v>14826</v>
      </c>
      <c r="AI18" s="90">
        <v>14022</v>
      </c>
      <c r="AJ18" s="90"/>
      <c r="AK18" s="90" t="s">
        <v>742</v>
      </c>
      <c r="AL18" s="90" t="s">
        <v>812</v>
      </c>
      <c r="AM18" s="96" t="str">
        <f>HYPERLINK("https://t.co/zCYvjXZZQd")</f>
        <v>https://t.co/zCYvjXZZQd</v>
      </c>
      <c r="AN18" s="90"/>
      <c r="AO18" s="93">
        <v>39897.95306712963</v>
      </c>
      <c r="AP18" s="96" t="str">
        <f>HYPERLINK("https://pbs.twimg.com/profile_banners/26616416/1571289481")</f>
        <v>https://pbs.twimg.com/profile_banners/26616416/1571289481</v>
      </c>
      <c r="AQ18" s="90" t="b">
        <v>0</v>
      </c>
      <c r="AR18" s="90" t="b">
        <v>0</v>
      </c>
      <c r="AS18" s="90" t="b">
        <v>1</v>
      </c>
      <c r="AT18" s="90"/>
      <c r="AU18" s="90">
        <v>92</v>
      </c>
      <c r="AV18" s="96" t="str">
        <f>HYPERLINK("https://abs.twimg.com/images/themes/theme3/bg.gif")</f>
        <v>https://abs.twimg.com/images/themes/theme3/bg.gif</v>
      </c>
      <c r="AW18" s="90" t="b">
        <v>0</v>
      </c>
      <c r="AX18" s="90" t="s">
        <v>827</v>
      </c>
      <c r="AY18" s="96" t="str">
        <f>HYPERLINK("https://twitter.com/saarasofia")</f>
        <v>https://twitter.com/saarasofia</v>
      </c>
      <c r="AZ18" s="90" t="s">
        <v>66</v>
      </c>
      <c r="BA18" s="89" t="str">
        <f>REPLACE(INDEX(GroupVertices[Group],MATCH(Vertices[[#This Row],[Vertex]],GroupVertices[Vertex],0)),1,1,"")</f>
        <v>4</v>
      </c>
      <c r="BB18" s="49">
        <v>0</v>
      </c>
      <c r="BC18" s="50">
        <v>0</v>
      </c>
      <c r="BD18" s="49">
        <v>0</v>
      </c>
      <c r="BE18" s="50">
        <v>0</v>
      </c>
      <c r="BF18" s="49">
        <v>0</v>
      </c>
      <c r="BG18" s="50">
        <v>0</v>
      </c>
      <c r="BH18" s="49">
        <v>28</v>
      </c>
      <c r="BI18" s="50">
        <v>100</v>
      </c>
      <c r="BJ18" s="49">
        <v>28</v>
      </c>
      <c r="BK18" s="49" t="s">
        <v>1983</v>
      </c>
      <c r="BL18" s="49" t="s">
        <v>1983</v>
      </c>
      <c r="BM18" s="49" t="s">
        <v>333</v>
      </c>
      <c r="BN18" s="49" t="s">
        <v>333</v>
      </c>
      <c r="BO18" s="49" t="s">
        <v>338</v>
      </c>
      <c r="BP18" s="49" t="s">
        <v>338</v>
      </c>
      <c r="BQ18" s="116" t="s">
        <v>2080</v>
      </c>
      <c r="BR18" s="116" t="s">
        <v>2080</v>
      </c>
      <c r="BS18" s="116" t="s">
        <v>2093</v>
      </c>
      <c r="BT18" s="116" t="s">
        <v>2093</v>
      </c>
      <c r="BU18" s="2"/>
      <c r="BV18" s="3"/>
      <c r="BW18" s="3"/>
      <c r="BX18" s="3"/>
      <c r="BY18" s="3"/>
    </row>
    <row r="19" spans="1:77" ht="15">
      <c r="A19" s="66" t="s">
        <v>238</v>
      </c>
      <c r="B19" s="67"/>
      <c r="C19" s="67" t="s">
        <v>46</v>
      </c>
      <c r="D19" s="68"/>
      <c r="E19" s="117"/>
      <c r="F19" s="105" t="str">
        <f>HYPERLINK("https://pbs.twimg.com/profile_images/1390602533991817221/u_yN2qIg_normal.jpg")</f>
        <v>https://pbs.twimg.com/profile_images/1390602533991817221/u_yN2qIg_normal.jpg</v>
      </c>
      <c r="G19" s="118"/>
      <c r="H19" s="71" t="s">
        <v>238</v>
      </c>
      <c r="I19" s="72" t="s">
        <v>2109</v>
      </c>
      <c r="J19" s="119" t="s">
        <v>73</v>
      </c>
      <c r="K19" s="71" t="s">
        <v>842</v>
      </c>
      <c r="L19" s="120">
        <v>1</v>
      </c>
      <c r="M19" s="76">
        <v>5759.20068359375</v>
      </c>
      <c r="N19" s="76">
        <v>6129.11474609375</v>
      </c>
      <c r="O19" s="77"/>
      <c r="P19" s="78"/>
      <c r="Q19" s="78"/>
      <c r="R19" s="121"/>
      <c r="S19" s="49">
        <v>0</v>
      </c>
      <c r="T19" s="49">
        <v>3</v>
      </c>
      <c r="U19" s="50">
        <v>0</v>
      </c>
      <c r="V19" s="50">
        <v>0.005376</v>
      </c>
      <c r="W19" s="50">
        <v>0.009884</v>
      </c>
      <c r="X19" s="50">
        <v>0.519233</v>
      </c>
      <c r="Y19" s="50">
        <v>0.6666666666666666</v>
      </c>
      <c r="Z19" s="50">
        <v>0</v>
      </c>
      <c r="AA19" s="73">
        <v>19</v>
      </c>
      <c r="AB19" s="73"/>
      <c r="AC19" s="74"/>
      <c r="AD19" s="90" t="s">
        <v>238</v>
      </c>
      <c r="AE19" s="99" t="s">
        <v>665</v>
      </c>
      <c r="AF19" s="90">
        <v>926</v>
      </c>
      <c r="AG19" s="90">
        <v>6174</v>
      </c>
      <c r="AH19" s="90">
        <v>3249</v>
      </c>
      <c r="AI19" s="90">
        <v>4090</v>
      </c>
      <c r="AJ19" s="90"/>
      <c r="AK19" s="90" t="s">
        <v>743</v>
      </c>
      <c r="AL19" s="90" t="s">
        <v>806</v>
      </c>
      <c r="AM19" s="96" t="str">
        <f>HYPERLINK("https://t.co/NRqh9vwFZO")</f>
        <v>https://t.co/NRqh9vwFZO</v>
      </c>
      <c r="AN19" s="90"/>
      <c r="AO19" s="93">
        <v>39617.91658564815</v>
      </c>
      <c r="AP19" s="96" t="str">
        <f>HYPERLINK("https://pbs.twimg.com/profile_banners/15163076/1555421700")</f>
        <v>https://pbs.twimg.com/profile_banners/15163076/1555421700</v>
      </c>
      <c r="AQ19" s="90" t="b">
        <v>0</v>
      </c>
      <c r="AR19" s="90" t="b">
        <v>0</v>
      </c>
      <c r="AS19" s="90" t="b">
        <v>1</v>
      </c>
      <c r="AT19" s="90"/>
      <c r="AU19" s="90">
        <v>32</v>
      </c>
      <c r="AV19" s="96" t="str">
        <f>HYPERLINK("https://abs.twimg.com/images/themes/theme4/bg.gif")</f>
        <v>https://abs.twimg.com/images/themes/theme4/bg.gif</v>
      </c>
      <c r="AW19" s="90" t="b">
        <v>0</v>
      </c>
      <c r="AX19" s="90" t="s">
        <v>827</v>
      </c>
      <c r="AY19" s="96" t="str">
        <f>HYPERLINK("https://twitter.com/fatimdiarra")</f>
        <v>https://twitter.com/fatimdiarra</v>
      </c>
      <c r="AZ19" s="90" t="s">
        <v>66</v>
      </c>
      <c r="BA19" s="89" t="str">
        <f>REPLACE(INDEX(GroupVertices[Group],MATCH(Vertices[[#This Row],[Vertex]],GroupVertices[Vertex],0)),1,1,"")</f>
        <v>1</v>
      </c>
      <c r="BB19" s="49">
        <v>0</v>
      </c>
      <c r="BC19" s="50">
        <v>0</v>
      </c>
      <c r="BD19" s="49">
        <v>0</v>
      </c>
      <c r="BE19" s="50">
        <v>0</v>
      </c>
      <c r="BF19" s="49">
        <v>0</v>
      </c>
      <c r="BG19" s="50">
        <v>0</v>
      </c>
      <c r="BH19" s="49">
        <v>24</v>
      </c>
      <c r="BI19" s="50">
        <v>100</v>
      </c>
      <c r="BJ19" s="49">
        <v>24</v>
      </c>
      <c r="BK19" s="49" t="s">
        <v>1982</v>
      </c>
      <c r="BL19" s="49" t="s">
        <v>1982</v>
      </c>
      <c r="BM19" s="49" t="s">
        <v>333</v>
      </c>
      <c r="BN19" s="49" t="s">
        <v>333</v>
      </c>
      <c r="BO19" s="49" t="s">
        <v>338</v>
      </c>
      <c r="BP19" s="49" t="s">
        <v>338</v>
      </c>
      <c r="BQ19" s="116" t="s">
        <v>2081</v>
      </c>
      <c r="BR19" s="116" t="s">
        <v>2081</v>
      </c>
      <c r="BS19" s="116" t="s">
        <v>2094</v>
      </c>
      <c r="BT19" s="116" t="s">
        <v>2094</v>
      </c>
      <c r="BU19" s="2"/>
      <c r="BV19" s="3"/>
      <c r="BW19" s="3"/>
      <c r="BX19" s="3"/>
      <c r="BY19" s="3"/>
    </row>
    <row r="20" spans="1:77" ht="15">
      <c r="A20" s="66" t="s">
        <v>239</v>
      </c>
      <c r="B20" s="67"/>
      <c r="C20" s="67" t="s">
        <v>46</v>
      </c>
      <c r="D20" s="68"/>
      <c r="E20" s="117"/>
      <c r="F20" s="105" t="str">
        <f>HYPERLINK("https://pbs.twimg.com/profile_images/589867628732108800/58uunQgI_normal.jpg")</f>
        <v>https://pbs.twimg.com/profile_images/589867628732108800/58uunQgI_normal.jpg</v>
      </c>
      <c r="G20" s="118"/>
      <c r="H20" s="71" t="s">
        <v>239</v>
      </c>
      <c r="I20" s="72" t="s">
        <v>2109</v>
      </c>
      <c r="J20" s="119" t="s">
        <v>73</v>
      </c>
      <c r="K20" s="71" t="s">
        <v>843</v>
      </c>
      <c r="L20" s="120">
        <v>1</v>
      </c>
      <c r="M20" s="76">
        <v>1909.822509765625</v>
      </c>
      <c r="N20" s="76">
        <v>8831.078125</v>
      </c>
      <c r="O20" s="77"/>
      <c r="P20" s="78"/>
      <c r="Q20" s="78"/>
      <c r="R20" s="121"/>
      <c r="S20" s="49">
        <v>0</v>
      </c>
      <c r="T20" s="49">
        <v>3</v>
      </c>
      <c r="U20" s="50">
        <v>0</v>
      </c>
      <c r="V20" s="50">
        <v>0.005376</v>
      </c>
      <c r="W20" s="50">
        <v>0.009884</v>
      </c>
      <c r="X20" s="50">
        <v>0.519233</v>
      </c>
      <c r="Y20" s="50">
        <v>0.6666666666666666</v>
      </c>
      <c r="Z20" s="50">
        <v>0</v>
      </c>
      <c r="AA20" s="73">
        <v>20</v>
      </c>
      <c r="AB20" s="73"/>
      <c r="AC20" s="74"/>
      <c r="AD20" s="90" t="s">
        <v>586</v>
      </c>
      <c r="AE20" s="99" t="s">
        <v>666</v>
      </c>
      <c r="AF20" s="90">
        <v>1558</v>
      </c>
      <c r="AG20" s="90">
        <v>538</v>
      </c>
      <c r="AH20" s="90">
        <v>1236</v>
      </c>
      <c r="AI20" s="90">
        <v>2899</v>
      </c>
      <c r="AJ20" s="90"/>
      <c r="AK20" s="90" t="s">
        <v>744</v>
      </c>
      <c r="AL20" s="90" t="s">
        <v>813</v>
      </c>
      <c r="AM20" s="90"/>
      <c r="AN20" s="90"/>
      <c r="AO20" s="93">
        <v>39920.967939814815</v>
      </c>
      <c r="AP20" s="90"/>
      <c r="AQ20" s="90" t="b">
        <v>0</v>
      </c>
      <c r="AR20" s="90" t="b">
        <v>0</v>
      </c>
      <c r="AS20" s="90" t="b">
        <v>1</v>
      </c>
      <c r="AT20" s="90"/>
      <c r="AU20" s="90">
        <v>9</v>
      </c>
      <c r="AV20" s="96" t="str">
        <f>HYPERLINK("https://abs.twimg.com/images/themes/theme1/bg.png")</f>
        <v>https://abs.twimg.com/images/themes/theme1/bg.png</v>
      </c>
      <c r="AW20" s="90" t="b">
        <v>0</v>
      </c>
      <c r="AX20" s="90" t="s">
        <v>827</v>
      </c>
      <c r="AY20" s="96" t="str">
        <f>HYPERLINK("https://twitter.com/qsisto")</f>
        <v>https://twitter.com/qsisto</v>
      </c>
      <c r="AZ20" s="90" t="s">
        <v>66</v>
      </c>
      <c r="BA20" s="89" t="str">
        <f>REPLACE(INDEX(GroupVertices[Group],MATCH(Vertices[[#This Row],[Vertex]],GroupVertices[Vertex],0)),1,1,"")</f>
        <v>1</v>
      </c>
      <c r="BB20" s="49">
        <v>0</v>
      </c>
      <c r="BC20" s="50">
        <v>0</v>
      </c>
      <c r="BD20" s="49">
        <v>0</v>
      </c>
      <c r="BE20" s="50">
        <v>0</v>
      </c>
      <c r="BF20" s="49">
        <v>0</v>
      </c>
      <c r="BG20" s="50">
        <v>0</v>
      </c>
      <c r="BH20" s="49">
        <v>28</v>
      </c>
      <c r="BI20" s="50">
        <v>100</v>
      </c>
      <c r="BJ20" s="49">
        <v>28</v>
      </c>
      <c r="BK20" s="49" t="s">
        <v>1981</v>
      </c>
      <c r="BL20" s="49" t="s">
        <v>1981</v>
      </c>
      <c r="BM20" s="49" t="s">
        <v>334</v>
      </c>
      <c r="BN20" s="49" t="s">
        <v>334</v>
      </c>
      <c r="BO20" s="49" t="s">
        <v>338</v>
      </c>
      <c r="BP20" s="49" t="s">
        <v>338</v>
      </c>
      <c r="BQ20" s="116" t="s">
        <v>2079</v>
      </c>
      <c r="BR20" s="116" t="s">
        <v>2079</v>
      </c>
      <c r="BS20" s="116" t="s">
        <v>2092</v>
      </c>
      <c r="BT20" s="116" t="s">
        <v>2092</v>
      </c>
      <c r="BU20" s="2"/>
      <c r="BV20" s="3"/>
      <c r="BW20" s="3"/>
      <c r="BX20" s="3"/>
      <c r="BY20" s="3"/>
    </row>
    <row r="21" spans="1:77" ht="15">
      <c r="A21" s="66" t="s">
        <v>240</v>
      </c>
      <c r="B21" s="67"/>
      <c r="C21" s="67" t="s">
        <v>46</v>
      </c>
      <c r="D21" s="68"/>
      <c r="E21" s="117"/>
      <c r="F21" s="105" t="str">
        <f>HYPERLINK("https://pbs.twimg.com/profile_images/515552379630936064/6X-vlAYw_normal.jpeg")</f>
        <v>https://pbs.twimg.com/profile_images/515552379630936064/6X-vlAYw_normal.jpeg</v>
      </c>
      <c r="G21" s="118"/>
      <c r="H21" s="71" t="s">
        <v>240</v>
      </c>
      <c r="I21" s="72" t="s">
        <v>2109</v>
      </c>
      <c r="J21" s="119" t="s">
        <v>73</v>
      </c>
      <c r="K21" s="71" t="s">
        <v>844</v>
      </c>
      <c r="L21" s="120">
        <v>1</v>
      </c>
      <c r="M21" s="76">
        <v>5321.572265625</v>
      </c>
      <c r="N21" s="76">
        <v>2455.202880859375</v>
      </c>
      <c r="O21" s="77"/>
      <c r="P21" s="78"/>
      <c r="Q21" s="78"/>
      <c r="R21" s="121"/>
      <c r="S21" s="49">
        <v>0</v>
      </c>
      <c r="T21" s="49">
        <v>3</v>
      </c>
      <c r="U21" s="50">
        <v>0</v>
      </c>
      <c r="V21" s="50">
        <v>0.005376</v>
      </c>
      <c r="W21" s="50">
        <v>0.009884</v>
      </c>
      <c r="X21" s="50">
        <v>0.519233</v>
      </c>
      <c r="Y21" s="50">
        <v>0.6666666666666666</v>
      </c>
      <c r="Z21" s="50">
        <v>0</v>
      </c>
      <c r="AA21" s="73">
        <v>21</v>
      </c>
      <c r="AB21" s="73"/>
      <c r="AC21" s="74"/>
      <c r="AD21" s="90" t="s">
        <v>587</v>
      </c>
      <c r="AE21" s="99" t="s">
        <v>667</v>
      </c>
      <c r="AF21" s="90">
        <v>1568</v>
      </c>
      <c r="AG21" s="90">
        <v>1115</v>
      </c>
      <c r="AH21" s="90">
        <v>869</v>
      </c>
      <c r="AI21" s="90">
        <v>3622</v>
      </c>
      <c r="AJ21" s="90"/>
      <c r="AK21" s="90" t="s">
        <v>745</v>
      </c>
      <c r="AL21" s="90" t="s">
        <v>814</v>
      </c>
      <c r="AM21" s="96" t="str">
        <f>HYPERLINK("https://t.co/QTn8tqSa15")</f>
        <v>https://t.co/QTn8tqSa15</v>
      </c>
      <c r="AN21" s="90"/>
      <c r="AO21" s="93">
        <v>41368.73403935185</v>
      </c>
      <c r="AP21" s="96" t="str">
        <f>HYPERLINK("https://pbs.twimg.com/profile_banners/1327451425/1467222287")</f>
        <v>https://pbs.twimg.com/profile_banners/1327451425/1467222287</v>
      </c>
      <c r="AQ21" s="90" t="b">
        <v>0</v>
      </c>
      <c r="AR21" s="90" t="b">
        <v>0</v>
      </c>
      <c r="AS21" s="90" t="b">
        <v>1</v>
      </c>
      <c r="AT21" s="90"/>
      <c r="AU21" s="90">
        <v>28</v>
      </c>
      <c r="AV21" s="96" t="str">
        <f>HYPERLINK("https://abs.twimg.com/images/themes/theme1/bg.png")</f>
        <v>https://abs.twimg.com/images/themes/theme1/bg.png</v>
      </c>
      <c r="AW21" s="90" t="b">
        <v>0</v>
      </c>
      <c r="AX21" s="90" t="s">
        <v>827</v>
      </c>
      <c r="AY21" s="96" t="str">
        <f>HYPERLINK("https://twitter.com/artahy")</f>
        <v>https://twitter.com/artahy</v>
      </c>
      <c r="AZ21" s="90" t="s">
        <v>66</v>
      </c>
      <c r="BA21" s="89" t="str">
        <f>REPLACE(INDEX(GroupVertices[Group],MATCH(Vertices[[#This Row],[Vertex]],GroupVertices[Vertex],0)),1,1,"")</f>
        <v>1</v>
      </c>
      <c r="BB21" s="49">
        <v>0</v>
      </c>
      <c r="BC21" s="50">
        <v>0</v>
      </c>
      <c r="BD21" s="49">
        <v>0</v>
      </c>
      <c r="BE21" s="50">
        <v>0</v>
      </c>
      <c r="BF21" s="49">
        <v>0</v>
      </c>
      <c r="BG21" s="50">
        <v>0</v>
      </c>
      <c r="BH21" s="49">
        <v>28</v>
      </c>
      <c r="BI21" s="50">
        <v>100</v>
      </c>
      <c r="BJ21" s="49">
        <v>28</v>
      </c>
      <c r="BK21" s="49" t="s">
        <v>1981</v>
      </c>
      <c r="BL21" s="49" t="s">
        <v>1981</v>
      </c>
      <c r="BM21" s="49" t="s">
        <v>334</v>
      </c>
      <c r="BN21" s="49" t="s">
        <v>334</v>
      </c>
      <c r="BO21" s="49" t="s">
        <v>338</v>
      </c>
      <c r="BP21" s="49" t="s">
        <v>338</v>
      </c>
      <c r="BQ21" s="116" t="s">
        <v>2079</v>
      </c>
      <c r="BR21" s="116" t="s">
        <v>2079</v>
      </c>
      <c r="BS21" s="116" t="s">
        <v>2092</v>
      </c>
      <c r="BT21" s="116" t="s">
        <v>2092</v>
      </c>
      <c r="BU21" s="2"/>
      <c r="BV21" s="3"/>
      <c r="BW21" s="3"/>
      <c r="BX21" s="3"/>
      <c r="BY21" s="3"/>
    </row>
    <row r="22" spans="1:77" ht="15">
      <c r="A22" s="66" t="s">
        <v>241</v>
      </c>
      <c r="B22" s="67"/>
      <c r="C22" s="67" t="s">
        <v>46</v>
      </c>
      <c r="D22" s="68"/>
      <c r="E22" s="117"/>
      <c r="F22" s="105" t="str">
        <f>HYPERLINK("https://pbs.twimg.com/profile_images/1195338315953844228/9r0s-OUM_normal.png")</f>
        <v>https://pbs.twimg.com/profile_images/1195338315953844228/9r0s-OUM_normal.png</v>
      </c>
      <c r="G22" s="118"/>
      <c r="H22" s="71" t="s">
        <v>241</v>
      </c>
      <c r="I22" s="72" t="s">
        <v>2109</v>
      </c>
      <c r="J22" s="119" t="s">
        <v>73</v>
      </c>
      <c r="K22" s="71" t="s">
        <v>845</v>
      </c>
      <c r="L22" s="120">
        <v>1</v>
      </c>
      <c r="M22" s="76">
        <v>3534.34130859375</v>
      </c>
      <c r="N22" s="76">
        <v>224.1948699951172</v>
      </c>
      <c r="O22" s="77"/>
      <c r="P22" s="78"/>
      <c r="Q22" s="78"/>
      <c r="R22" s="121"/>
      <c r="S22" s="49">
        <v>0</v>
      </c>
      <c r="T22" s="49">
        <v>3</v>
      </c>
      <c r="U22" s="50">
        <v>0</v>
      </c>
      <c r="V22" s="50">
        <v>0.005376</v>
      </c>
      <c r="W22" s="50">
        <v>0.009884</v>
      </c>
      <c r="X22" s="50">
        <v>0.519233</v>
      </c>
      <c r="Y22" s="50">
        <v>0.6666666666666666</v>
      </c>
      <c r="Z22" s="50">
        <v>0</v>
      </c>
      <c r="AA22" s="73">
        <v>22</v>
      </c>
      <c r="AB22" s="73"/>
      <c r="AC22" s="74"/>
      <c r="AD22" s="90" t="s">
        <v>588</v>
      </c>
      <c r="AE22" s="99" t="s">
        <v>668</v>
      </c>
      <c r="AF22" s="90">
        <v>18</v>
      </c>
      <c r="AG22" s="90">
        <v>368</v>
      </c>
      <c r="AH22" s="90">
        <v>54</v>
      </c>
      <c r="AI22" s="90">
        <v>37</v>
      </c>
      <c r="AJ22" s="90"/>
      <c r="AK22" s="90" t="s">
        <v>746</v>
      </c>
      <c r="AL22" s="90"/>
      <c r="AM22" s="90"/>
      <c r="AN22" s="90"/>
      <c r="AO22" s="93">
        <v>43784.56947916667</v>
      </c>
      <c r="AP22" s="90"/>
      <c r="AQ22" s="90" t="b">
        <v>1</v>
      </c>
      <c r="AR22" s="90" t="b">
        <v>0</v>
      </c>
      <c r="AS22" s="90" t="b">
        <v>0</v>
      </c>
      <c r="AT22" s="90"/>
      <c r="AU22" s="90">
        <v>3</v>
      </c>
      <c r="AV22" s="90"/>
      <c r="AW22" s="90" t="b">
        <v>0</v>
      </c>
      <c r="AX22" s="90" t="s">
        <v>827</v>
      </c>
      <c r="AY22" s="96" t="str">
        <f>HYPERLINK("https://twitter.com/tty_taloustiede")</f>
        <v>https://twitter.com/tty_taloustiede</v>
      </c>
      <c r="AZ22" s="90" t="s">
        <v>66</v>
      </c>
      <c r="BA22" s="89" t="str">
        <f>REPLACE(INDEX(GroupVertices[Group],MATCH(Vertices[[#This Row],[Vertex]],GroupVertices[Vertex],0)),1,1,"")</f>
        <v>1</v>
      </c>
      <c r="BB22" s="49">
        <v>0</v>
      </c>
      <c r="BC22" s="50">
        <v>0</v>
      </c>
      <c r="BD22" s="49">
        <v>0</v>
      </c>
      <c r="BE22" s="50">
        <v>0</v>
      </c>
      <c r="BF22" s="49">
        <v>0</v>
      </c>
      <c r="BG22" s="50">
        <v>0</v>
      </c>
      <c r="BH22" s="49">
        <v>28</v>
      </c>
      <c r="BI22" s="50">
        <v>100</v>
      </c>
      <c r="BJ22" s="49">
        <v>28</v>
      </c>
      <c r="BK22" s="49" t="s">
        <v>1981</v>
      </c>
      <c r="BL22" s="49" t="s">
        <v>1981</v>
      </c>
      <c r="BM22" s="49" t="s">
        <v>334</v>
      </c>
      <c r="BN22" s="49" t="s">
        <v>334</v>
      </c>
      <c r="BO22" s="49" t="s">
        <v>338</v>
      </c>
      <c r="BP22" s="49" t="s">
        <v>338</v>
      </c>
      <c r="BQ22" s="116" t="s">
        <v>2079</v>
      </c>
      <c r="BR22" s="116" t="s">
        <v>2079</v>
      </c>
      <c r="BS22" s="116" t="s">
        <v>2092</v>
      </c>
      <c r="BT22" s="116" t="s">
        <v>2092</v>
      </c>
      <c r="BU22" s="2"/>
      <c r="BV22" s="3"/>
      <c r="BW22" s="3"/>
      <c r="BX22" s="3"/>
      <c r="BY22" s="3"/>
    </row>
    <row r="23" spans="1:77" ht="15">
      <c r="A23" s="66" t="s">
        <v>242</v>
      </c>
      <c r="B23" s="67"/>
      <c r="C23" s="67" t="s">
        <v>46</v>
      </c>
      <c r="D23" s="68"/>
      <c r="E23" s="117"/>
      <c r="F23" s="105" t="str">
        <f>HYPERLINK("https://pbs.twimg.com/profile_images/1643577710/Ripatti_Antti_normal.jpg")</f>
        <v>https://pbs.twimg.com/profile_images/1643577710/Ripatti_Antti_normal.jpg</v>
      </c>
      <c r="G23" s="118"/>
      <c r="H23" s="71" t="s">
        <v>242</v>
      </c>
      <c r="I23" s="72" t="s">
        <v>2109</v>
      </c>
      <c r="J23" s="119" t="s">
        <v>73</v>
      </c>
      <c r="K23" s="71" t="s">
        <v>846</v>
      </c>
      <c r="L23" s="120">
        <v>1</v>
      </c>
      <c r="M23" s="76">
        <v>2714.163818359375</v>
      </c>
      <c r="N23" s="76">
        <v>9510.458984375</v>
      </c>
      <c r="O23" s="77"/>
      <c r="P23" s="78"/>
      <c r="Q23" s="78"/>
      <c r="R23" s="121"/>
      <c r="S23" s="49">
        <v>0</v>
      </c>
      <c r="T23" s="49">
        <v>3</v>
      </c>
      <c r="U23" s="50">
        <v>0</v>
      </c>
      <c r="V23" s="50">
        <v>0.005376</v>
      </c>
      <c r="W23" s="50">
        <v>0.009884</v>
      </c>
      <c r="X23" s="50">
        <v>0.519233</v>
      </c>
      <c r="Y23" s="50">
        <v>0.6666666666666666</v>
      </c>
      <c r="Z23" s="50">
        <v>0</v>
      </c>
      <c r="AA23" s="73">
        <v>23</v>
      </c>
      <c r="AB23" s="73"/>
      <c r="AC23" s="74"/>
      <c r="AD23" s="90" t="s">
        <v>589</v>
      </c>
      <c r="AE23" s="99" t="s">
        <v>669</v>
      </c>
      <c r="AF23" s="90">
        <v>732</v>
      </c>
      <c r="AG23" s="90">
        <v>1805</v>
      </c>
      <c r="AH23" s="90">
        <v>1462</v>
      </c>
      <c r="AI23" s="90">
        <v>14846</v>
      </c>
      <c r="AJ23" s="90"/>
      <c r="AK23" s="90" t="s">
        <v>747</v>
      </c>
      <c r="AL23" s="90" t="s">
        <v>807</v>
      </c>
      <c r="AM23" s="96" t="str">
        <f>HYPERLINK("http://t.co/IwhdmQd94D")</f>
        <v>http://t.co/IwhdmQd94D</v>
      </c>
      <c r="AN23" s="90"/>
      <c r="AO23" s="93">
        <v>40864.52193287037</v>
      </c>
      <c r="AP23" s="90"/>
      <c r="AQ23" s="90" t="b">
        <v>1</v>
      </c>
      <c r="AR23" s="90" t="b">
        <v>0</v>
      </c>
      <c r="AS23" s="90" t="b">
        <v>1</v>
      </c>
      <c r="AT23" s="90"/>
      <c r="AU23" s="90">
        <v>27</v>
      </c>
      <c r="AV23" s="96" t="str">
        <f>HYPERLINK("https://abs.twimg.com/images/themes/theme1/bg.png")</f>
        <v>https://abs.twimg.com/images/themes/theme1/bg.png</v>
      </c>
      <c r="AW23" s="90" t="b">
        <v>0</v>
      </c>
      <c r="AX23" s="90" t="s">
        <v>827</v>
      </c>
      <c r="AY23" s="96" t="str">
        <f>HYPERLINK("https://twitter.com/anttiripatti")</f>
        <v>https://twitter.com/anttiripatti</v>
      </c>
      <c r="AZ23" s="90" t="s">
        <v>66</v>
      </c>
      <c r="BA23" s="89" t="str">
        <f>REPLACE(INDEX(GroupVertices[Group],MATCH(Vertices[[#This Row],[Vertex]],GroupVertices[Vertex],0)),1,1,"")</f>
        <v>1</v>
      </c>
      <c r="BB23" s="49">
        <v>0</v>
      </c>
      <c r="BC23" s="50">
        <v>0</v>
      </c>
      <c r="BD23" s="49">
        <v>0</v>
      </c>
      <c r="BE23" s="50">
        <v>0</v>
      </c>
      <c r="BF23" s="49">
        <v>0</v>
      </c>
      <c r="BG23" s="50">
        <v>0</v>
      </c>
      <c r="BH23" s="49">
        <v>28</v>
      </c>
      <c r="BI23" s="50">
        <v>100</v>
      </c>
      <c r="BJ23" s="49">
        <v>28</v>
      </c>
      <c r="BK23" s="49" t="s">
        <v>1981</v>
      </c>
      <c r="BL23" s="49" t="s">
        <v>1981</v>
      </c>
      <c r="BM23" s="49" t="s">
        <v>334</v>
      </c>
      <c r="BN23" s="49" t="s">
        <v>334</v>
      </c>
      <c r="BO23" s="49" t="s">
        <v>338</v>
      </c>
      <c r="BP23" s="49" t="s">
        <v>338</v>
      </c>
      <c r="BQ23" s="116" t="s">
        <v>2079</v>
      </c>
      <c r="BR23" s="116" t="s">
        <v>2079</v>
      </c>
      <c r="BS23" s="116" t="s">
        <v>2092</v>
      </c>
      <c r="BT23" s="116" t="s">
        <v>2092</v>
      </c>
      <c r="BU23" s="2"/>
      <c r="BV23" s="3"/>
      <c r="BW23" s="3"/>
      <c r="BX23" s="3"/>
      <c r="BY23" s="3"/>
    </row>
    <row r="24" spans="1:77" ht="15">
      <c r="A24" s="66" t="s">
        <v>243</v>
      </c>
      <c r="B24" s="67"/>
      <c r="C24" s="67" t="s">
        <v>46</v>
      </c>
      <c r="D24" s="68"/>
      <c r="E24" s="117"/>
      <c r="F24" s="105" t="str">
        <f>HYPERLINK("https://pbs.twimg.com/profile_images/426267583088979968/TEPKo2UH_normal.jpeg")</f>
        <v>https://pbs.twimg.com/profile_images/426267583088979968/TEPKo2UH_normal.jpeg</v>
      </c>
      <c r="G24" s="118"/>
      <c r="H24" s="71" t="s">
        <v>243</v>
      </c>
      <c r="I24" s="72" t="s">
        <v>2109</v>
      </c>
      <c r="J24" s="119" t="s">
        <v>73</v>
      </c>
      <c r="K24" s="71" t="s">
        <v>847</v>
      </c>
      <c r="L24" s="120">
        <v>1</v>
      </c>
      <c r="M24" s="76">
        <v>2152.251953125</v>
      </c>
      <c r="N24" s="76">
        <v>5810.18603515625</v>
      </c>
      <c r="O24" s="77"/>
      <c r="P24" s="78"/>
      <c r="Q24" s="78"/>
      <c r="R24" s="121"/>
      <c r="S24" s="49">
        <v>0</v>
      </c>
      <c r="T24" s="49">
        <v>3</v>
      </c>
      <c r="U24" s="50">
        <v>0</v>
      </c>
      <c r="V24" s="50">
        <v>0.005376</v>
      </c>
      <c r="W24" s="50">
        <v>0.009884</v>
      </c>
      <c r="X24" s="50">
        <v>0.519233</v>
      </c>
      <c r="Y24" s="50">
        <v>0.6666666666666666</v>
      </c>
      <c r="Z24" s="50">
        <v>0</v>
      </c>
      <c r="AA24" s="73">
        <v>24</v>
      </c>
      <c r="AB24" s="73"/>
      <c r="AC24" s="74"/>
      <c r="AD24" s="90" t="s">
        <v>590</v>
      </c>
      <c r="AE24" s="99" t="s">
        <v>670</v>
      </c>
      <c r="AF24" s="90">
        <v>980</v>
      </c>
      <c r="AG24" s="90">
        <v>242</v>
      </c>
      <c r="AH24" s="90">
        <v>76</v>
      </c>
      <c r="AI24" s="90">
        <v>520</v>
      </c>
      <c r="AJ24" s="90"/>
      <c r="AK24" s="90" t="s">
        <v>748</v>
      </c>
      <c r="AL24" s="90"/>
      <c r="AM24" s="96" t="str">
        <f>HYPERLINK("https://t.co/1X1NoMc4I9")</f>
        <v>https://t.co/1X1NoMc4I9</v>
      </c>
      <c r="AN24" s="90"/>
      <c r="AO24" s="93">
        <v>40951.340162037035</v>
      </c>
      <c r="AP24" s="96" t="str">
        <f>HYPERLINK("https://pbs.twimg.com/profile_banners/490142860/1511624541")</f>
        <v>https://pbs.twimg.com/profile_banners/490142860/1511624541</v>
      </c>
      <c r="AQ24" s="90" t="b">
        <v>0</v>
      </c>
      <c r="AR24" s="90" t="b">
        <v>0</v>
      </c>
      <c r="AS24" s="90" t="b">
        <v>0</v>
      </c>
      <c r="AT24" s="90"/>
      <c r="AU24" s="90">
        <v>5</v>
      </c>
      <c r="AV24" s="96" t="str">
        <f>HYPERLINK("https://abs.twimg.com/images/themes/theme1/bg.png")</f>
        <v>https://abs.twimg.com/images/themes/theme1/bg.png</v>
      </c>
      <c r="AW24" s="90" t="b">
        <v>0</v>
      </c>
      <c r="AX24" s="90" t="s">
        <v>827</v>
      </c>
      <c r="AY24" s="96" t="str">
        <f>HYPERLINK("https://twitter.com/aapostenhammar")</f>
        <v>https://twitter.com/aapostenhammar</v>
      </c>
      <c r="AZ24" s="90" t="s">
        <v>66</v>
      </c>
      <c r="BA24" s="89" t="str">
        <f>REPLACE(INDEX(GroupVertices[Group],MATCH(Vertices[[#This Row],[Vertex]],GroupVertices[Vertex],0)),1,1,"")</f>
        <v>1</v>
      </c>
      <c r="BB24" s="49">
        <v>0</v>
      </c>
      <c r="BC24" s="50">
        <v>0</v>
      </c>
      <c r="BD24" s="49">
        <v>0</v>
      </c>
      <c r="BE24" s="50">
        <v>0</v>
      </c>
      <c r="BF24" s="49">
        <v>0</v>
      </c>
      <c r="BG24" s="50">
        <v>0</v>
      </c>
      <c r="BH24" s="49">
        <v>28</v>
      </c>
      <c r="BI24" s="50">
        <v>100</v>
      </c>
      <c r="BJ24" s="49">
        <v>28</v>
      </c>
      <c r="BK24" s="49" t="s">
        <v>1981</v>
      </c>
      <c r="BL24" s="49" t="s">
        <v>1981</v>
      </c>
      <c r="BM24" s="49" t="s">
        <v>334</v>
      </c>
      <c r="BN24" s="49" t="s">
        <v>334</v>
      </c>
      <c r="BO24" s="49" t="s">
        <v>338</v>
      </c>
      <c r="BP24" s="49" t="s">
        <v>338</v>
      </c>
      <c r="BQ24" s="116" t="s">
        <v>2079</v>
      </c>
      <c r="BR24" s="116" t="s">
        <v>2079</v>
      </c>
      <c r="BS24" s="116" t="s">
        <v>2092</v>
      </c>
      <c r="BT24" s="116" t="s">
        <v>2092</v>
      </c>
      <c r="BU24" s="2"/>
      <c r="BV24" s="3"/>
      <c r="BW24" s="3"/>
      <c r="BX24" s="3"/>
      <c r="BY24" s="3"/>
    </row>
    <row r="25" spans="1:77" ht="15">
      <c r="A25" s="66" t="s">
        <v>244</v>
      </c>
      <c r="B25" s="67"/>
      <c r="C25" s="67" t="s">
        <v>46</v>
      </c>
      <c r="D25" s="68"/>
      <c r="E25" s="117"/>
      <c r="F25" s="105" t="str">
        <f>HYPERLINK("https://pbs.twimg.com/profile_images/1304696854899298305/WqLa6MKD_normal.jpg")</f>
        <v>https://pbs.twimg.com/profile_images/1304696854899298305/WqLa6MKD_normal.jpg</v>
      </c>
      <c r="G25" s="118"/>
      <c r="H25" s="71" t="s">
        <v>244</v>
      </c>
      <c r="I25" s="72" t="s">
        <v>2109</v>
      </c>
      <c r="J25" s="119" t="s">
        <v>73</v>
      </c>
      <c r="K25" s="71" t="s">
        <v>848</v>
      </c>
      <c r="L25" s="120">
        <v>1</v>
      </c>
      <c r="M25" s="76">
        <v>285.86151123046875</v>
      </c>
      <c r="N25" s="76">
        <v>3756.237548828125</v>
      </c>
      <c r="O25" s="77"/>
      <c r="P25" s="78"/>
      <c r="Q25" s="78"/>
      <c r="R25" s="121"/>
      <c r="S25" s="49">
        <v>0</v>
      </c>
      <c r="T25" s="49">
        <v>1</v>
      </c>
      <c r="U25" s="50">
        <v>0</v>
      </c>
      <c r="V25" s="50">
        <v>0.004808</v>
      </c>
      <c r="W25" s="50">
        <v>0.003182</v>
      </c>
      <c r="X25" s="50">
        <v>0.273072</v>
      </c>
      <c r="Y25" s="50">
        <v>0</v>
      </c>
      <c r="Z25" s="50">
        <v>0</v>
      </c>
      <c r="AA25" s="73">
        <v>25</v>
      </c>
      <c r="AB25" s="73"/>
      <c r="AC25" s="74"/>
      <c r="AD25" s="90" t="s">
        <v>591</v>
      </c>
      <c r="AE25" s="99" t="s">
        <v>671</v>
      </c>
      <c r="AF25" s="90">
        <v>1710</v>
      </c>
      <c r="AG25" s="90">
        <v>1834</v>
      </c>
      <c r="AH25" s="90">
        <v>4678</v>
      </c>
      <c r="AI25" s="90">
        <v>12844</v>
      </c>
      <c r="AJ25" s="90"/>
      <c r="AK25" s="90" t="s">
        <v>749</v>
      </c>
      <c r="AL25" s="90" t="s">
        <v>815</v>
      </c>
      <c r="AM25" s="96" t="str">
        <f>HYPERLINK("https://t.co/NlWyUpYYOR")</f>
        <v>https://t.co/NlWyUpYYOR</v>
      </c>
      <c r="AN25" s="90"/>
      <c r="AO25" s="93">
        <v>42458.420902777776</v>
      </c>
      <c r="AP25" s="96" t="str">
        <f>HYPERLINK("https://pbs.twimg.com/profile_banners/714755503763681281/1581585171")</f>
        <v>https://pbs.twimg.com/profile_banners/714755503763681281/1581585171</v>
      </c>
      <c r="AQ25" s="90" t="b">
        <v>1</v>
      </c>
      <c r="AR25" s="90" t="b">
        <v>0</v>
      </c>
      <c r="AS25" s="90" t="b">
        <v>1</v>
      </c>
      <c r="AT25" s="90"/>
      <c r="AU25" s="90">
        <v>21</v>
      </c>
      <c r="AV25" s="90"/>
      <c r="AW25" s="90" t="b">
        <v>0</v>
      </c>
      <c r="AX25" s="90" t="s">
        <v>827</v>
      </c>
      <c r="AY25" s="96" t="str">
        <f>HYPERLINK("https://twitter.com/tainakyllonen")</f>
        <v>https://twitter.com/tainakyllonen</v>
      </c>
      <c r="AZ25" s="90" t="s">
        <v>66</v>
      </c>
      <c r="BA25" s="89" t="str">
        <f>REPLACE(INDEX(GroupVertices[Group],MATCH(Vertices[[#This Row],[Vertex]],GroupVertices[Vertex],0)),1,1,"")</f>
        <v>1</v>
      </c>
      <c r="BB25" s="49">
        <v>1</v>
      </c>
      <c r="BC25" s="50">
        <v>5.2631578947368425</v>
      </c>
      <c r="BD25" s="49">
        <v>0</v>
      </c>
      <c r="BE25" s="50">
        <v>0</v>
      </c>
      <c r="BF25" s="49">
        <v>0</v>
      </c>
      <c r="BG25" s="50">
        <v>0</v>
      </c>
      <c r="BH25" s="49">
        <v>18</v>
      </c>
      <c r="BI25" s="50">
        <v>94.73684210526316</v>
      </c>
      <c r="BJ25" s="49">
        <v>19</v>
      </c>
      <c r="BK25" s="49" t="s">
        <v>1982</v>
      </c>
      <c r="BL25" s="49" t="s">
        <v>1982</v>
      </c>
      <c r="BM25" s="49" t="s">
        <v>333</v>
      </c>
      <c r="BN25" s="49" t="s">
        <v>333</v>
      </c>
      <c r="BO25" s="49" t="s">
        <v>339</v>
      </c>
      <c r="BP25" s="49" t="s">
        <v>339</v>
      </c>
      <c r="BQ25" s="116" t="s">
        <v>2082</v>
      </c>
      <c r="BR25" s="116" t="s">
        <v>2082</v>
      </c>
      <c r="BS25" s="116" t="s">
        <v>2095</v>
      </c>
      <c r="BT25" s="116" t="s">
        <v>2095</v>
      </c>
      <c r="BU25" s="2"/>
      <c r="BV25" s="3"/>
      <c r="BW25" s="3"/>
      <c r="BX25" s="3"/>
      <c r="BY25" s="3"/>
    </row>
    <row r="26" spans="1:77" ht="15">
      <c r="A26" s="66" t="s">
        <v>245</v>
      </c>
      <c r="B26" s="67"/>
      <c r="C26" s="67" t="s">
        <v>46</v>
      </c>
      <c r="D26" s="68"/>
      <c r="E26" s="117"/>
      <c r="F26" s="105" t="str">
        <f>HYPERLINK("https://pbs.twimg.com/profile_images/729579070258860032/n0QrFub9_normal.jpg")</f>
        <v>https://pbs.twimg.com/profile_images/729579070258860032/n0QrFub9_normal.jpg</v>
      </c>
      <c r="G26" s="118"/>
      <c r="H26" s="71" t="s">
        <v>245</v>
      </c>
      <c r="I26" s="72" t="s">
        <v>2109</v>
      </c>
      <c r="J26" s="119" t="s">
        <v>73</v>
      </c>
      <c r="K26" s="71" t="s">
        <v>849</v>
      </c>
      <c r="L26" s="120">
        <v>1</v>
      </c>
      <c r="M26" s="76">
        <v>2489.295654296875</v>
      </c>
      <c r="N26" s="76">
        <v>6987.2041015625</v>
      </c>
      <c r="O26" s="77"/>
      <c r="P26" s="78"/>
      <c r="Q26" s="78"/>
      <c r="R26" s="121"/>
      <c r="S26" s="49">
        <v>0</v>
      </c>
      <c r="T26" s="49">
        <v>3</v>
      </c>
      <c r="U26" s="50">
        <v>0</v>
      </c>
      <c r="V26" s="50">
        <v>0.005376</v>
      </c>
      <c r="W26" s="50">
        <v>0.009884</v>
      </c>
      <c r="X26" s="50">
        <v>0.519233</v>
      </c>
      <c r="Y26" s="50">
        <v>0.6666666666666666</v>
      </c>
      <c r="Z26" s="50">
        <v>0</v>
      </c>
      <c r="AA26" s="73">
        <v>26</v>
      </c>
      <c r="AB26" s="73"/>
      <c r="AC26" s="74"/>
      <c r="AD26" s="90" t="s">
        <v>592</v>
      </c>
      <c r="AE26" s="99" t="s">
        <v>672</v>
      </c>
      <c r="AF26" s="90">
        <v>1777</v>
      </c>
      <c r="AG26" s="90">
        <v>609</v>
      </c>
      <c r="AH26" s="90">
        <v>977</v>
      </c>
      <c r="AI26" s="90">
        <v>3792</v>
      </c>
      <c r="AJ26" s="90"/>
      <c r="AK26" s="90" t="s">
        <v>750</v>
      </c>
      <c r="AL26" s="90" t="s">
        <v>816</v>
      </c>
      <c r="AM26" s="90"/>
      <c r="AN26" s="90"/>
      <c r="AO26" s="93">
        <v>41543.285520833335</v>
      </c>
      <c r="AP26" s="96" t="str">
        <f>HYPERLINK("https://pbs.twimg.com/profile_banners/1906962980/1494006509")</f>
        <v>https://pbs.twimg.com/profile_banners/1906962980/1494006509</v>
      </c>
      <c r="AQ26" s="90" t="b">
        <v>1</v>
      </c>
      <c r="AR26" s="90" t="b">
        <v>0</v>
      </c>
      <c r="AS26" s="90" t="b">
        <v>1</v>
      </c>
      <c r="AT26" s="90"/>
      <c r="AU26" s="90">
        <v>19</v>
      </c>
      <c r="AV26" s="96" t="str">
        <f>HYPERLINK("https://abs.twimg.com/images/themes/theme1/bg.png")</f>
        <v>https://abs.twimg.com/images/themes/theme1/bg.png</v>
      </c>
      <c r="AW26" s="90" t="b">
        <v>0</v>
      </c>
      <c r="AX26" s="90" t="s">
        <v>827</v>
      </c>
      <c r="AY26" s="96" t="str">
        <f>HYPERLINK("https://twitter.com/kaisaahonen")</f>
        <v>https://twitter.com/kaisaahonen</v>
      </c>
      <c r="AZ26" s="90" t="s">
        <v>66</v>
      </c>
      <c r="BA26" s="89" t="str">
        <f>REPLACE(INDEX(GroupVertices[Group],MATCH(Vertices[[#This Row],[Vertex]],GroupVertices[Vertex],0)),1,1,"")</f>
        <v>1</v>
      </c>
      <c r="BB26" s="49">
        <v>0</v>
      </c>
      <c r="BC26" s="50">
        <v>0</v>
      </c>
      <c r="BD26" s="49">
        <v>0</v>
      </c>
      <c r="BE26" s="50">
        <v>0</v>
      </c>
      <c r="BF26" s="49">
        <v>0</v>
      </c>
      <c r="BG26" s="50">
        <v>0</v>
      </c>
      <c r="BH26" s="49">
        <v>28</v>
      </c>
      <c r="BI26" s="50">
        <v>100</v>
      </c>
      <c r="BJ26" s="49">
        <v>28</v>
      </c>
      <c r="BK26" s="49" t="s">
        <v>1981</v>
      </c>
      <c r="BL26" s="49" t="s">
        <v>1981</v>
      </c>
      <c r="BM26" s="49" t="s">
        <v>334</v>
      </c>
      <c r="BN26" s="49" t="s">
        <v>334</v>
      </c>
      <c r="BO26" s="49" t="s">
        <v>338</v>
      </c>
      <c r="BP26" s="49" t="s">
        <v>338</v>
      </c>
      <c r="BQ26" s="116" t="s">
        <v>2079</v>
      </c>
      <c r="BR26" s="116" t="s">
        <v>2079</v>
      </c>
      <c r="BS26" s="116" t="s">
        <v>2092</v>
      </c>
      <c r="BT26" s="116" t="s">
        <v>2092</v>
      </c>
      <c r="BU26" s="2"/>
      <c r="BV26" s="3"/>
      <c r="BW26" s="3"/>
      <c r="BX26" s="3"/>
      <c r="BY26" s="3"/>
    </row>
    <row r="27" spans="1:77" ht="15">
      <c r="A27" s="66" t="s">
        <v>246</v>
      </c>
      <c r="B27" s="67"/>
      <c r="C27" s="67" t="s">
        <v>46</v>
      </c>
      <c r="D27" s="68"/>
      <c r="E27" s="117"/>
      <c r="F27" s="105" t="str">
        <f>HYPERLINK("https://pbs.twimg.com/profile_images/1310149988266242051/EAJAHEA3_normal.jpg")</f>
        <v>https://pbs.twimg.com/profile_images/1310149988266242051/EAJAHEA3_normal.jpg</v>
      </c>
      <c r="G27" s="118"/>
      <c r="H27" s="71" t="s">
        <v>246</v>
      </c>
      <c r="I27" s="72" t="s">
        <v>2635</v>
      </c>
      <c r="J27" s="119" t="s">
        <v>73</v>
      </c>
      <c r="K27" s="71" t="s">
        <v>850</v>
      </c>
      <c r="L27" s="120">
        <v>1</v>
      </c>
      <c r="M27" s="76">
        <v>8363.798828125</v>
      </c>
      <c r="N27" s="76">
        <v>4021.990966796875</v>
      </c>
      <c r="O27" s="77"/>
      <c r="P27" s="78"/>
      <c r="Q27" s="78"/>
      <c r="R27" s="121"/>
      <c r="S27" s="49">
        <v>0</v>
      </c>
      <c r="T27" s="49">
        <v>2</v>
      </c>
      <c r="U27" s="50">
        <v>0</v>
      </c>
      <c r="V27" s="50">
        <v>0.005155</v>
      </c>
      <c r="W27" s="50">
        <v>0.004156</v>
      </c>
      <c r="X27" s="50">
        <v>0.404595</v>
      </c>
      <c r="Y27" s="50">
        <v>0.5</v>
      </c>
      <c r="Z27" s="50">
        <v>0</v>
      </c>
      <c r="AA27" s="73">
        <v>27</v>
      </c>
      <c r="AB27" s="73"/>
      <c r="AC27" s="74"/>
      <c r="AD27" s="90" t="s">
        <v>593</v>
      </c>
      <c r="AE27" s="99" t="s">
        <v>673</v>
      </c>
      <c r="AF27" s="90">
        <v>940</v>
      </c>
      <c r="AG27" s="90">
        <v>3052</v>
      </c>
      <c r="AH27" s="90">
        <v>2964</v>
      </c>
      <c r="AI27" s="90">
        <v>4964</v>
      </c>
      <c r="AJ27" s="90"/>
      <c r="AK27" s="90" t="s">
        <v>751</v>
      </c>
      <c r="AL27" s="90" t="s">
        <v>808</v>
      </c>
      <c r="AM27" s="96" t="str">
        <f>HYPERLINK("https://t.co/NKtfDgV8QC")</f>
        <v>https://t.co/NKtfDgV8QC</v>
      </c>
      <c r="AN27" s="90"/>
      <c r="AO27" s="93">
        <v>42865.407476851855</v>
      </c>
      <c r="AP27" s="90"/>
      <c r="AQ27" s="90" t="b">
        <v>0</v>
      </c>
      <c r="AR27" s="90" t="b">
        <v>0</v>
      </c>
      <c r="AS27" s="90" t="b">
        <v>0</v>
      </c>
      <c r="AT27" s="90"/>
      <c r="AU27" s="90">
        <v>20</v>
      </c>
      <c r="AV27" s="96" t="str">
        <f>HYPERLINK("https://abs.twimg.com/images/themes/theme1/bg.png")</f>
        <v>https://abs.twimg.com/images/themes/theme1/bg.png</v>
      </c>
      <c r="AW27" s="90" t="b">
        <v>0</v>
      </c>
      <c r="AX27" s="90" t="s">
        <v>827</v>
      </c>
      <c r="AY27" s="96" t="str">
        <f>HYPERLINK("https://twitter.com/nikumaattanen")</f>
        <v>https://twitter.com/nikumaattanen</v>
      </c>
      <c r="AZ27" s="90" t="s">
        <v>66</v>
      </c>
      <c r="BA27" s="89" t="str">
        <f>REPLACE(INDEX(GroupVertices[Group],MATCH(Vertices[[#This Row],[Vertex]],GroupVertices[Vertex],0)),1,1,"")</f>
        <v>3</v>
      </c>
      <c r="BB27" s="49">
        <v>0</v>
      </c>
      <c r="BC27" s="50">
        <v>0</v>
      </c>
      <c r="BD27" s="49">
        <v>0</v>
      </c>
      <c r="BE27" s="50">
        <v>0</v>
      </c>
      <c r="BF27" s="49">
        <v>0</v>
      </c>
      <c r="BG27" s="50">
        <v>0</v>
      </c>
      <c r="BH27" s="49">
        <v>17</v>
      </c>
      <c r="BI27" s="50">
        <v>100</v>
      </c>
      <c r="BJ27" s="49">
        <v>17</v>
      </c>
      <c r="BK27" s="49"/>
      <c r="BL27" s="49"/>
      <c r="BM27" s="49"/>
      <c r="BN27" s="49"/>
      <c r="BO27" s="49" t="s">
        <v>338</v>
      </c>
      <c r="BP27" s="49" t="s">
        <v>338</v>
      </c>
      <c r="BQ27" s="116" t="s">
        <v>2083</v>
      </c>
      <c r="BR27" s="116" t="s">
        <v>2083</v>
      </c>
      <c r="BS27" s="116" t="s">
        <v>2096</v>
      </c>
      <c r="BT27" s="116" t="s">
        <v>2096</v>
      </c>
      <c r="BU27" s="2"/>
      <c r="BV27" s="3"/>
      <c r="BW27" s="3"/>
      <c r="BX27" s="3"/>
      <c r="BY27" s="3"/>
    </row>
    <row r="28" spans="1:77" ht="15">
      <c r="A28" s="66" t="s">
        <v>303</v>
      </c>
      <c r="B28" s="67"/>
      <c r="C28" s="67" t="s">
        <v>64</v>
      </c>
      <c r="D28" s="68">
        <v>636.0883523851489</v>
      </c>
      <c r="E28" s="117"/>
      <c r="F28" s="105" t="str">
        <f>HYPERLINK("https://pbs.twimg.com/profile_images/1233056707791720450/S6MsRlCe_normal.jpg")</f>
        <v>https://pbs.twimg.com/profile_images/1233056707791720450/S6MsRlCe_normal.jpg</v>
      </c>
      <c r="G28" s="118"/>
      <c r="H28" s="71" t="s">
        <v>303</v>
      </c>
      <c r="I28" s="72" t="s">
        <v>2635</v>
      </c>
      <c r="J28" s="119" t="s">
        <v>75</v>
      </c>
      <c r="K28" s="71" t="s">
        <v>851</v>
      </c>
      <c r="L28" s="120">
        <v>770.0769230769231</v>
      </c>
      <c r="M28" s="76">
        <v>8567.05859375</v>
      </c>
      <c r="N28" s="76">
        <v>3283.612060546875</v>
      </c>
      <c r="O28" s="77"/>
      <c r="P28" s="78"/>
      <c r="Q28" s="78"/>
      <c r="R28" s="121"/>
      <c r="S28" s="49">
        <v>6</v>
      </c>
      <c r="T28" s="49">
        <v>0</v>
      </c>
      <c r="U28" s="50">
        <v>7.523088</v>
      </c>
      <c r="V28" s="50">
        <v>0.005291</v>
      </c>
      <c r="W28" s="50">
        <v>0.007576</v>
      </c>
      <c r="X28" s="50">
        <v>0.928841</v>
      </c>
      <c r="Y28" s="50">
        <v>0.16666666666666666</v>
      </c>
      <c r="Z28" s="50">
        <v>0</v>
      </c>
      <c r="AA28" s="73">
        <v>28</v>
      </c>
      <c r="AB28" s="73"/>
      <c r="AC28" s="74"/>
      <c r="AD28" s="90" t="s">
        <v>594</v>
      </c>
      <c r="AE28" s="99" t="s">
        <v>674</v>
      </c>
      <c r="AF28" s="90">
        <v>875</v>
      </c>
      <c r="AG28" s="90">
        <v>10720</v>
      </c>
      <c r="AH28" s="90">
        <v>13027</v>
      </c>
      <c r="AI28" s="90">
        <v>4358</v>
      </c>
      <c r="AJ28" s="90"/>
      <c r="AK28" s="90" t="s">
        <v>752</v>
      </c>
      <c r="AL28" s="90"/>
      <c r="AM28" s="96" t="str">
        <f>HYPERLINK("https://t.co/oBMwPuRTFt")</f>
        <v>https://t.co/oBMwPuRTFt</v>
      </c>
      <c r="AN28" s="90"/>
      <c r="AO28" s="93">
        <v>41017.54039351852</v>
      </c>
      <c r="AP28" s="96" t="str">
        <f>HYPERLINK("https://pbs.twimg.com/profile_banners/556844611/1632748692")</f>
        <v>https://pbs.twimg.com/profile_banners/556844611/1632748692</v>
      </c>
      <c r="AQ28" s="90" t="b">
        <v>1</v>
      </c>
      <c r="AR28" s="90" t="b">
        <v>0</v>
      </c>
      <c r="AS28" s="90" t="b">
        <v>1</v>
      </c>
      <c r="AT28" s="90"/>
      <c r="AU28" s="90">
        <v>89</v>
      </c>
      <c r="AV28" s="96" t="str">
        <f>HYPERLINK("https://abs.twimg.com/images/themes/theme1/bg.png")</f>
        <v>https://abs.twimg.com/images/themes/theme1/bg.png</v>
      </c>
      <c r="AW28" s="90" t="b">
        <v>1</v>
      </c>
      <c r="AX28" s="90" t="s">
        <v>827</v>
      </c>
      <c r="AY28" s="96" t="str">
        <f>HYPERLINK("https://twitter.com/radiosuomi")</f>
        <v>https://twitter.com/radiosuomi</v>
      </c>
      <c r="AZ28" s="90" t="s">
        <v>65</v>
      </c>
      <c r="BA28" s="8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247</v>
      </c>
      <c r="B29" s="67"/>
      <c r="C29" s="67" t="s">
        <v>46</v>
      </c>
      <c r="D29" s="68"/>
      <c r="E29" s="117"/>
      <c r="F29" s="105" t="str">
        <f>HYPERLINK("https://pbs.twimg.com/profile_images/1226112584404930566/TuG2iSnM_normal.jpg")</f>
        <v>https://pbs.twimg.com/profile_images/1226112584404930566/TuG2iSnM_normal.jpg</v>
      </c>
      <c r="G29" s="118"/>
      <c r="H29" s="71" t="s">
        <v>247</v>
      </c>
      <c r="I29" s="72" t="s">
        <v>2109</v>
      </c>
      <c r="J29" s="119" t="s">
        <v>73</v>
      </c>
      <c r="K29" s="71" t="s">
        <v>852</v>
      </c>
      <c r="L29" s="120">
        <v>1</v>
      </c>
      <c r="M29" s="76">
        <v>5138.18505859375</v>
      </c>
      <c r="N29" s="76">
        <v>8372.4609375</v>
      </c>
      <c r="O29" s="77"/>
      <c r="P29" s="78"/>
      <c r="Q29" s="78"/>
      <c r="R29" s="121"/>
      <c r="S29" s="49">
        <v>0</v>
      </c>
      <c r="T29" s="49">
        <v>3</v>
      </c>
      <c r="U29" s="50">
        <v>0</v>
      </c>
      <c r="V29" s="50">
        <v>0.005376</v>
      </c>
      <c r="W29" s="50">
        <v>0.009884</v>
      </c>
      <c r="X29" s="50">
        <v>0.519233</v>
      </c>
      <c r="Y29" s="50">
        <v>0.6666666666666666</v>
      </c>
      <c r="Z29" s="50">
        <v>0</v>
      </c>
      <c r="AA29" s="73">
        <v>29</v>
      </c>
      <c r="AB29" s="73"/>
      <c r="AC29" s="74"/>
      <c r="AD29" s="90" t="s">
        <v>595</v>
      </c>
      <c r="AE29" s="99" t="s">
        <v>675</v>
      </c>
      <c r="AF29" s="90">
        <v>308</v>
      </c>
      <c r="AG29" s="90">
        <v>236</v>
      </c>
      <c r="AH29" s="90">
        <v>6544</v>
      </c>
      <c r="AI29" s="90">
        <v>838</v>
      </c>
      <c r="AJ29" s="90"/>
      <c r="AK29" s="90" t="s">
        <v>753</v>
      </c>
      <c r="AL29" s="90" t="s">
        <v>806</v>
      </c>
      <c r="AM29" s="90"/>
      <c r="AN29" s="90"/>
      <c r="AO29" s="93">
        <v>40487.600173611114</v>
      </c>
      <c r="AP29" s="96" t="str">
        <f>HYPERLINK("https://pbs.twimg.com/profile_banners/212236024/1581162645")</f>
        <v>https://pbs.twimg.com/profile_banners/212236024/1581162645</v>
      </c>
      <c r="AQ29" s="90" t="b">
        <v>0</v>
      </c>
      <c r="AR29" s="90" t="b">
        <v>0</v>
      </c>
      <c r="AS29" s="90" t="b">
        <v>0</v>
      </c>
      <c r="AT29" s="90"/>
      <c r="AU29" s="90">
        <v>3</v>
      </c>
      <c r="AV29" s="96" t="str">
        <f>HYPERLINK("https://abs.twimg.com/images/themes/theme18/bg.gif")</f>
        <v>https://abs.twimg.com/images/themes/theme18/bg.gif</v>
      </c>
      <c r="AW29" s="90" t="b">
        <v>0</v>
      </c>
      <c r="AX29" s="90" t="s">
        <v>827</v>
      </c>
      <c r="AY29" s="96" t="str">
        <f>HYPERLINK("https://twitter.com/avaattanen")</f>
        <v>https://twitter.com/avaattanen</v>
      </c>
      <c r="AZ29" s="90" t="s">
        <v>66</v>
      </c>
      <c r="BA29" s="89" t="str">
        <f>REPLACE(INDEX(GroupVertices[Group],MATCH(Vertices[[#This Row],[Vertex]],GroupVertices[Vertex],0)),1,1,"")</f>
        <v>1</v>
      </c>
      <c r="BB29" s="49">
        <v>0</v>
      </c>
      <c r="BC29" s="50">
        <v>0</v>
      </c>
      <c r="BD29" s="49">
        <v>0</v>
      </c>
      <c r="BE29" s="50">
        <v>0</v>
      </c>
      <c r="BF29" s="49">
        <v>0</v>
      </c>
      <c r="BG29" s="50">
        <v>0</v>
      </c>
      <c r="BH29" s="49">
        <v>28</v>
      </c>
      <c r="BI29" s="50">
        <v>100</v>
      </c>
      <c r="BJ29" s="49">
        <v>28</v>
      </c>
      <c r="BK29" s="49" t="s">
        <v>1981</v>
      </c>
      <c r="BL29" s="49" t="s">
        <v>1981</v>
      </c>
      <c r="BM29" s="49" t="s">
        <v>334</v>
      </c>
      <c r="BN29" s="49" t="s">
        <v>334</v>
      </c>
      <c r="BO29" s="49" t="s">
        <v>338</v>
      </c>
      <c r="BP29" s="49" t="s">
        <v>338</v>
      </c>
      <c r="BQ29" s="116" t="s">
        <v>2079</v>
      </c>
      <c r="BR29" s="116" t="s">
        <v>2079</v>
      </c>
      <c r="BS29" s="116" t="s">
        <v>2092</v>
      </c>
      <c r="BT29" s="116" t="s">
        <v>2092</v>
      </c>
      <c r="BU29" s="2"/>
      <c r="BV29" s="3"/>
      <c r="BW29" s="3"/>
      <c r="BX29" s="3"/>
      <c r="BY29" s="3"/>
    </row>
    <row r="30" spans="1:77" ht="15">
      <c r="A30" s="66" t="s">
        <v>248</v>
      </c>
      <c r="B30" s="67"/>
      <c r="C30" s="67" t="s">
        <v>46</v>
      </c>
      <c r="D30" s="68"/>
      <c r="E30" s="117"/>
      <c r="F30" s="105" t="str">
        <f>HYPERLINK("https://pbs.twimg.com/profile_images/962059567176695810/ebudye9q_normal.jpg")</f>
        <v>https://pbs.twimg.com/profile_images/962059567176695810/ebudye9q_normal.jpg</v>
      </c>
      <c r="G30" s="118"/>
      <c r="H30" s="71" t="s">
        <v>248</v>
      </c>
      <c r="I30" s="72" t="s">
        <v>2637</v>
      </c>
      <c r="J30" s="119" t="s">
        <v>73</v>
      </c>
      <c r="K30" s="71" t="s">
        <v>2332</v>
      </c>
      <c r="L30" s="120">
        <v>1</v>
      </c>
      <c r="M30" s="76">
        <v>6507.8623046875</v>
      </c>
      <c r="N30" s="76">
        <v>5725.65234375</v>
      </c>
      <c r="O30" s="77"/>
      <c r="P30" s="78"/>
      <c r="Q30" s="78"/>
      <c r="R30" s="121"/>
      <c r="S30" s="49">
        <v>0</v>
      </c>
      <c r="T30" s="49">
        <v>6</v>
      </c>
      <c r="U30" s="50">
        <v>4.475309</v>
      </c>
      <c r="V30" s="50">
        <v>0.005464</v>
      </c>
      <c r="W30" s="50">
        <v>0.012557</v>
      </c>
      <c r="X30" s="50">
        <v>0.85226</v>
      </c>
      <c r="Y30" s="50">
        <v>0.4</v>
      </c>
      <c r="Z30" s="50">
        <v>0</v>
      </c>
      <c r="AA30" s="73">
        <v>30</v>
      </c>
      <c r="AB30" s="73"/>
      <c r="AC30" s="74"/>
      <c r="AD30" s="90" t="s">
        <v>596</v>
      </c>
      <c r="AE30" s="99" t="s">
        <v>676</v>
      </c>
      <c r="AF30" s="90">
        <v>2441</v>
      </c>
      <c r="AG30" s="90">
        <v>5971</v>
      </c>
      <c r="AH30" s="90">
        <v>8138</v>
      </c>
      <c r="AI30" s="90">
        <v>11087</v>
      </c>
      <c r="AJ30" s="90"/>
      <c r="AK30" s="90" t="s">
        <v>754</v>
      </c>
      <c r="AL30" s="90" t="s">
        <v>817</v>
      </c>
      <c r="AM30" s="96" t="str">
        <f>HYPERLINK("https://t.co/MQKsW5l1Fx")</f>
        <v>https://t.co/MQKsW5l1Fx</v>
      </c>
      <c r="AN30" s="90"/>
      <c r="AO30" s="93">
        <v>40214.452060185184</v>
      </c>
      <c r="AP30" s="96" t="str">
        <f>HYPERLINK("https://pbs.twimg.com/profile_banners/111561793/1518207477")</f>
        <v>https://pbs.twimg.com/profile_banners/111561793/1518207477</v>
      </c>
      <c r="AQ30" s="90" t="b">
        <v>0</v>
      </c>
      <c r="AR30" s="90" t="b">
        <v>0</v>
      </c>
      <c r="AS30" s="90" t="b">
        <v>1</v>
      </c>
      <c r="AT30" s="90"/>
      <c r="AU30" s="90">
        <v>47</v>
      </c>
      <c r="AV30" s="96" t="str">
        <f>HYPERLINK("https://abs.twimg.com/images/themes/theme1/bg.png")</f>
        <v>https://abs.twimg.com/images/themes/theme1/bg.png</v>
      </c>
      <c r="AW30" s="90" t="b">
        <v>0</v>
      </c>
      <c r="AX30" s="90" t="s">
        <v>827</v>
      </c>
      <c r="AY30" s="96" t="str">
        <f>HYPERLINK("https://twitter.com/matiasmakynen")</f>
        <v>https://twitter.com/matiasmakynen</v>
      </c>
      <c r="AZ30" s="90" t="s">
        <v>66</v>
      </c>
      <c r="BA30" s="89" t="str">
        <f>REPLACE(INDEX(GroupVertices[Group],MATCH(Vertices[[#This Row],[Vertex]],GroupVertices[Vertex],0)),1,1,"")</f>
        <v>2</v>
      </c>
      <c r="BB30" s="49">
        <v>0</v>
      </c>
      <c r="BC30" s="50">
        <v>0</v>
      </c>
      <c r="BD30" s="49">
        <v>0</v>
      </c>
      <c r="BE30" s="50">
        <v>0</v>
      </c>
      <c r="BF30" s="49">
        <v>0</v>
      </c>
      <c r="BG30" s="50">
        <v>0</v>
      </c>
      <c r="BH30" s="49">
        <v>50</v>
      </c>
      <c r="BI30" s="50">
        <v>100</v>
      </c>
      <c r="BJ30" s="49">
        <v>50</v>
      </c>
      <c r="BK30" s="49" t="s">
        <v>2558</v>
      </c>
      <c r="BL30" s="49" t="s">
        <v>2558</v>
      </c>
      <c r="BM30" s="49" t="s">
        <v>334</v>
      </c>
      <c r="BN30" s="49" t="s">
        <v>334</v>
      </c>
      <c r="BO30" s="49" t="s">
        <v>338</v>
      </c>
      <c r="BP30" s="49" t="s">
        <v>338</v>
      </c>
      <c r="BQ30" s="116" t="s">
        <v>2579</v>
      </c>
      <c r="BR30" s="116" t="s">
        <v>2609</v>
      </c>
      <c r="BS30" s="116" t="s">
        <v>2620</v>
      </c>
      <c r="BT30" s="116" t="s">
        <v>2620</v>
      </c>
      <c r="BU30" s="2"/>
      <c r="BV30" s="3"/>
      <c r="BW30" s="3"/>
      <c r="BX30" s="3"/>
      <c r="BY30" s="3"/>
    </row>
    <row r="31" spans="1:77" ht="15">
      <c r="A31" s="66" t="s">
        <v>295</v>
      </c>
      <c r="B31" s="67"/>
      <c r="C31" s="67" t="s">
        <v>64</v>
      </c>
      <c r="D31" s="68">
        <v>999.9999999999999</v>
      </c>
      <c r="E31" s="117"/>
      <c r="F31" s="105" t="str">
        <f>HYPERLINK("https://pbs.twimg.com/profile_images/1411936509276590080/tUdqOXdw_normal.jpg")</f>
        <v>https://pbs.twimg.com/profile_images/1411936509276590080/tUdqOXdw_normal.jpg</v>
      </c>
      <c r="G31" s="118"/>
      <c r="H31" s="71" t="s">
        <v>295</v>
      </c>
      <c r="I31" s="72" t="s">
        <v>2637</v>
      </c>
      <c r="J31" s="119" t="s">
        <v>73</v>
      </c>
      <c r="K31" s="71" t="s">
        <v>890</v>
      </c>
      <c r="L31" s="120">
        <v>2180.051282051282</v>
      </c>
      <c r="M31" s="76">
        <v>7304.3076171875</v>
      </c>
      <c r="N31" s="76">
        <v>6877.8935546875</v>
      </c>
      <c r="O31" s="77"/>
      <c r="P31" s="78"/>
      <c r="Q31" s="78"/>
      <c r="R31" s="121"/>
      <c r="S31" s="49">
        <v>17</v>
      </c>
      <c r="T31" s="49">
        <v>1</v>
      </c>
      <c r="U31" s="50">
        <v>57.485786</v>
      </c>
      <c r="V31" s="50">
        <v>0.005618</v>
      </c>
      <c r="W31" s="50">
        <v>0.015111</v>
      </c>
      <c r="X31" s="50">
        <v>2.170093</v>
      </c>
      <c r="Y31" s="50">
        <v>0.17279411764705882</v>
      </c>
      <c r="Z31" s="50">
        <v>0.058823529411764705</v>
      </c>
      <c r="AA31" s="73">
        <v>31</v>
      </c>
      <c r="AB31" s="73"/>
      <c r="AC31" s="74"/>
      <c r="AD31" s="90" t="s">
        <v>637</v>
      </c>
      <c r="AE31" s="99" t="s">
        <v>717</v>
      </c>
      <c r="AF31" s="90">
        <v>2500</v>
      </c>
      <c r="AG31" s="90">
        <v>5474</v>
      </c>
      <c r="AH31" s="90">
        <v>7242</v>
      </c>
      <c r="AI31" s="90">
        <v>8556</v>
      </c>
      <c r="AJ31" s="90"/>
      <c r="AK31" s="90" t="s">
        <v>795</v>
      </c>
      <c r="AL31" s="90" t="s">
        <v>825</v>
      </c>
      <c r="AM31" s="96" t="str">
        <f>HYPERLINK("https://t.co/oX4qFYU1VA")</f>
        <v>https://t.co/oX4qFYU1VA</v>
      </c>
      <c r="AN31" s="90"/>
      <c r="AO31" s="93">
        <v>40970.40231481481</v>
      </c>
      <c r="AP31" s="96" t="str">
        <f>HYPERLINK("https://pbs.twimg.com/profile_banners/511666494/1623933312")</f>
        <v>https://pbs.twimg.com/profile_banners/511666494/1623933312</v>
      </c>
      <c r="AQ31" s="90" t="b">
        <v>0</v>
      </c>
      <c r="AR31" s="90" t="b">
        <v>0</v>
      </c>
      <c r="AS31" s="90" t="b">
        <v>1</v>
      </c>
      <c r="AT31" s="90"/>
      <c r="AU31" s="90">
        <v>54</v>
      </c>
      <c r="AV31" s="96" t="str">
        <f>HYPERLINK("https://abs.twimg.com/images/themes/theme15/bg.png")</f>
        <v>https://abs.twimg.com/images/themes/theme15/bg.png</v>
      </c>
      <c r="AW31" s="90" t="b">
        <v>0</v>
      </c>
      <c r="AX31" s="90" t="s">
        <v>827</v>
      </c>
      <c r="AY31" s="96" t="str">
        <f>HYPERLINK("https://twitter.com/suomenekonomit")</f>
        <v>https://twitter.com/suomenekonomit</v>
      </c>
      <c r="AZ31" s="90" t="s">
        <v>66</v>
      </c>
      <c r="BA31" s="89" t="str">
        <f>REPLACE(INDEX(GroupVertices[Group],MATCH(Vertices[[#This Row],[Vertex]],GroupVertices[Vertex],0)),1,1,"")</f>
        <v>2</v>
      </c>
      <c r="BB31" s="49">
        <v>0</v>
      </c>
      <c r="BC31" s="50">
        <v>0</v>
      </c>
      <c r="BD31" s="49">
        <v>0</v>
      </c>
      <c r="BE31" s="50">
        <v>0</v>
      </c>
      <c r="BF31" s="49">
        <v>0</v>
      </c>
      <c r="BG31" s="50">
        <v>0</v>
      </c>
      <c r="BH31" s="49">
        <v>25</v>
      </c>
      <c r="BI31" s="50">
        <v>100</v>
      </c>
      <c r="BJ31" s="49">
        <v>25</v>
      </c>
      <c r="BK31" s="49" t="s">
        <v>1982</v>
      </c>
      <c r="BL31" s="49" t="s">
        <v>1982</v>
      </c>
      <c r="BM31" s="49" t="s">
        <v>333</v>
      </c>
      <c r="BN31" s="49" t="s">
        <v>333</v>
      </c>
      <c r="BO31" s="49" t="s">
        <v>345</v>
      </c>
      <c r="BP31" s="49" t="s">
        <v>345</v>
      </c>
      <c r="BQ31" s="116" t="s">
        <v>2086</v>
      </c>
      <c r="BR31" s="116" t="s">
        <v>2086</v>
      </c>
      <c r="BS31" s="116" t="s">
        <v>2104</v>
      </c>
      <c r="BT31" s="116" t="s">
        <v>2104</v>
      </c>
      <c r="BU31" s="2"/>
      <c r="BV31" s="3"/>
      <c r="BW31" s="3"/>
      <c r="BX31" s="3"/>
      <c r="BY31" s="3"/>
    </row>
    <row r="32" spans="1:77" ht="15">
      <c r="A32" s="66" t="s">
        <v>260</v>
      </c>
      <c r="B32" s="67"/>
      <c r="C32" s="67" t="s">
        <v>64</v>
      </c>
      <c r="D32" s="68">
        <v>978.816146788175</v>
      </c>
      <c r="E32" s="117"/>
      <c r="F32" s="105" t="str">
        <f>HYPERLINK("https://pbs.twimg.com/profile_images/798450581367037952/8qvnkfl4_normal.jpg")</f>
        <v>https://pbs.twimg.com/profile_images/798450581367037952/8qvnkfl4_normal.jpg</v>
      </c>
      <c r="G32" s="118"/>
      <c r="H32" s="71" t="s">
        <v>260</v>
      </c>
      <c r="I32" s="72" t="s">
        <v>2637</v>
      </c>
      <c r="J32" s="119" t="s">
        <v>73</v>
      </c>
      <c r="K32" s="71" t="s">
        <v>863</v>
      </c>
      <c r="L32" s="120">
        <v>2051.871794871795</v>
      </c>
      <c r="M32" s="76">
        <v>6910.70947265625</v>
      </c>
      <c r="N32" s="76">
        <v>7002.41259765625</v>
      </c>
      <c r="O32" s="77"/>
      <c r="P32" s="78"/>
      <c r="Q32" s="78"/>
      <c r="R32" s="121"/>
      <c r="S32" s="49">
        <v>16</v>
      </c>
      <c r="T32" s="49">
        <v>1</v>
      </c>
      <c r="U32" s="50">
        <v>50.81912</v>
      </c>
      <c r="V32" s="50">
        <v>0.005587</v>
      </c>
      <c r="W32" s="50">
        <v>0.014538</v>
      </c>
      <c r="X32" s="50">
        <v>2.085735</v>
      </c>
      <c r="Y32" s="50">
        <v>0.16666666666666666</v>
      </c>
      <c r="Z32" s="50">
        <v>0.0625</v>
      </c>
      <c r="AA32" s="73">
        <v>32</v>
      </c>
      <c r="AB32" s="73"/>
      <c r="AC32" s="74"/>
      <c r="AD32" s="90" t="s">
        <v>608</v>
      </c>
      <c r="AE32" s="99" t="s">
        <v>688</v>
      </c>
      <c r="AF32" s="90">
        <v>522</v>
      </c>
      <c r="AG32" s="90">
        <v>11317</v>
      </c>
      <c r="AH32" s="90">
        <v>18531</v>
      </c>
      <c r="AI32" s="90">
        <v>4388</v>
      </c>
      <c r="AJ32" s="90"/>
      <c r="AK32" s="90" t="s">
        <v>766</v>
      </c>
      <c r="AL32" s="90"/>
      <c r="AM32" s="96" t="str">
        <f>HYPERLINK("http://t.co/LbAFZYZfuK")</f>
        <v>http://t.co/LbAFZYZfuK</v>
      </c>
      <c r="AN32" s="90"/>
      <c r="AO32" s="93">
        <v>40386.535949074074</v>
      </c>
      <c r="AP32" s="96" t="str">
        <f>HYPERLINK("https://pbs.twimg.com/profile_banners/171478294/1612353228")</f>
        <v>https://pbs.twimg.com/profile_banners/171478294/1612353228</v>
      </c>
      <c r="AQ32" s="90" t="b">
        <v>0</v>
      </c>
      <c r="AR32" s="90" t="b">
        <v>0</v>
      </c>
      <c r="AS32" s="90" t="b">
        <v>1</v>
      </c>
      <c r="AT32" s="90"/>
      <c r="AU32" s="90">
        <v>233</v>
      </c>
      <c r="AV32" s="96" t="str">
        <f>HYPERLINK("https://abs.twimg.com/images/themes/theme2/bg.gif")</f>
        <v>https://abs.twimg.com/images/themes/theme2/bg.gif</v>
      </c>
      <c r="AW32" s="90" t="b">
        <v>1</v>
      </c>
      <c r="AX32" s="90" t="s">
        <v>827</v>
      </c>
      <c r="AY32" s="96" t="str">
        <f>HYPERLINK("https://twitter.com/suomenpankki")</f>
        <v>https://twitter.com/suomenpankki</v>
      </c>
      <c r="AZ32" s="90" t="s">
        <v>66</v>
      </c>
      <c r="BA32" s="89" t="str">
        <f>REPLACE(INDEX(GroupVertices[Group],MATCH(Vertices[[#This Row],[Vertex]],GroupVertices[Vertex],0)),1,1,"")</f>
        <v>2</v>
      </c>
      <c r="BB32" s="49">
        <v>0</v>
      </c>
      <c r="BC32" s="50">
        <v>0</v>
      </c>
      <c r="BD32" s="49">
        <v>0</v>
      </c>
      <c r="BE32" s="50">
        <v>0</v>
      </c>
      <c r="BF32" s="49">
        <v>0</v>
      </c>
      <c r="BG32" s="50">
        <v>0</v>
      </c>
      <c r="BH32" s="49">
        <v>28</v>
      </c>
      <c r="BI32" s="50">
        <v>100</v>
      </c>
      <c r="BJ32" s="49">
        <v>28</v>
      </c>
      <c r="BK32" s="49" t="s">
        <v>330</v>
      </c>
      <c r="BL32" s="49" t="s">
        <v>330</v>
      </c>
      <c r="BM32" s="49" t="s">
        <v>335</v>
      </c>
      <c r="BN32" s="49" t="s">
        <v>335</v>
      </c>
      <c r="BO32" s="49" t="s">
        <v>338</v>
      </c>
      <c r="BP32" s="49" t="s">
        <v>338</v>
      </c>
      <c r="BQ32" s="116" t="s">
        <v>2580</v>
      </c>
      <c r="BR32" s="116" t="s">
        <v>2580</v>
      </c>
      <c r="BS32" s="116" t="s">
        <v>2098</v>
      </c>
      <c r="BT32" s="116" t="s">
        <v>2098</v>
      </c>
      <c r="BU32" s="2"/>
      <c r="BV32" s="3"/>
      <c r="BW32" s="3"/>
      <c r="BX32" s="3"/>
      <c r="BY32" s="3"/>
    </row>
    <row r="33" spans="1:77" ht="15">
      <c r="A33" s="66" t="s">
        <v>2135</v>
      </c>
      <c r="B33" s="67"/>
      <c r="C33" s="67" t="s">
        <v>64</v>
      </c>
      <c r="D33" s="68">
        <v>689.9526945636663</v>
      </c>
      <c r="E33" s="117"/>
      <c r="F33" s="105" t="str">
        <f>HYPERLINK("https://pbs.twimg.com/profile_images/1331523991580839936/4h0n8YKe_normal.jpg")</f>
        <v>https://pbs.twimg.com/profile_images/1331523991580839936/4h0n8YKe_normal.jpg</v>
      </c>
      <c r="G33" s="118"/>
      <c r="H33" s="71" t="s">
        <v>2135</v>
      </c>
      <c r="I33" s="72" t="s">
        <v>2637</v>
      </c>
      <c r="J33" s="119" t="s">
        <v>73</v>
      </c>
      <c r="K33" s="71" t="s">
        <v>2333</v>
      </c>
      <c r="L33" s="120">
        <v>898.2564102564103</v>
      </c>
      <c r="M33" s="76">
        <v>6547.96875</v>
      </c>
      <c r="N33" s="76">
        <v>7738.42822265625</v>
      </c>
      <c r="O33" s="77"/>
      <c r="P33" s="78"/>
      <c r="Q33" s="78"/>
      <c r="R33" s="121"/>
      <c r="S33" s="49">
        <v>7</v>
      </c>
      <c r="T33" s="49">
        <v>4</v>
      </c>
      <c r="U33" s="50">
        <v>9.117164</v>
      </c>
      <c r="V33" s="50">
        <v>0.005618</v>
      </c>
      <c r="W33" s="50">
        <v>0.013362</v>
      </c>
      <c r="X33" s="50">
        <v>1.337863</v>
      </c>
      <c r="Y33" s="50">
        <v>0.32222222222222224</v>
      </c>
      <c r="Z33" s="50">
        <v>0.1</v>
      </c>
      <c r="AA33" s="73">
        <v>33</v>
      </c>
      <c r="AB33" s="73"/>
      <c r="AC33" s="74"/>
      <c r="AD33" s="90" t="s">
        <v>2254</v>
      </c>
      <c r="AE33" s="99" t="s">
        <v>2278</v>
      </c>
      <c r="AF33" s="90">
        <v>1726</v>
      </c>
      <c r="AG33" s="90">
        <v>6024</v>
      </c>
      <c r="AH33" s="90">
        <v>15951</v>
      </c>
      <c r="AI33" s="90">
        <v>26280</v>
      </c>
      <c r="AJ33" s="90"/>
      <c r="AK33" s="90" t="s">
        <v>2302</v>
      </c>
      <c r="AL33" s="90" t="s">
        <v>811</v>
      </c>
      <c r="AM33" s="90"/>
      <c r="AN33" s="90"/>
      <c r="AO33" s="93">
        <v>40410.51148148148</v>
      </c>
      <c r="AP33" s="96" t="str">
        <f>HYPERLINK("https://pbs.twimg.com/profile_banners/180761794/1579507952")</f>
        <v>https://pbs.twimg.com/profile_banners/180761794/1579507952</v>
      </c>
      <c r="AQ33" s="90" t="b">
        <v>1</v>
      </c>
      <c r="AR33" s="90" t="b">
        <v>0</v>
      </c>
      <c r="AS33" s="90" t="b">
        <v>0</v>
      </c>
      <c r="AT33" s="90"/>
      <c r="AU33" s="90">
        <v>50</v>
      </c>
      <c r="AV33" s="96" t="str">
        <f>HYPERLINK("https://abs.twimg.com/images/themes/theme1/bg.png")</f>
        <v>https://abs.twimg.com/images/themes/theme1/bg.png</v>
      </c>
      <c r="AW33" s="90" t="b">
        <v>0</v>
      </c>
      <c r="AX33" s="90" t="s">
        <v>827</v>
      </c>
      <c r="AY33" s="96" t="str">
        <f>HYPERLINK("https://twitter.com/villekopra")</f>
        <v>https://twitter.com/villekopra</v>
      </c>
      <c r="AZ33" s="90" t="s">
        <v>66</v>
      </c>
      <c r="BA33" s="89" t="str">
        <f>REPLACE(INDEX(GroupVertices[Group],MATCH(Vertices[[#This Row],[Vertex]],GroupVertices[Vertex],0)),1,1,"")</f>
        <v>2</v>
      </c>
      <c r="BB33" s="49">
        <v>0</v>
      </c>
      <c r="BC33" s="50">
        <v>0</v>
      </c>
      <c r="BD33" s="49">
        <v>0</v>
      </c>
      <c r="BE33" s="50">
        <v>0</v>
      </c>
      <c r="BF33" s="49">
        <v>0</v>
      </c>
      <c r="BG33" s="50">
        <v>0</v>
      </c>
      <c r="BH33" s="49">
        <v>22</v>
      </c>
      <c r="BI33" s="50">
        <v>100</v>
      </c>
      <c r="BJ33" s="49">
        <v>22</v>
      </c>
      <c r="BK33" s="49" t="s">
        <v>2483</v>
      </c>
      <c r="BL33" s="49" t="s">
        <v>2483</v>
      </c>
      <c r="BM33" s="49" t="s">
        <v>334</v>
      </c>
      <c r="BN33" s="49" t="s">
        <v>334</v>
      </c>
      <c r="BO33" s="49"/>
      <c r="BP33" s="49"/>
      <c r="BQ33" s="116" t="s">
        <v>2581</v>
      </c>
      <c r="BR33" s="116" t="s">
        <v>2581</v>
      </c>
      <c r="BS33" s="116" t="s">
        <v>2620</v>
      </c>
      <c r="BT33" s="116" t="s">
        <v>2620</v>
      </c>
      <c r="BU33" s="2"/>
      <c r="BV33" s="3"/>
      <c r="BW33" s="3"/>
      <c r="BX33" s="3"/>
      <c r="BY33" s="3"/>
    </row>
    <row r="34" spans="1:77" ht="15">
      <c r="A34" s="66" t="s">
        <v>2115</v>
      </c>
      <c r="B34" s="67"/>
      <c r="C34" s="67" t="s">
        <v>46</v>
      </c>
      <c r="D34" s="68"/>
      <c r="E34" s="117"/>
      <c r="F34" s="105" t="str">
        <f>HYPERLINK("https://pbs.twimg.com/profile_images/919146081941884928/Woth6WEO_normal.jpg")</f>
        <v>https://pbs.twimg.com/profile_images/919146081941884928/Woth6WEO_normal.jpg</v>
      </c>
      <c r="G34" s="118"/>
      <c r="H34" s="71" t="s">
        <v>2115</v>
      </c>
      <c r="I34" s="72" t="s">
        <v>2637</v>
      </c>
      <c r="J34" s="119" t="s">
        <v>73</v>
      </c>
      <c r="K34" s="71" t="s">
        <v>2334</v>
      </c>
      <c r="L34" s="120">
        <v>1</v>
      </c>
      <c r="M34" s="76">
        <v>6189.12890625</v>
      </c>
      <c r="N34" s="76">
        <v>6210.1123046875</v>
      </c>
      <c r="O34" s="77"/>
      <c r="P34" s="78"/>
      <c r="Q34" s="78"/>
      <c r="R34" s="121"/>
      <c r="S34" s="49">
        <v>0</v>
      </c>
      <c r="T34" s="49">
        <v>5</v>
      </c>
      <c r="U34" s="50">
        <v>0.133333</v>
      </c>
      <c r="V34" s="50">
        <v>0.005236</v>
      </c>
      <c r="W34" s="50">
        <v>0.00774</v>
      </c>
      <c r="X34" s="50">
        <v>0.711029</v>
      </c>
      <c r="Y34" s="50">
        <v>0.65</v>
      </c>
      <c r="Z34" s="50">
        <v>0</v>
      </c>
      <c r="AA34" s="73">
        <v>34</v>
      </c>
      <c r="AB34" s="73"/>
      <c r="AC34" s="74"/>
      <c r="AD34" s="90" t="s">
        <v>2255</v>
      </c>
      <c r="AE34" s="99" t="s">
        <v>2279</v>
      </c>
      <c r="AF34" s="90">
        <v>5001</v>
      </c>
      <c r="AG34" s="90">
        <v>3802</v>
      </c>
      <c r="AH34" s="90">
        <v>192536</v>
      </c>
      <c r="AI34" s="90">
        <v>334596</v>
      </c>
      <c r="AJ34" s="90"/>
      <c r="AK34" s="90" t="s">
        <v>2303</v>
      </c>
      <c r="AL34" s="90" t="s">
        <v>807</v>
      </c>
      <c r="AM34" s="90"/>
      <c r="AN34" s="90"/>
      <c r="AO34" s="93">
        <v>39163.744050925925</v>
      </c>
      <c r="AP34" s="96" t="str">
        <f>HYPERLINK("https://pbs.twimg.com/profile_banners/1914301/1371243972")</f>
        <v>https://pbs.twimg.com/profile_banners/1914301/1371243972</v>
      </c>
      <c r="AQ34" s="90" t="b">
        <v>0</v>
      </c>
      <c r="AR34" s="90" t="b">
        <v>0</v>
      </c>
      <c r="AS34" s="90" t="b">
        <v>0</v>
      </c>
      <c r="AT34" s="90"/>
      <c r="AU34" s="90">
        <v>59</v>
      </c>
      <c r="AV34" s="96" t="str">
        <f>HYPERLINK("https://abs.twimg.com/images/themes/theme1/bg.png")</f>
        <v>https://abs.twimg.com/images/themes/theme1/bg.png</v>
      </c>
      <c r="AW34" s="90" t="b">
        <v>0</v>
      </c>
      <c r="AX34" s="90" t="s">
        <v>827</v>
      </c>
      <c r="AY34" s="96" t="str">
        <f>HYPERLINK("https://twitter.com/juuhaa")</f>
        <v>https://twitter.com/juuhaa</v>
      </c>
      <c r="AZ34" s="90" t="s">
        <v>66</v>
      </c>
      <c r="BA34" s="89" t="str">
        <f>REPLACE(INDEX(GroupVertices[Group],MATCH(Vertices[[#This Row],[Vertex]],GroupVertices[Vertex],0)),1,1,"")</f>
        <v>2</v>
      </c>
      <c r="BB34" s="49">
        <v>0</v>
      </c>
      <c r="BC34" s="50">
        <v>0</v>
      </c>
      <c r="BD34" s="49">
        <v>0</v>
      </c>
      <c r="BE34" s="50">
        <v>0</v>
      </c>
      <c r="BF34" s="49">
        <v>0</v>
      </c>
      <c r="BG34" s="50">
        <v>0</v>
      </c>
      <c r="BH34" s="49">
        <v>32</v>
      </c>
      <c r="BI34" s="50">
        <v>100</v>
      </c>
      <c r="BJ34" s="49">
        <v>32</v>
      </c>
      <c r="BK34" s="49" t="s">
        <v>2482</v>
      </c>
      <c r="BL34" s="49" t="s">
        <v>2482</v>
      </c>
      <c r="BM34" s="49" t="s">
        <v>334</v>
      </c>
      <c r="BN34" s="49" t="s">
        <v>334</v>
      </c>
      <c r="BO34" s="49"/>
      <c r="BP34" s="49"/>
      <c r="BQ34" s="116" t="s">
        <v>2582</v>
      </c>
      <c r="BR34" s="116" t="s">
        <v>2582</v>
      </c>
      <c r="BS34" s="116" t="s">
        <v>2621</v>
      </c>
      <c r="BT34" s="116" t="s">
        <v>2621</v>
      </c>
      <c r="BU34" s="2"/>
      <c r="BV34" s="3"/>
      <c r="BW34" s="3"/>
      <c r="BX34" s="3"/>
      <c r="BY34" s="3"/>
    </row>
    <row r="35" spans="1:77" ht="15">
      <c r="A35" s="66" t="s">
        <v>252</v>
      </c>
      <c r="B35" s="67"/>
      <c r="C35" s="67" t="s">
        <v>64</v>
      </c>
      <c r="D35" s="68">
        <v>777.7686313762104</v>
      </c>
      <c r="E35" s="117"/>
      <c r="F35" s="105" t="str">
        <f>HYPERLINK("https://pbs.twimg.com/profile_images/1105810067897626625/5QYf2cwD_normal.png")</f>
        <v>https://pbs.twimg.com/profile_images/1105810067897626625/5QYf2cwD_normal.png</v>
      </c>
      <c r="G35" s="118"/>
      <c r="H35" s="71" t="s">
        <v>252</v>
      </c>
      <c r="I35" s="72" t="s">
        <v>2637</v>
      </c>
      <c r="J35" s="119" t="s">
        <v>73</v>
      </c>
      <c r="K35" s="71" t="s">
        <v>855</v>
      </c>
      <c r="L35" s="120">
        <v>1154.6153846153845</v>
      </c>
      <c r="M35" s="76">
        <v>7153.56103515625</v>
      </c>
      <c r="N35" s="76">
        <v>5980.95703125</v>
      </c>
      <c r="O35" s="77"/>
      <c r="P35" s="78"/>
      <c r="Q35" s="78"/>
      <c r="R35" s="121"/>
      <c r="S35" s="49">
        <v>9</v>
      </c>
      <c r="T35" s="49">
        <v>6</v>
      </c>
      <c r="U35" s="50">
        <v>37.100778</v>
      </c>
      <c r="V35" s="50">
        <v>0.005714</v>
      </c>
      <c r="W35" s="50">
        <v>0.017799</v>
      </c>
      <c r="X35" s="50">
        <v>1.67249</v>
      </c>
      <c r="Y35" s="50">
        <v>0.30128205128205127</v>
      </c>
      <c r="Z35" s="50">
        <v>0.15384615384615385</v>
      </c>
      <c r="AA35" s="73">
        <v>35</v>
      </c>
      <c r="AB35" s="73"/>
      <c r="AC35" s="74"/>
      <c r="AD35" s="90" t="s">
        <v>600</v>
      </c>
      <c r="AE35" s="99" t="s">
        <v>680</v>
      </c>
      <c r="AF35" s="90">
        <v>417</v>
      </c>
      <c r="AG35" s="90">
        <v>2101</v>
      </c>
      <c r="AH35" s="90">
        <v>1009</v>
      </c>
      <c r="AI35" s="90">
        <v>193</v>
      </c>
      <c r="AJ35" s="90"/>
      <c r="AK35" s="90" t="s">
        <v>758</v>
      </c>
      <c r="AL35" s="90" t="s">
        <v>818</v>
      </c>
      <c r="AM35" s="96" t="str">
        <f>HYPERLINK("http://t.co/3gL7SxDjbh")</f>
        <v>http://t.co/3gL7SxDjbh</v>
      </c>
      <c r="AN35" s="90"/>
      <c r="AO35" s="93">
        <v>40855.60706018518</v>
      </c>
      <c r="AP35" s="96" t="str">
        <f>HYPERLINK("https://pbs.twimg.com/profile_banners/407765954/1552481621")</f>
        <v>https://pbs.twimg.com/profile_banners/407765954/1552481621</v>
      </c>
      <c r="AQ35" s="90" t="b">
        <v>0</v>
      </c>
      <c r="AR35" s="90" t="b">
        <v>0</v>
      </c>
      <c r="AS35" s="90" t="b">
        <v>0</v>
      </c>
      <c r="AT35" s="90"/>
      <c r="AU35" s="90">
        <v>30</v>
      </c>
      <c r="AV35" s="96" t="str">
        <f>HYPERLINK("https://abs.twimg.com/images/themes/theme1/bg.png")</f>
        <v>https://abs.twimg.com/images/themes/theme1/bg.png</v>
      </c>
      <c r="AW35" s="90" t="b">
        <v>0</v>
      </c>
      <c r="AX35" s="90" t="s">
        <v>827</v>
      </c>
      <c r="AY35" s="96" t="str">
        <f>HYPERLINK("https://twitter.com/moocfi")</f>
        <v>https://twitter.com/moocfi</v>
      </c>
      <c r="AZ35" s="90" t="s">
        <v>66</v>
      </c>
      <c r="BA35" s="89" t="str">
        <f>REPLACE(INDEX(GroupVertices[Group],MATCH(Vertices[[#This Row],[Vertex]],GroupVertices[Vertex],0)),1,1,"")</f>
        <v>2</v>
      </c>
      <c r="BB35" s="49">
        <v>0</v>
      </c>
      <c r="BC35" s="50">
        <v>0</v>
      </c>
      <c r="BD35" s="49">
        <v>0</v>
      </c>
      <c r="BE35" s="50">
        <v>0</v>
      </c>
      <c r="BF35" s="49">
        <v>0</v>
      </c>
      <c r="BG35" s="50">
        <v>0</v>
      </c>
      <c r="BH35" s="49">
        <v>60</v>
      </c>
      <c r="BI35" s="50">
        <v>100</v>
      </c>
      <c r="BJ35" s="49">
        <v>60</v>
      </c>
      <c r="BK35" s="49" t="s">
        <v>2559</v>
      </c>
      <c r="BL35" s="49" t="s">
        <v>2559</v>
      </c>
      <c r="BM35" s="49" t="s">
        <v>334</v>
      </c>
      <c r="BN35" s="49" t="s">
        <v>334</v>
      </c>
      <c r="BO35" s="49" t="s">
        <v>338</v>
      </c>
      <c r="BP35" s="49" t="s">
        <v>338</v>
      </c>
      <c r="BQ35" s="116" t="s">
        <v>2583</v>
      </c>
      <c r="BR35" s="116" t="s">
        <v>2610</v>
      </c>
      <c r="BS35" s="116" t="s">
        <v>2621</v>
      </c>
      <c r="BT35" s="116" t="s">
        <v>2621</v>
      </c>
      <c r="BU35" s="2"/>
      <c r="BV35" s="3"/>
      <c r="BW35" s="3"/>
      <c r="BX35" s="3"/>
      <c r="BY35" s="3"/>
    </row>
    <row r="36" spans="1:77" ht="15">
      <c r="A36" s="66" t="s">
        <v>250</v>
      </c>
      <c r="B36" s="67"/>
      <c r="C36" s="67" t="s">
        <v>64</v>
      </c>
      <c r="D36" s="68">
        <v>777.7686313762104</v>
      </c>
      <c r="E36" s="117"/>
      <c r="F36" s="105" t="str">
        <f>HYPERLINK("https://pbs.twimg.com/profile_images/1335138464996728833/lgDJx9qK_normal.jpg")</f>
        <v>https://pbs.twimg.com/profile_images/1335138464996728833/lgDJx9qK_normal.jpg</v>
      </c>
      <c r="G36" s="118"/>
      <c r="H36" s="71" t="s">
        <v>250</v>
      </c>
      <c r="I36" s="72" t="s">
        <v>2637</v>
      </c>
      <c r="J36" s="119" t="s">
        <v>73</v>
      </c>
      <c r="K36" s="71" t="s">
        <v>853</v>
      </c>
      <c r="L36" s="120">
        <v>1154.6153846153845</v>
      </c>
      <c r="M36" s="76">
        <v>6934.8818359375</v>
      </c>
      <c r="N36" s="76">
        <v>6207.10107421875</v>
      </c>
      <c r="O36" s="77"/>
      <c r="P36" s="78"/>
      <c r="Q36" s="78"/>
      <c r="R36" s="121"/>
      <c r="S36" s="49">
        <v>9</v>
      </c>
      <c r="T36" s="49">
        <v>6</v>
      </c>
      <c r="U36" s="50">
        <v>37.100778</v>
      </c>
      <c r="V36" s="50">
        <v>0.005714</v>
      </c>
      <c r="W36" s="50">
        <v>0.017799</v>
      </c>
      <c r="X36" s="50">
        <v>1.67249</v>
      </c>
      <c r="Y36" s="50">
        <v>0.30128205128205127</v>
      </c>
      <c r="Z36" s="50">
        <v>0.15384615384615385</v>
      </c>
      <c r="AA36" s="73">
        <v>36</v>
      </c>
      <c r="AB36" s="73"/>
      <c r="AC36" s="74"/>
      <c r="AD36" s="90" t="s">
        <v>598</v>
      </c>
      <c r="AE36" s="99" t="s">
        <v>678</v>
      </c>
      <c r="AF36" s="90">
        <v>2216</v>
      </c>
      <c r="AG36" s="90">
        <v>9041</v>
      </c>
      <c r="AH36" s="90">
        <v>14019</v>
      </c>
      <c r="AI36" s="90">
        <v>72457</v>
      </c>
      <c r="AJ36" s="90"/>
      <c r="AK36" s="90" t="s">
        <v>756</v>
      </c>
      <c r="AL36" s="90" t="s">
        <v>806</v>
      </c>
      <c r="AM36" s="96" t="str">
        <f>HYPERLINK("https://t.co/XEX1oydGgS")</f>
        <v>https://t.co/XEX1oydGgS</v>
      </c>
      <c r="AN36" s="90"/>
      <c r="AO36" s="93">
        <v>42626.288877314815</v>
      </c>
      <c r="AP36" s="96" t="str">
        <f>HYPERLINK("https://pbs.twimg.com/profile_banners/775588820175781888/1607154874")</f>
        <v>https://pbs.twimg.com/profile_banners/775588820175781888/1607154874</v>
      </c>
      <c r="AQ36" s="90" t="b">
        <v>0</v>
      </c>
      <c r="AR36" s="90" t="b">
        <v>0</v>
      </c>
      <c r="AS36" s="90" t="b">
        <v>1</v>
      </c>
      <c r="AT36" s="90"/>
      <c r="AU36" s="90">
        <v>116</v>
      </c>
      <c r="AV36" s="96" t="str">
        <f>HYPERLINK("https://abs.twimg.com/images/themes/theme1/bg.png")</f>
        <v>https://abs.twimg.com/images/themes/theme1/bg.png</v>
      </c>
      <c r="AW36" s="90" t="b">
        <v>0</v>
      </c>
      <c r="AX36" s="90" t="s">
        <v>827</v>
      </c>
      <c r="AY36" s="96" t="str">
        <f>HYPERLINK("https://twitter.com/teemu_roos")</f>
        <v>https://twitter.com/teemu_roos</v>
      </c>
      <c r="AZ36" s="90" t="s">
        <v>66</v>
      </c>
      <c r="BA36" s="89" t="str">
        <f>REPLACE(INDEX(GroupVertices[Group],MATCH(Vertices[[#This Row],[Vertex]],GroupVertices[Vertex],0)),1,1,"")</f>
        <v>2</v>
      </c>
      <c r="BB36" s="49">
        <v>0</v>
      </c>
      <c r="BC36" s="50">
        <v>0</v>
      </c>
      <c r="BD36" s="49">
        <v>0</v>
      </c>
      <c r="BE36" s="50">
        <v>0</v>
      </c>
      <c r="BF36" s="49">
        <v>0</v>
      </c>
      <c r="BG36" s="50">
        <v>0</v>
      </c>
      <c r="BH36" s="49">
        <v>60</v>
      </c>
      <c r="BI36" s="50">
        <v>100</v>
      </c>
      <c r="BJ36" s="49">
        <v>60</v>
      </c>
      <c r="BK36" s="49" t="s">
        <v>2560</v>
      </c>
      <c r="BL36" s="49" t="s">
        <v>2560</v>
      </c>
      <c r="BM36" s="49" t="s">
        <v>334</v>
      </c>
      <c r="BN36" s="49" t="s">
        <v>334</v>
      </c>
      <c r="BO36" s="49" t="s">
        <v>338</v>
      </c>
      <c r="BP36" s="49" t="s">
        <v>338</v>
      </c>
      <c r="BQ36" s="116" t="s">
        <v>2584</v>
      </c>
      <c r="BR36" s="116" t="s">
        <v>2611</v>
      </c>
      <c r="BS36" s="116" t="s">
        <v>2092</v>
      </c>
      <c r="BT36" s="116" t="s">
        <v>2092</v>
      </c>
      <c r="BU36" s="2"/>
      <c r="BV36" s="3"/>
      <c r="BW36" s="3"/>
      <c r="BX36" s="3"/>
      <c r="BY36" s="3"/>
    </row>
    <row r="37" spans="1:77" ht="15">
      <c r="A37" s="66" t="s">
        <v>235</v>
      </c>
      <c r="B37" s="67"/>
      <c r="C37" s="67" t="s">
        <v>46</v>
      </c>
      <c r="D37" s="68"/>
      <c r="E37" s="117"/>
      <c r="F37" s="105" t="str">
        <f>HYPERLINK("https://pbs.twimg.com/profile_images/494797928439881728/E--S-qDW_normal.png")</f>
        <v>https://pbs.twimg.com/profile_images/494797928439881728/E--S-qDW_normal.png</v>
      </c>
      <c r="G37" s="118"/>
      <c r="H37" s="71" t="s">
        <v>235</v>
      </c>
      <c r="I37" s="72" t="s">
        <v>2635</v>
      </c>
      <c r="J37" s="119" t="s">
        <v>73</v>
      </c>
      <c r="K37" s="71" t="s">
        <v>2335</v>
      </c>
      <c r="L37" s="120">
        <v>1</v>
      </c>
      <c r="M37" s="76">
        <v>7057.55712890625</v>
      </c>
      <c r="N37" s="76">
        <v>2203.4814453125</v>
      </c>
      <c r="O37" s="77"/>
      <c r="P37" s="78"/>
      <c r="Q37" s="78"/>
      <c r="R37" s="121"/>
      <c r="S37" s="49">
        <v>0</v>
      </c>
      <c r="T37" s="49">
        <v>4</v>
      </c>
      <c r="U37" s="50">
        <v>4.444444</v>
      </c>
      <c r="V37" s="50">
        <v>0.005405</v>
      </c>
      <c r="W37" s="50">
        <v>0.010285</v>
      </c>
      <c r="X37" s="50">
        <v>0.656242</v>
      </c>
      <c r="Y37" s="50">
        <v>0.4166666666666667</v>
      </c>
      <c r="Z37" s="50">
        <v>0</v>
      </c>
      <c r="AA37" s="73">
        <v>37</v>
      </c>
      <c r="AB37" s="73"/>
      <c r="AC37" s="74"/>
      <c r="AD37" s="90" t="s">
        <v>583</v>
      </c>
      <c r="AE37" s="99" t="s">
        <v>662</v>
      </c>
      <c r="AF37" s="90">
        <v>2068</v>
      </c>
      <c r="AG37" s="90">
        <v>6199</v>
      </c>
      <c r="AH37" s="90">
        <v>7252</v>
      </c>
      <c r="AI37" s="90">
        <v>7528</v>
      </c>
      <c r="AJ37" s="90"/>
      <c r="AK37" s="90" t="s">
        <v>740</v>
      </c>
      <c r="AL37" s="90" t="s">
        <v>806</v>
      </c>
      <c r="AM37" s="96" t="str">
        <f>HYPERLINK("https://t.co/BlctJnW9rv")</f>
        <v>https://t.co/BlctJnW9rv</v>
      </c>
      <c r="AN37" s="90"/>
      <c r="AO37" s="93">
        <v>41620.53717592593</v>
      </c>
      <c r="AP37" s="96" t="str">
        <f>HYPERLINK("https://pbs.twimg.com/profile_banners/2242325766/1631861709")</f>
        <v>https://pbs.twimg.com/profile_banners/2242325766/1631861709</v>
      </c>
      <c r="AQ37" s="90" t="b">
        <v>1</v>
      </c>
      <c r="AR37" s="90" t="b">
        <v>0</v>
      </c>
      <c r="AS37" s="90" t="b">
        <v>1</v>
      </c>
      <c r="AT37" s="90"/>
      <c r="AU37" s="90">
        <v>67</v>
      </c>
      <c r="AV37" s="96" t="str">
        <f>HYPERLINK("https://abs.twimg.com/images/themes/theme1/bg.png")</f>
        <v>https://abs.twimg.com/images/themes/theme1/bg.png</v>
      </c>
      <c r="AW37" s="90" t="b">
        <v>0</v>
      </c>
      <c r="AX37" s="90" t="s">
        <v>827</v>
      </c>
      <c r="AY37" s="96" t="str">
        <f>HYPERLINK("https://twitter.com/vatt_tutkimus")</f>
        <v>https://twitter.com/vatt_tutkimus</v>
      </c>
      <c r="AZ37" s="90" t="s">
        <v>66</v>
      </c>
      <c r="BA37" s="89" t="str">
        <f>REPLACE(INDEX(GroupVertices[Group],MATCH(Vertices[[#This Row],[Vertex]],GroupVertices[Vertex],0)),1,1,"")</f>
        <v>3</v>
      </c>
      <c r="BB37" s="49">
        <v>0</v>
      </c>
      <c r="BC37" s="50">
        <v>0</v>
      </c>
      <c r="BD37" s="49">
        <v>0</v>
      </c>
      <c r="BE37" s="50">
        <v>0</v>
      </c>
      <c r="BF37" s="49">
        <v>0</v>
      </c>
      <c r="BG37" s="50">
        <v>0</v>
      </c>
      <c r="BH37" s="49">
        <v>59</v>
      </c>
      <c r="BI37" s="50">
        <v>100</v>
      </c>
      <c r="BJ37" s="49">
        <v>59</v>
      </c>
      <c r="BK37" s="49" t="s">
        <v>2561</v>
      </c>
      <c r="BL37" s="49" t="s">
        <v>2561</v>
      </c>
      <c r="BM37" s="49" t="s">
        <v>2568</v>
      </c>
      <c r="BN37" s="49" t="s">
        <v>2568</v>
      </c>
      <c r="BO37" s="49" t="s">
        <v>338</v>
      </c>
      <c r="BP37" s="49" t="s">
        <v>338</v>
      </c>
      <c r="BQ37" s="116" t="s">
        <v>2585</v>
      </c>
      <c r="BR37" s="116" t="s">
        <v>2612</v>
      </c>
      <c r="BS37" s="116" t="s">
        <v>2622</v>
      </c>
      <c r="BT37" s="116" t="s">
        <v>2623</v>
      </c>
      <c r="BU37" s="2"/>
      <c r="BV37" s="3"/>
      <c r="BW37" s="3"/>
      <c r="BX37" s="3"/>
      <c r="BY37" s="3"/>
    </row>
    <row r="38" spans="1:77" ht="15">
      <c r="A38" s="66" t="s">
        <v>2133</v>
      </c>
      <c r="B38" s="67"/>
      <c r="C38" s="67" t="s">
        <v>64</v>
      </c>
      <c r="D38" s="68">
        <v>572.3803575019956</v>
      </c>
      <c r="E38" s="117"/>
      <c r="F38" s="105" t="str">
        <f>HYPERLINK("https://pbs.twimg.com/profile_images/1553301676/3a842e8_normal.jpg")</f>
        <v>https://pbs.twimg.com/profile_images/1553301676/3a842e8_normal.jpg</v>
      </c>
      <c r="G38" s="118"/>
      <c r="H38" s="71" t="s">
        <v>2133</v>
      </c>
      <c r="I38" s="72" t="s">
        <v>2635</v>
      </c>
      <c r="J38" s="119" t="s">
        <v>73</v>
      </c>
      <c r="K38" s="71" t="s">
        <v>2336</v>
      </c>
      <c r="L38" s="120">
        <v>641.8974358974359</v>
      </c>
      <c r="M38" s="76">
        <v>7286.53515625</v>
      </c>
      <c r="N38" s="76">
        <v>3221.00439453125</v>
      </c>
      <c r="O38" s="77"/>
      <c r="P38" s="78"/>
      <c r="Q38" s="78"/>
      <c r="R38" s="121"/>
      <c r="S38" s="49">
        <v>5</v>
      </c>
      <c r="T38" s="49">
        <v>1</v>
      </c>
      <c r="U38" s="50">
        <v>2.071429</v>
      </c>
      <c r="V38" s="50">
        <v>0.005236</v>
      </c>
      <c r="W38" s="50">
        <v>0.006459</v>
      </c>
      <c r="X38" s="50">
        <v>0.805938</v>
      </c>
      <c r="Y38" s="50">
        <v>0.25</v>
      </c>
      <c r="Z38" s="50">
        <v>0</v>
      </c>
      <c r="AA38" s="73">
        <v>38</v>
      </c>
      <c r="AB38" s="73"/>
      <c r="AC38" s="74"/>
      <c r="AD38" s="90" t="s">
        <v>2256</v>
      </c>
      <c r="AE38" s="99" t="s">
        <v>2280</v>
      </c>
      <c r="AF38" s="90">
        <v>32</v>
      </c>
      <c r="AG38" s="90">
        <v>339</v>
      </c>
      <c r="AH38" s="90">
        <v>478</v>
      </c>
      <c r="AI38" s="90">
        <v>23</v>
      </c>
      <c r="AJ38" s="90"/>
      <c r="AK38" s="90" t="s">
        <v>2304</v>
      </c>
      <c r="AL38" s="90" t="s">
        <v>807</v>
      </c>
      <c r="AM38" s="96" t="str">
        <f>HYPERLINK("http://t.co/mGA61BOmzo")</f>
        <v>http://t.co/mGA61BOmzo</v>
      </c>
      <c r="AN38" s="90"/>
      <c r="AO38" s="93">
        <v>40807.685011574074</v>
      </c>
      <c r="AP38" s="90"/>
      <c r="AQ38" s="90" t="b">
        <v>1</v>
      </c>
      <c r="AR38" s="90" t="b">
        <v>0</v>
      </c>
      <c r="AS38" s="90" t="b">
        <v>1</v>
      </c>
      <c r="AT38" s="90"/>
      <c r="AU38" s="90">
        <v>7</v>
      </c>
      <c r="AV38" s="96" t="str">
        <f>HYPERLINK("https://abs.twimg.com/images/themes/theme1/bg.png")</f>
        <v>https://abs.twimg.com/images/themes/theme1/bg.png</v>
      </c>
      <c r="AW38" s="90" t="b">
        <v>0</v>
      </c>
      <c r="AX38" s="90" t="s">
        <v>827</v>
      </c>
      <c r="AY38" s="96" t="str">
        <f>HYPERLINK("https://twitter.com/mikaelcollan")</f>
        <v>https://twitter.com/mikaelcollan</v>
      </c>
      <c r="AZ38" s="90" t="s">
        <v>66</v>
      </c>
      <c r="BA38" s="89" t="str">
        <f>REPLACE(INDEX(GroupVertices[Group],MATCH(Vertices[[#This Row],[Vertex]],GroupVertices[Vertex],0)),1,1,"")</f>
        <v>3</v>
      </c>
      <c r="BB38" s="49">
        <v>0</v>
      </c>
      <c r="BC38" s="50">
        <v>0</v>
      </c>
      <c r="BD38" s="49">
        <v>0</v>
      </c>
      <c r="BE38" s="50">
        <v>0</v>
      </c>
      <c r="BF38" s="49">
        <v>0</v>
      </c>
      <c r="BG38" s="50">
        <v>0</v>
      </c>
      <c r="BH38" s="49">
        <v>31</v>
      </c>
      <c r="BI38" s="50">
        <v>100</v>
      </c>
      <c r="BJ38" s="49">
        <v>31</v>
      </c>
      <c r="BK38" s="49" t="s">
        <v>2150</v>
      </c>
      <c r="BL38" s="49" t="s">
        <v>2150</v>
      </c>
      <c r="BM38" s="49" t="s">
        <v>2494</v>
      </c>
      <c r="BN38" s="49" t="s">
        <v>2494</v>
      </c>
      <c r="BO38" s="49"/>
      <c r="BP38" s="49"/>
      <c r="BQ38" s="116" t="s">
        <v>2586</v>
      </c>
      <c r="BR38" s="116" t="s">
        <v>2586</v>
      </c>
      <c r="BS38" s="116" t="s">
        <v>2623</v>
      </c>
      <c r="BT38" s="116" t="s">
        <v>2623</v>
      </c>
      <c r="BU38" s="2"/>
      <c r="BV38" s="3"/>
      <c r="BW38" s="3"/>
      <c r="BX38" s="3"/>
      <c r="BY38" s="3"/>
    </row>
    <row r="39" spans="1:77" ht="15">
      <c r="A39" s="66" t="s">
        <v>251</v>
      </c>
      <c r="B39" s="67"/>
      <c r="C39" s="67" t="s">
        <v>46</v>
      </c>
      <c r="D39" s="68"/>
      <c r="E39" s="117"/>
      <c r="F39" s="105" t="str">
        <f>HYPERLINK("https://pbs.twimg.com/profile_images/1443222747962818563/05fEwaLq_normal.jpg")</f>
        <v>https://pbs.twimg.com/profile_images/1443222747962818563/05fEwaLq_normal.jpg</v>
      </c>
      <c r="G39" s="118"/>
      <c r="H39" s="71" t="s">
        <v>251</v>
      </c>
      <c r="I39" s="72" t="s">
        <v>2109</v>
      </c>
      <c r="J39" s="119" t="s">
        <v>73</v>
      </c>
      <c r="K39" s="71" t="s">
        <v>854</v>
      </c>
      <c r="L39" s="120">
        <v>1</v>
      </c>
      <c r="M39" s="76">
        <v>2323.09619140625</v>
      </c>
      <c r="N39" s="76">
        <v>2719.765869140625</v>
      </c>
      <c r="O39" s="77"/>
      <c r="P39" s="78"/>
      <c r="Q39" s="78"/>
      <c r="R39" s="121"/>
      <c r="S39" s="49">
        <v>0</v>
      </c>
      <c r="T39" s="49">
        <v>3</v>
      </c>
      <c r="U39" s="50">
        <v>0</v>
      </c>
      <c r="V39" s="50">
        <v>0.005376</v>
      </c>
      <c r="W39" s="50">
        <v>0.009884</v>
      </c>
      <c r="X39" s="50">
        <v>0.519233</v>
      </c>
      <c r="Y39" s="50">
        <v>0.6666666666666666</v>
      </c>
      <c r="Z39" s="50">
        <v>0</v>
      </c>
      <c r="AA39" s="73">
        <v>39</v>
      </c>
      <c r="AB39" s="73"/>
      <c r="AC39" s="74"/>
      <c r="AD39" s="90" t="s">
        <v>599</v>
      </c>
      <c r="AE39" s="99" t="s">
        <v>679</v>
      </c>
      <c r="AF39" s="90">
        <v>1486</v>
      </c>
      <c r="AG39" s="90">
        <v>367</v>
      </c>
      <c r="AH39" s="90">
        <v>5531</v>
      </c>
      <c r="AI39" s="90">
        <v>83454</v>
      </c>
      <c r="AJ39" s="90"/>
      <c r="AK39" s="90" t="s">
        <v>757</v>
      </c>
      <c r="AL39" s="90"/>
      <c r="AM39" s="90"/>
      <c r="AN39" s="90"/>
      <c r="AO39" s="93">
        <v>42288.76792824074</v>
      </c>
      <c r="AP39" s="96" t="str">
        <f>HYPERLINK("https://pbs.twimg.com/profile_banners/3929949375/1532806460")</f>
        <v>https://pbs.twimg.com/profile_banners/3929949375/1532806460</v>
      </c>
      <c r="AQ39" s="90" t="b">
        <v>1</v>
      </c>
      <c r="AR39" s="90" t="b">
        <v>0</v>
      </c>
      <c r="AS39" s="90" t="b">
        <v>0</v>
      </c>
      <c r="AT39" s="90"/>
      <c r="AU39" s="90">
        <v>1</v>
      </c>
      <c r="AV39" s="96" t="str">
        <f>HYPERLINK("https://abs.twimg.com/images/themes/theme1/bg.png")</f>
        <v>https://abs.twimg.com/images/themes/theme1/bg.png</v>
      </c>
      <c r="AW39" s="90" t="b">
        <v>0</v>
      </c>
      <c r="AX39" s="90" t="s">
        <v>827</v>
      </c>
      <c r="AY39" s="96" t="str">
        <f>HYPERLINK("https://twitter.com/jtwiitteri")</f>
        <v>https://twitter.com/jtwiitteri</v>
      </c>
      <c r="AZ39" s="90" t="s">
        <v>66</v>
      </c>
      <c r="BA39" s="89" t="str">
        <f>REPLACE(INDEX(GroupVertices[Group],MATCH(Vertices[[#This Row],[Vertex]],GroupVertices[Vertex],0)),1,1,"")</f>
        <v>1</v>
      </c>
      <c r="BB39" s="49">
        <v>0</v>
      </c>
      <c r="BC39" s="50">
        <v>0</v>
      </c>
      <c r="BD39" s="49">
        <v>0</v>
      </c>
      <c r="BE39" s="50">
        <v>0</v>
      </c>
      <c r="BF39" s="49">
        <v>0</v>
      </c>
      <c r="BG39" s="50">
        <v>0</v>
      </c>
      <c r="BH39" s="49">
        <v>28</v>
      </c>
      <c r="BI39" s="50">
        <v>100</v>
      </c>
      <c r="BJ39" s="49">
        <v>28</v>
      </c>
      <c r="BK39" s="49" t="s">
        <v>1981</v>
      </c>
      <c r="BL39" s="49" t="s">
        <v>1981</v>
      </c>
      <c r="BM39" s="49" t="s">
        <v>334</v>
      </c>
      <c r="BN39" s="49" t="s">
        <v>334</v>
      </c>
      <c r="BO39" s="49" t="s">
        <v>338</v>
      </c>
      <c r="BP39" s="49" t="s">
        <v>338</v>
      </c>
      <c r="BQ39" s="116" t="s">
        <v>2079</v>
      </c>
      <c r="BR39" s="116" t="s">
        <v>2079</v>
      </c>
      <c r="BS39" s="116" t="s">
        <v>2092</v>
      </c>
      <c r="BT39" s="116" t="s">
        <v>2092</v>
      </c>
      <c r="BU39" s="2"/>
      <c r="BV39" s="3"/>
      <c r="BW39" s="3"/>
      <c r="BX39" s="3"/>
      <c r="BY39" s="3"/>
    </row>
    <row r="40" spans="1:77" ht="15">
      <c r="A40" s="66" t="s">
        <v>2116</v>
      </c>
      <c r="B40" s="67"/>
      <c r="C40" s="67" t="s">
        <v>46</v>
      </c>
      <c r="D40" s="68"/>
      <c r="E40" s="117"/>
      <c r="F40" s="105" t="str">
        <f>HYPERLINK("https://pbs.twimg.com/profile_images/591215120748974080/i79idHrL_normal.jpg")</f>
        <v>https://pbs.twimg.com/profile_images/591215120748974080/i79idHrL_normal.jpg</v>
      </c>
      <c r="G40" s="118"/>
      <c r="H40" s="71" t="s">
        <v>2116</v>
      </c>
      <c r="I40" s="72" t="s">
        <v>2637</v>
      </c>
      <c r="J40" s="119" t="s">
        <v>73</v>
      </c>
      <c r="K40" s="71" t="s">
        <v>2337</v>
      </c>
      <c r="L40" s="120">
        <v>1</v>
      </c>
      <c r="M40" s="76">
        <v>6963.5</v>
      </c>
      <c r="N40" s="76">
        <v>8989.6865234375</v>
      </c>
      <c r="O40" s="77"/>
      <c r="P40" s="78"/>
      <c r="Q40" s="78"/>
      <c r="R40" s="121"/>
      <c r="S40" s="49">
        <v>0</v>
      </c>
      <c r="T40" s="49">
        <v>5</v>
      </c>
      <c r="U40" s="50">
        <v>2.182243</v>
      </c>
      <c r="V40" s="50">
        <v>0.005435</v>
      </c>
      <c r="W40" s="50">
        <v>0.009539</v>
      </c>
      <c r="X40" s="50">
        <v>0.729109</v>
      </c>
      <c r="Y40" s="50">
        <v>0.5</v>
      </c>
      <c r="Z40" s="50">
        <v>0</v>
      </c>
      <c r="AA40" s="73">
        <v>40</v>
      </c>
      <c r="AB40" s="73"/>
      <c r="AC40" s="74"/>
      <c r="AD40" s="90" t="s">
        <v>2257</v>
      </c>
      <c r="AE40" s="99" t="s">
        <v>2281</v>
      </c>
      <c r="AF40" s="90">
        <v>177</v>
      </c>
      <c r="AG40" s="90">
        <v>267</v>
      </c>
      <c r="AH40" s="90">
        <v>833</v>
      </c>
      <c r="AI40" s="90">
        <v>1353</v>
      </c>
      <c r="AJ40" s="90"/>
      <c r="AK40" s="90" t="s">
        <v>2305</v>
      </c>
      <c r="AL40" s="90"/>
      <c r="AM40" s="90"/>
      <c r="AN40" s="90"/>
      <c r="AO40" s="93">
        <v>40001.51399305555</v>
      </c>
      <c r="AP40" s="90"/>
      <c r="AQ40" s="90" t="b">
        <v>1</v>
      </c>
      <c r="AR40" s="90" t="b">
        <v>0</v>
      </c>
      <c r="AS40" s="90" t="b">
        <v>0</v>
      </c>
      <c r="AT40" s="90"/>
      <c r="AU40" s="90">
        <v>5</v>
      </c>
      <c r="AV40" s="96" t="str">
        <f>HYPERLINK("https://abs.twimg.com/images/themes/theme1/bg.png")</f>
        <v>https://abs.twimg.com/images/themes/theme1/bg.png</v>
      </c>
      <c r="AW40" s="90" t="b">
        <v>0</v>
      </c>
      <c r="AX40" s="90" t="s">
        <v>827</v>
      </c>
      <c r="AY40" s="96" t="str">
        <f>HYPERLINK("https://twitter.com/k21900")</f>
        <v>https://twitter.com/k21900</v>
      </c>
      <c r="AZ40" s="90" t="s">
        <v>66</v>
      </c>
      <c r="BA40" s="89" t="str">
        <f>REPLACE(INDEX(GroupVertices[Group],MATCH(Vertices[[#This Row],[Vertex]],GroupVertices[Vertex],0)),1,1,"")</f>
        <v>2</v>
      </c>
      <c r="BB40" s="49">
        <v>0</v>
      </c>
      <c r="BC40" s="50">
        <v>0</v>
      </c>
      <c r="BD40" s="49">
        <v>0</v>
      </c>
      <c r="BE40" s="50">
        <v>0</v>
      </c>
      <c r="BF40" s="49">
        <v>0</v>
      </c>
      <c r="BG40" s="50">
        <v>0</v>
      </c>
      <c r="BH40" s="49">
        <v>22</v>
      </c>
      <c r="BI40" s="50">
        <v>100</v>
      </c>
      <c r="BJ40" s="49">
        <v>22</v>
      </c>
      <c r="BK40" s="49" t="s">
        <v>2483</v>
      </c>
      <c r="BL40" s="49" t="s">
        <v>2483</v>
      </c>
      <c r="BM40" s="49" t="s">
        <v>334</v>
      </c>
      <c r="BN40" s="49" t="s">
        <v>334</v>
      </c>
      <c r="BO40" s="49"/>
      <c r="BP40" s="49"/>
      <c r="BQ40" s="116" t="s">
        <v>2581</v>
      </c>
      <c r="BR40" s="116" t="s">
        <v>2581</v>
      </c>
      <c r="BS40" s="116" t="s">
        <v>2620</v>
      </c>
      <c r="BT40" s="116" t="s">
        <v>2620</v>
      </c>
      <c r="BU40" s="2"/>
      <c r="BV40" s="3"/>
      <c r="BW40" s="3"/>
      <c r="BX40" s="3"/>
      <c r="BY40" s="3"/>
    </row>
    <row r="41" spans="1:77" ht="15">
      <c r="A41" s="66" t="s">
        <v>253</v>
      </c>
      <c r="B41" s="67"/>
      <c r="C41" s="67" t="s">
        <v>64</v>
      </c>
      <c r="D41" s="68">
        <v>10</v>
      </c>
      <c r="E41" s="117"/>
      <c r="F41" s="105" t="str">
        <f>HYPERLINK("https://pbs.twimg.com/profile_images/736142705936498688/DwY5c9qD_normal.jpg")</f>
        <v>https://pbs.twimg.com/profile_images/736142705936498688/DwY5c9qD_normal.jpg</v>
      </c>
      <c r="G41" s="118"/>
      <c r="H41" s="71" t="s">
        <v>253</v>
      </c>
      <c r="I41" s="72" t="s">
        <v>2636</v>
      </c>
      <c r="J41" s="119" t="s">
        <v>73</v>
      </c>
      <c r="K41" s="71" t="s">
        <v>856</v>
      </c>
      <c r="L41" s="120">
        <v>129.17948717948718</v>
      </c>
      <c r="M41" s="76"/>
      <c r="N41" s="76"/>
      <c r="O41" s="77"/>
      <c r="P41" s="78"/>
      <c r="Q41" s="78"/>
      <c r="R41" s="121"/>
      <c r="S41" s="49">
        <v>1</v>
      </c>
      <c r="T41" s="49">
        <v>1</v>
      </c>
      <c r="U41" s="50">
        <v>0</v>
      </c>
      <c r="V41" s="50">
        <v>0</v>
      </c>
      <c r="W41" s="50">
        <v>0</v>
      </c>
      <c r="X41" s="50">
        <v>0.999995</v>
      </c>
      <c r="Y41" s="50">
        <v>0</v>
      </c>
      <c r="Z41" s="50">
        <v>0</v>
      </c>
      <c r="AA41" s="73">
        <v>41</v>
      </c>
      <c r="AB41" s="73"/>
      <c r="AC41" s="74"/>
      <c r="AD41" s="90" t="s">
        <v>601</v>
      </c>
      <c r="AE41" s="99" t="s">
        <v>681</v>
      </c>
      <c r="AF41" s="90">
        <v>2335</v>
      </c>
      <c r="AG41" s="90">
        <v>5923</v>
      </c>
      <c r="AH41" s="90">
        <v>11507</v>
      </c>
      <c r="AI41" s="90">
        <v>7833</v>
      </c>
      <c r="AJ41" s="90"/>
      <c r="AK41" s="90" t="s">
        <v>759</v>
      </c>
      <c r="AL41" s="90" t="s">
        <v>808</v>
      </c>
      <c r="AM41" s="96" t="str">
        <f>HYPERLINK("https://t.co/vi9zbaS05A")</f>
        <v>https://t.co/vi9zbaS05A</v>
      </c>
      <c r="AN41" s="90"/>
      <c r="AO41" s="93">
        <v>41182.426203703704</v>
      </c>
      <c r="AP41" s="96" t="str">
        <f>HYPERLINK("https://pbs.twimg.com/profile_banners/854462688/1492688509")</f>
        <v>https://pbs.twimg.com/profile_banners/854462688/1492688509</v>
      </c>
      <c r="AQ41" s="90" t="b">
        <v>0</v>
      </c>
      <c r="AR41" s="90" t="b">
        <v>0</v>
      </c>
      <c r="AS41" s="90" t="b">
        <v>1</v>
      </c>
      <c r="AT41" s="90"/>
      <c r="AU41" s="90">
        <v>60</v>
      </c>
      <c r="AV41" s="96" t="str">
        <f>HYPERLINK("https://abs.twimg.com/images/themes/theme1/bg.png")</f>
        <v>https://abs.twimg.com/images/themes/theme1/bg.png</v>
      </c>
      <c r="AW41" s="90" t="b">
        <v>0</v>
      </c>
      <c r="AX41" s="90" t="s">
        <v>827</v>
      </c>
      <c r="AY41" s="96" t="str">
        <f>HYPERLINK("https://twitter.com/tsaarimaa")</f>
        <v>https://twitter.com/tsaarimaa</v>
      </c>
      <c r="AZ41" s="90" t="s">
        <v>66</v>
      </c>
      <c r="BA41" s="89" t="str">
        <f>REPLACE(INDEX(GroupVertices[Group],MATCH(Vertices[[#This Row],[Vertex]],GroupVertices[Vertex],0)),1,1,"")</f>
        <v>4</v>
      </c>
      <c r="BB41" s="49">
        <v>1</v>
      </c>
      <c r="BC41" s="50">
        <v>14.285714285714286</v>
      </c>
      <c r="BD41" s="49">
        <v>0</v>
      </c>
      <c r="BE41" s="50">
        <v>0</v>
      </c>
      <c r="BF41" s="49">
        <v>0</v>
      </c>
      <c r="BG41" s="50">
        <v>0</v>
      </c>
      <c r="BH41" s="49">
        <v>6</v>
      </c>
      <c r="BI41" s="50">
        <v>85.71428571428571</v>
      </c>
      <c r="BJ41" s="49">
        <v>7</v>
      </c>
      <c r="BK41" s="49" t="s">
        <v>1983</v>
      </c>
      <c r="BL41" s="49" t="s">
        <v>1983</v>
      </c>
      <c r="BM41" s="49" t="s">
        <v>333</v>
      </c>
      <c r="BN41" s="49" t="s">
        <v>333</v>
      </c>
      <c r="BO41" s="49" t="s">
        <v>340</v>
      </c>
      <c r="BP41" s="49" t="s">
        <v>340</v>
      </c>
      <c r="BQ41" s="116" t="s">
        <v>2587</v>
      </c>
      <c r="BR41" s="116" t="s">
        <v>2587</v>
      </c>
      <c r="BS41" s="116" t="s">
        <v>2097</v>
      </c>
      <c r="BT41" s="116" t="s">
        <v>2097</v>
      </c>
      <c r="BU41" s="2"/>
      <c r="BV41" s="3"/>
      <c r="BW41" s="3"/>
      <c r="BX41" s="3"/>
      <c r="BY41" s="3"/>
    </row>
    <row r="42" spans="1:77" ht="15">
      <c r="A42" s="66" t="s">
        <v>254</v>
      </c>
      <c r="B42" s="67"/>
      <c r="C42" s="67" t="s">
        <v>46</v>
      </c>
      <c r="D42" s="68"/>
      <c r="E42" s="117"/>
      <c r="F42" s="105" t="str">
        <f>HYPERLINK("https://pbs.twimg.com/profile_images/437968038818619392/ynpbFUsI_normal.jpeg")</f>
        <v>https://pbs.twimg.com/profile_images/437968038818619392/ynpbFUsI_normal.jpeg</v>
      </c>
      <c r="G42" s="118"/>
      <c r="H42" s="71" t="s">
        <v>254</v>
      </c>
      <c r="I42" s="72" t="s">
        <v>2635</v>
      </c>
      <c r="J42" s="119" t="s">
        <v>73</v>
      </c>
      <c r="K42" s="71" t="s">
        <v>857</v>
      </c>
      <c r="L42" s="120">
        <v>1</v>
      </c>
      <c r="M42" s="76">
        <v>8154.8642578125</v>
      </c>
      <c r="N42" s="76">
        <v>2766.31494140625</v>
      </c>
      <c r="O42" s="77"/>
      <c r="P42" s="78"/>
      <c r="Q42" s="78"/>
      <c r="R42" s="121"/>
      <c r="S42" s="49">
        <v>0</v>
      </c>
      <c r="T42" s="49">
        <v>4</v>
      </c>
      <c r="U42" s="50">
        <v>3.563636</v>
      </c>
      <c r="V42" s="50">
        <v>0.005405</v>
      </c>
      <c r="W42" s="50">
        <v>0.010354</v>
      </c>
      <c r="X42" s="50">
        <v>0.650818</v>
      </c>
      <c r="Y42" s="50">
        <v>0.4166666666666667</v>
      </c>
      <c r="Z42" s="50">
        <v>0</v>
      </c>
      <c r="AA42" s="73">
        <v>42</v>
      </c>
      <c r="AB42" s="73"/>
      <c r="AC42" s="74"/>
      <c r="AD42" s="90" t="s">
        <v>602</v>
      </c>
      <c r="AE42" s="99" t="s">
        <v>682</v>
      </c>
      <c r="AF42" s="90">
        <v>61</v>
      </c>
      <c r="AG42" s="90">
        <v>353</v>
      </c>
      <c r="AH42" s="90">
        <v>537</v>
      </c>
      <c r="AI42" s="90">
        <v>1243</v>
      </c>
      <c r="AJ42" s="90"/>
      <c r="AK42" s="90" t="s">
        <v>760</v>
      </c>
      <c r="AL42" s="90"/>
      <c r="AM42" s="90"/>
      <c r="AN42" s="90"/>
      <c r="AO42" s="93">
        <v>41002.28196759259</v>
      </c>
      <c r="AP42" s="96" t="str">
        <f>HYPERLINK("https://pbs.twimg.com/profile_banners/544039969/1394518363")</f>
        <v>https://pbs.twimg.com/profile_banners/544039969/1394518363</v>
      </c>
      <c r="AQ42" s="90" t="b">
        <v>1</v>
      </c>
      <c r="AR42" s="90" t="b">
        <v>0</v>
      </c>
      <c r="AS42" s="90" t="b">
        <v>0</v>
      </c>
      <c r="AT42" s="90"/>
      <c r="AU42" s="90">
        <v>6</v>
      </c>
      <c r="AV42" s="96" t="str">
        <f>HYPERLINK("https://abs.twimg.com/images/themes/theme1/bg.png")</f>
        <v>https://abs.twimg.com/images/themes/theme1/bg.png</v>
      </c>
      <c r="AW42" s="90" t="b">
        <v>0</v>
      </c>
      <c r="AX42" s="90" t="s">
        <v>827</v>
      </c>
      <c r="AY42" s="96" t="str">
        <f>HYPERLINK("https://twitter.com/mlhalko")</f>
        <v>https://twitter.com/mlhalko</v>
      </c>
      <c r="AZ42" s="90" t="s">
        <v>66</v>
      </c>
      <c r="BA42" s="89" t="str">
        <f>REPLACE(INDEX(GroupVertices[Group],MATCH(Vertices[[#This Row],[Vertex]],GroupVertices[Vertex],0)),1,1,"")</f>
        <v>3</v>
      </c>
      <c r="BB42" s="49">
        <v>0</v>
      </c>
      <c r="BC42" s="50">
        <v>0</v>
      </c>
      <c r="BD42" s="49">
        <v>0</v>
      </c>
      <c r="BE42" s="50">
        <v>0</v>
      </c>
      <c r="BF42" s="49">
        <v>0</v>
      </c>
      <c r="BG42" s="50">
        <v>0</v>
      </c>
      <c r="BH42" s="49">
        <v>45</v>
      </c>
      <c r="BI42" s="50">
        <v>100</v>
      </c>
      <c r="BJ42" s="49">
        <v>45</v>
      </c>
      <c r="BK42" s="49" t="s">
        <v>1981</v>
      </c>
      <c r="BL42" s="49" t="s">
        <v>1981</v>
      </c>
      <c r="BM42" s="49" t="s">
        <v>334</v>
      </c>
      <c r="BN42" s="49" t="s">
        <v>334</v>
      </c>
      <c r="BO42" s="49" t="s">
        <v>338</v>
      </c>
      <c r="BP42" s="49" t="s">
        <v>338</v>
      </c>
      <c r="BQ42" s="116" t="s">
        <v>2588</v>
      </c>
      <c r="BR42" s="116" t="s">
        <v>2084</v>
      </c>
      <c r="BS42" s="116" t="s">
        <v>2096</v>
      </c>
      <c r="BT42" s="116" t="s">
        <v>2096</v>
      </c>
      <c r="BU42" s="2"/>
      <c r="BV42" s="3"/>
      <c r="BW42" s="3"/>
      <c r="BX42" s="3"/>
      <c r="BY42" s="3"/>
    </row>
    <row r="43" spans="1:77" ht="15">
      <c r="A43" s="66" t="s">
        <v>2117</v>
      </c>
      <c r="B43" s="67"/>
      <c r="C43" s="67" t="s">
        <v>46</v>
      </c>
      <c r="D43" s="68"/>
      <c r="E43" s="117"/>
      <c r="F43" s="105" t="str">
        <f>HYPERLINK("https://pbs.twimg.com/profile_images/1298647376991723520/Z2fv2M4x_normal.png")</f>
        <v>https://pbs.twimg.com/profile_images/1298647376991723520/Z2fv2M4x_normal.png</v>
      </c>
      <c r="G43" s="118"/>
      <c r="H43" s="71" t="s">
        <v>2117</v>
      </c>
      <c r="I43" s="72" t="s">
        <v>2109</v>
      </c>
      <c r="J43" s="119" t="s">
        <v>73</v>
      </c>
      <c r="K43" s="71" t="s">
        <v>2338</v>
      </c>
      <c r="L43" s="120">
        <v>1</v>
      </c>
      <c r="M43" s="76">
        <v>3279.961669921875</v>
      </c>
      <c r="N43" s="76">
        <v>1351.954345703125</v>
      </c>
      <c r="O43" s="77"/>
      <c r="P43" s="78"/>
      <c r="Q43" s="78"/>
      <c r="R43" s="121"/>
      <c r="S43" s="49">
        <v>0</v>
      </c>
      <c r="T43" s="49">
        <v>4</v>
      </c>
      <c r="U43" s="50">
        <v>0</v>
      </c>
      <c r="V43" s="50">
        <v>0.005405</v>
      </c>
      <c r="W43" s="50">
        <v>0.010726</v>
      </c>
      <c r="X43" s="50">
        <v>0.64461</v>
      </c>
      <c r="Y43" s="50">
        <v>0.6666666666666666</v>
      </c>
      <c r="Z43" s="50">
        <v>0</v>
      </c>
      <c r="AA43" s="73">
        <v>43</v>
      </c>
      <c r="AB43" s="73"/>
      <c r="AC43" s="74"/>
      <c r="AD43" s="90" t="s">
        <v>2258</v>
      </c>
      <c r="AE43" s="99" t="s">
        <v>2282</v>
      </c>
      <c r="AF43" s="90">
        <v>2807</v>
      </c>
      <c r="AG43" s="90">
        <v>2574</v>
      </c>
      <c r="AH43" s="90">
        <v>4257</v>
      </c>
      <c r="AI43" s="90">
        <v>17123</v>
      </c>
      <c r="AJ43" s="90"/>
      <c r="AK43" s="90" t="s">
        <v>2306</v>
      </c>
      <c r="AL43" s="90"/>
      <c r="AM43" s="90"/>
      <c r="AN43" s="90"/>
      <c r="AO43" s="93">
        <v>41375.803761574076</v>
      </c>
      <c r="AP43" s="96" t="str">
        <f>HYPERLINK("https://pbs.twimg.com/profile_banners/1345092698/1490374409")</f>
        <v>https://pbs.twimg.com/profile_banners/1345092698/1490374409</v>
      </c>
      <c r="AQ43" s="90" t="b">
        <v>1</v>
      </c>
      <c r="AR43" s="90" t="b">
        <v>0</v>
      </c>
      <c r="AS43" s="90" t="b">
        <v>1</v>
      </c>
      <c r="AT43" s="90"/>
      <c r="AU43" s="90">
        <v>0</v>
      </c>
      <c r="AV43" s="96" t="str">
        <f>HYPERLINK("https://abs.twimg.com/images/themes/theme1/bg.png")</f>
        <v>https://abs.twimg.com/images/themes/theme1/bg.png</v>
      </c>
      <c r="AW43" s="90" t="b">
        <v>0</v>
      </c>
      <c r="AX43" s="90" t="s">
        <v>827</v>
      </c>
      <c r="AY43" s="96" t="str">
        <f>HYPERLINK("https://twitter.com/niinistos")</f>
        <v>https://twitter.com/niinistos</v>
      </c>
      <c r="AZ43" s="90" t="s">
        <v>66</v>
      </c>
      <c r="BA43" s="89" t="str">
        <f>REPLACE(INDEX(GroupVertices[Group],MATCH(Vertices[[#This Row],[Vertex]],GroupVertices[Vertex],0)),1,1,"")</f>
        <v>1</v>
      </c>
      <c r="BB43" s="49">
        <v>0</v>
      </c>
      <c r="BC43" s="50">
        <v>0</v>
      </c>
      <c r="BD43" s="49">
        <v>0</v>
      </c>
      <c r="BE43" s="50">
        <v>0</v>
      </c>
      <c r="BF43" s="49">
        <v>0</v>
      </c>
      <c r="BG43" s="50">
        <v>0</v>
      </c>
      <c r="BH43" s="49">
        <v>12</v>
      </c>
      <c r="BI43" s="50">
        <v>100</v>
      </c>
      <c r="BJ43" s="49">
        <v>12</v>
      </c>
      <c r="BK43" s="49" t="s">
        <v>1982</v>
      </c>
      <c r="BL43" s="49" t="s">
        <v>1982</v>
      </c>
      <c r="BM43" s="49" t="s">
        <v>333</v>
      </c>
      <c r="BN43" s="49" t="s">
        <v>333</v>
      </c>
      <c r="BO43" s="49"/>
      <c r="BP43" s="49"/>
      <c r="BQ43" s="116" t="s">
        <v>2589</v>
      </c>
      <c r="BR43" s="116" t="s">
        <v>2589</v>
      </c>
      <c r="BS43" s="116" t="s">
        <v>2624</v>
      </c>
      <c r="BT43" s="116" t="s">
        <v>2624</v>
      </c>
      <c r="BU43" s="2"/>
      <c r="BV43" s="3"/>
      <c r="BW43" s="3"/>
      <c r="BX43" s="3"/>
      <c r="BY43" s="3"/>
    </row>
    <row r="44" spans="1:77" ht="15">
      <c r="A44" s="66" t="s">
        <v>2134</v>
      </c>
      <c r="B44" s="67"/>
      <c r="C44" s="67" t="s">
        <v>64</v>
      </c>
      <c r="D44" s="68">
        <v>636.0883523851489</v>
      </c>
      <c r="E44" s="117"/>
      <c r="F44" s="105" t="str">
        <f>HYPERLINK("https://pbs.twimg.com/profile_images/1423573352086753280/7nuR6Wr3_normal.jpg")</f>
        <v>https://pbs.twimg.com/profile_images/1423573352086753280/7nuR6Wr3_normal.jpg</v>
      </c>
      <c r="G44" s="118"/>
      <c r="H44" s="71" t="s">
        <v>2134</v>
      </c>
      <c r="I44" s="72" t="s">
        <v>2109</v>
      </c>
      <c r="J44" s="119" t="s">
        <v>73</v>
      </c>
      <c r="K44" s="71" t="s">
        <v>2339</v>
      </c>
      <c r="L44" s="120">
        <v>770.0769230769231</v>
      </c>
      <c r="M44" s="76">
        <v>3662.255615234375</v>
      </c>
      <c r="N44" s="76">
        <v>2350.092041015625</v>
      </c>
      <c r="O44" s="77"/>
      <c r="P44" s="78"/>
      <c r="Q44" s="78"/>
      <c r="R44" s="121"/>
      <c r="S44" s="49">
        <v>6</v>
      </c>
      <c r="T44" s="49">
        <v>3</v>
      </c>
      <c r="U44" s="50">
        <v>5</v>
      </c>
      <c r="V44" s="50">
        <v>0.005525</v>
      </c>
      <c r="W44" s="50">
        <v>0.013549</v>
      </c>
      <c r="X44" s="50">
        <v>1.180025</v>
      </c>
      <c r="Y44" s="50">
        <v>0.3392857142857143</v>
      </c>
      <c r="Z44" s="50">
        <v>0.125</v>
      </c>
      <c r="AA44" s="73">
        <v>44</v>
      </c>
      <c r="AB44" s="73"/>
      <c r="AC44" s="74"/>
      <c r="AD44" s="90" t="s">
        <v>2259</v>
      </c>
      <c r="AE44" s="99" t="s">
        <v>2283</v>
      </c>
      <c r="AF44" s="90">
        <v>1151</v>
      </c>
      <c r="AG44" s="90">
        <v>2163</v>
      </c>
      <c r="AH44" s="90">
        <v>10193</v>
      </c>
      <c r="AI44" s="90">
        <v>8829</v>
      </c>
      <c r="AJ44" s="90"/>
      <c r="AK44" s="90" t="s">
        <v>2307</v>
      </c>
      <c r="AL44" s="90" t="s">
        <v>573</v>
      </c>
      <c r="AM44" s="96" t="str">
        <f>HYPERLINK("https://t.co/6Q1BDS9aAe")</f>
        <v>https://t.co/6Q1BDS9aAe</v>
      </c>
      <c r="AN44" s="90"/>
      <c r="AO44" s="93">
        <v>40188.59394675926</v>
      </c>
      <c r="AP44" s="96" t="str">
        <f>HYPERLINK("https://pbs.twimg.com/profile_banners/103578045/1441575851")</f>
        <v>https://pbs.twimg.com/profile_banners/103578045/1441575851</v>
      </c>
      <c r="AQ44" s="90" t="b">
        <v>1</v>
      </c>
      <c r="AR44" s="90" t="b">
        <v>0</v>
      </c>
      <c r="AS44" s="90" t="b">
        <v>1</v>
      </c>
      <c r="AT44" s="90"/>
      <c r="AU44" s="90">
        <v>59</v>
      </c>
      <c r="AV44" s="96" t="str">
        <f>HYPERLINK("https://abs.twimg.com/images/themes/theme1/bg.png")</f>
        <v>https://abs.twimg.com/images/themes/theme1/bg.png</v>
      </c>
      <c r="AW44" s="90" t="b">
        <v>0</v>
      </c>
      <c r="AX44" s="90" t="s">
        <v>827</v>
      </c>
      <c r="AY44" s="96" t="str">
        <f>HYPERLINK("https://twitter.com/esahamal")</f>
        <v>https://twitter.com/esahamal</v>
      </c>
      <c r="AZ44" s="90" t="s">
        <v>66</v>
      </c>
      <c r="BA44" s="89" t="str">
        <f>REPLACE(INDEX(GroupVertices[Group],MATCH(Vertices[[#This Row],[Vertex]],GroupVertices[Vertex],0)),1,1,"")</f>
        <v>1</v>
      </c>
      <c r="BB44" s="49">
        <v>0</v>
      </c>
      <c r="BC44" s="50">
        <v>0</v>
      </c>
      <c r="BD44" s="49">
        <v>0</v>
      </c>
      <c r="BE44" s="50">
        <v>0</v>
      </c>
      <c r="BF44" s="49">
        <v>0</v>
      </c>
      <c r="BG44" s="50">
        <v>0</v>
      </c>
      <c r="BH44" s="49">
        <v>12</v>
      </c>
      <c r="BI44" s="50">
        <v>100</v>
      </c>
      <c r="BJ44" s="49">
        <v>12</v>
      </c>
      <c r="BK44" s="49" t="s">
        <v>1982</v>
      </c>
      <c r="BL44" s="49" t="s">
        <v>1982</v>
      </c>
      <c r="BM44" s="49" t="s">
        <v>333</v>
      </c>
      <c r="BN44" s="49" t="s">
        <v>333</v>
      </c>
      <c r="BO44" s="49"/>
      <c r="BP44" s="49"/>
      <c r="BQ44" s="116" t="s">
        <v>2589</v>
      </c>
      <c r="BR44" s="116" t="s">
        <v>2589</v>
      </c>
      <c r="BS44" s="116" t="s">
        <v>2624</v>
      </c>
      <c r="BT44" s="116" t="s">
        <v>2624</v>
      </c>
      <c r="BU44" s="2"/>
      <c r="BV44" s="3"/>
      <c r="BW44" s="3"/>
      <c r="BX44" s="3"/>
      <c r="BY44" s="3"/>
    </row>
    <row r="45" spans="1:77" ht="15">
      <c r="A45" s="66" t="s">
        <v>255</v>
      </c>
      <c r="B45" s="67"/>
      <c r="C45" s="67" t="s">
        <v>46</v>
      </c>
      <c r="D45" s="68"/>
      <c r="E45" s="117"/>
      <c r="F45" s="105" t="str">
        <f>HYPERLINK("https://pbs.twimg.com/profile_images/433533702304325632/ZvEZszQk_normal.jpeg")</f>
        <v>https://pbs.twimg.com/profile_images/433533702304325632/ZvEZszQk_normal.jpeg</v>
      </c>
      <c r="G45" s="118"/>
      <c r="H45" s="71" t="s">
        <v>255</v>
      </c>
      <c r="I45" s="72" t="s">
        <v>2109</v>
      </c>
      <c r="J45" s="119" t="s">
        <v>73</v>
      </c>
      <c r="K45" s="71" t="s">
        <v>858</v>
      </c>
      <c r="L45" s="120">
        <v>1</v>
      </c>
      <c r="M45" s="76">
        <v>2005.9801025390625</v>
      </c>
      <c r="N45" s="76">
        <v>7792.14990234375</v>
      </c>
      <c r="O45" s="77"/>
      <c r="P45" s="78"/>
      <c r="Q45" s="78"/>
      <c r="R45" s="121"/>
      <c r="S45" s="49">
        <v>0</v>
      </c>
      <c r="T45" s="49">
        <v>3</v>
      </c>
      <c r="U45" s="50">
        <v>0</v>
      </c>
      <c r="V45" s="50">
        <v>0.005376</v>
      </c>
      <c r="W45" s="50">
        <v>0.009884</v>
      </c>
      <c r="X45" s="50">
        <v>0.519233</v>
      </c>
      <c r="Y45" s="50">
        <v>0.6666666666666666</v>
      </c>
      <c r="Z45" s="50">
        <v>0</v>
      </c>
      <c r="AA45" s="73">
        <v>45</v>
      </c>
      <c r="AB45" s="73"/>
      <c r="AC45" s="74"/>
      <c r="AD45" s="90" t="s">
        <v>603</v>
      </c>
      <c r="AE45" s="99" t="s">
        <v>683</v>
      </c>
      <c r="AF45" s="90">
        <v>8747</v>
      </c>
      <c r="AG45" s="90">
        <v>191567</v>
      </c>
      <c r="AH45" s="90">
        <v>65826</v>
      </c>
      <c r="AI45" s="90">
        <v>143136</v>
      </c>
      <c r="AJ45" s="90"/>
      <c r="AK45" s="90" t="s">
        <v>761</v>
      </c>
      <c r="AL45" s="90"/>
      <c r="AM45" s="90"/>
      <c r="AN45" s="90"/>
      <c r="AO45" s="93">
        <v>41276.6109375</v>
      </c>
      <c r="AP45" s="96" t="str">
        <f>HYPERLINK("https://pbs.twimg.com/profile_banners/1055255910/1392198120")</f>
        <v>https://pbs.twimg.com/profile_banners/1055255910/1392198120</v>
      </c>
      <c r="AQ45" s="90" t="b">
        <v>1</v>
      </c>
      <c r="AR45" s="90" t="b">
        <v>0</v>
      </c>
      <c r="AS45" s="90" t="b">
        <v>0</v>
      </c>
      <c r="AT45" s="90"/>
      <c r="AU45" s="90">
        <v>255</v>
      </c>
      <c r="AV45" s="96" t="str">
        <f>HYPERLINK("https://abs.twimg.com/images/themes/theme1/bg.png")</f>
        <v>https://abs.twimg.com/images/themes/theme1/bg.png</v>
      </c>
      <c r="AW45" s="90" t="b">
        <v>0</v>
      </c>
      <c r="AX45" s="90" t="s">
        <v>827</v>
      </c>
      <c r="AY45" s="96" t="str">
        <f>HYPERLINK("https://twitter.com/sarasvuojari")</f>
        <v>https://twitter.com/sarasvuojari</v>
      </c>
      <c r="AZ45" s="90" t="s">
        <v>66</v>
      </c>
      <c r="BA45" s="89" t="str">
        <f>REPLACE(INDEX(GroupVertices[Group],MATCH(Vertices[[#This Row],[Vertex]],GroupVertices[Vertex],0)),1,1,"")</f>
        <v>1</v>
      </c>
      <c r="BB45" s="49">
        <v>0</v>
      </c>
      <c r="BC45" s="50">
        <v>0</v>
      </c>
      <c r="BD45" s="49">
        <v>0</v>
      </c>
      <c r="BE45" s="50">
        <v>0</v>
      </c>
      <c r="BF45" s="49">
        <v>0</v>
      </c>
      <c r="BG45" s="50">
        <v>0</v>
      </c>
      <c r="BH45" s="49">
        <v>28</v>
      </c>
      <c r="BI45" s="50">
        <v>100</v>
      </c>
      <c r="BJ45" s="49">
        <v>28</v>
      </c>
      <c r="BK45" s="49" t="s">
        <v>1981</v>
      </c>
      <c r="BL45" s="49" t="s">
        <v>1981</v>
      </c>
      <c r="BM45" s="49" t="s">
        <v>334</v>
      </c>
      <c r="BN45" s="49" t="s">
        <v>334</v>
      </c>
      <c r="BO45" s="49" t="s">
        <v>338</v>
      </c>
      <c r="BP45" s="49" t="s">
        <v>338</v>
      </c>
      <c r="BQ45" s="116" t="s">
        <v>2079</v>
      </c>
      <c r="BR45" s="116" t="s">
        <v>2079</v>
      </c>
      <c r="BS45" s="116" t="s">
        <v>2092</v>
      </c>
      <c r="BT45" s="116" t="s">
        <v>2092</v>
      </c>
      <c r="BU45" s="2"/>
      <c r="BV45" s="3"/>
      <c r="BW45" s="3"/>
      <c r="BX45" s="3"/>
      <c r="BY45" s="3"/>
    </row>
    <row r="46" spans="1:77" ht="15">
      <c r="A46" s="66" t="s">
        <v>2118</v>
      </c>
      <c r="B46" s="67"/>
      <c r="C46" s="67" t="s">
        <v>46</v>
      </c>
      <c r="D46" s="68"/>
      <c r="E46" s="117"/>
      <c r="F46" s="105" t="str">
        <f>HYPERLINK("https://pbs.twimg.com/profile_images/1394498205409292289/qYnidu2M_normal.jpg")</f>
        <v>https://pbs.twimg.com/profile_images/1394498205409292289/qYnidu2M_normal.jpg</v>
      </c>
      <c r="G46" s="118"/>
      <c r="H46" s="71" t="s">
        <v>2118</v>
      </c>
      <c r="I46" s="72" t="s">
        <v>2109</v>
      </c>
      <c r="J46" s="119" t="s">
        <v>73</v>
      </c>
      <c r="K46" s="71" t="s">
        <v>2340</v>
      </c>
      <c r="L46" s="120">
        <v>1</v>
      </c>
      <c r="M46" s="76">
        <v>4358.732421875</v>
      </c>
      <c r="N46" s="76">
        <v>2887.171630859375</v>
      </c>
      <c r="O46" s="77"/>
      <c r="P46" s="78"/>
      <c r="Q46" s="78"/>
      <c r="R46" s="121"/>
      <c r="S46" s="49">
        <v>0</v>
      </c>
      <c r="T46" s="49">
        <v>4</v>
      </c>
      <c r="U46" s="50">
        <v>0</v>
      </c>
      <c r="V46" s="50">
        <v>0.005405</v>
      </c>
      <c r="W46" s="50">
        <v>0.010726</v>
      </c>
      <c r="X46" s="50">
        <v>0.64461</v>
      </c>
      <c r="Y46" s="50">
        <v>0.6666666666666666</v>
      </c>
      <c r="Z46" s="50">
        <v>0</v>
      </c>
      <c r="AA46" s="73">
        <v>46</v>
      </c>
      <c r="AB46" s="73"/>
      <c r="AC46" s="74"/>
      <c r="AD46" s="90" t="s">
        <v>2260</v>
      </c>
      <c r="AE46" s="99" t="s">
        <v>2284</v>
      </c>
      <c r="AF46" s="90">
        <v>720</v>
      </c>
      <c r="AG46" s="90">
        <v>2203</v>
      </c>
      <c r="AH46" s="90">
        <v>1722</v>
      </c>
      <c r="AI46" s="90">
        <v>5618</v>
      </c>
      <c r="AJ46" s="90"/>
      <c r="AK46" s="90" t="s">
        <v>2308</v>
      </c>
      <c r="AL46" s="90" t="s">
        <v>808</v>
      </c>
      <c r="AM46" s="96" t="str">
        <f>HYPERLINK("https://t.co/nr3shxBzqQ")</f>
        <v>https://t.co/nr3shxBzqQ</v>
      </c>
      <c r="AN46" s="90"/>
      <c r="AO46" s="93">
        <v>42756.691655092596</v>
      </c>
      <c r="AP46" s="96" t="str">
        <f>HYPERLINK("https://pbs.twimg.com/profile_banners/822845206043172868/1622806809")</f>
        <v>https://pbs.twimg.com/profile_banners/822845206043172868/1622806809</v>
      </c>
      <c r="AQ46" s="90" t="b">
        <v>1</v>
      </c>
      <c r="AR46" s="90" t="b">
        <v>0</v>
      </c>
      <c r="AS46" s="90" t="b">
        <v>1</v>
      </c>
      <c r="AT46" s="90"/>
      <c r="AU46" s="90">
        <v>17</v>
      </c>
      <c r="AV46" s="90"/>
      <c r="AW46" s="90" t="b">
        <v>0</v>
      </c>
      <c r="AX46" s="90" t="s">
        <v>827</v>
      </c>
      <c r="AY46" s="96" t="str">
        <f>HYPERLINK("https://twitter.com/sarilindblom")</f>
        <v>https://twitter.com/sarilindblom</v>
      </c>
      <c r="AZ46" s="90" t="s">
        <v>66</v>
      </c>
      <c r="BA46" s="89" t="str">
        <f>REPLACE(INDEX(GroupVertices[Group],MATCH(Vertices[[#This Row],[Vertex]],GroupVertices[Vertex],0)),1,1,"")</f>
        <v>1</v>
      </c>
      <c r="BB46" s="49">
        <v>0</v>
      </c>
      <c r="BC46" s="50">
        <v>0</v>
      </c>
      <c r="BD46" s="49">
        <v>0</v>
      </c>
      <c r="BE46" s="50">
        <v>0</v>
      </c>
      <c r="BF46" s="49">
        <v>0</v>
      </c>
      <c r="BG46" s="50">
        <v>0</v>
      </c>
      <c r="BH46" s="49">
        <v>12</v>
      </c>
      <c r="BI46" s="50">
        <v>100</v>
      </c>
      <c r="BJ46" s="49">
        <v>12</v>
      </c>
      <c r="BK46" s="49" t="s">
        <v>1982</v>
      </c>
      <c r="BL46" s="49" t="s">
        <v>1982</v>
      </c>
      <c r="BM46" s="49" t="s">
        <v>333</v>
      </c>
      <c r="BN46" s="49" t="s">
        <v>333</v>
      </c>
      <c r="BO46" s="49"/>
      <c r="BP46" s="49"/>
      <c r="BQ46" s="116" t="s">
        <v>2589</v>
      </c>
      <c r="BR46" s="116" t="s">
        <v>2589</v>
      </c>
      <c r="BS46" s="116" t="s">
        <v>2624</v>
      </c>
      <c r="BT46" s="116" t="s">
        <v>2624</v>
      </c>
      <c r="BU46" s="2"/>
      <c r="BV46" s="3"/>
      <c r="BW46" s="3"/>
      <c r="BX46" s="3"/>
      <c r="BY46" s="3"/>
    </row>
    <row r="47" spans="1:77" ht="15">
      <c r="A47" s="66" t="s">
        <v>2119</v>
      </c>
      <c r="B47" s="67"/>
      <c r="C47" s="67" t="s">
        <v>46</v>
      </c>
      <c r="D47" s="68"/>
      <c r="E47" s="117"/>
      <c r="F47" s="105" t="str">
        <f>HYPERLINK("https://pbs.twimg.com/profile_images/1164600537326804992/X28xUAh3_normal.jpg")</f>
        <v>https://pbs.twimg.com/profile_images/1164600537326804992/X28xUAh3_normal.jpg</v>
      </c>
      <c r="G47" s="118"/>
      <c r="H47" s="71" t="s">
        <v>2119</v>
      </c>
      <c r="I47" s="72" t="s">
        <v>2637</v>
      </c>
      <c r="J47" s="119" t="s">
        <v>73</v>
      </c>
      <c r="K47" s="71" t="s">
        <v>2341</v>
      </c>
      <c r="L47" s="120">
        <v>1</v>
      </c>
      <c r="M47" s="76">
        <v>7415.36083984375</v>
      </c>
      <c r="N47" s="76">
        <v>4999.5</v>
      </c>
      <c r="O47" s="77"/>
      <c r="P47" s="78"/>
      <c r="Q47" s="78"/>
      <c r="R47" s="121"/>
      <c r="S47" s="49">
        <v>0</v>
      </c>
      <c r="T47" s="49">
        <v>5</v>
      </c>
      <c r="U47" s="50">
        <v>0.133333</v>
      </c>
      <c r="V47" s="50">
        <v>0.005236</v>
      </c>
      <c r="W47" s="50">
        <v>0.00774</v>
      </c>
      <c r="X47" s="50">
        <v>0.711029</v>
      </c>
      <c r="Y47" s="50">
        <v>0.65</v>
      </c>
      <c r="Z47" s="50">
        <v>0</v>
      </c>
      <c r="AA47" s="73">
        <v>47</v>
      </c>
      <c r="AB47" s="73"/>
      <c r="AC47" s="74"/>
      <c r="AD47" s="90" t="s">
        <v>2261</v>
      </c>
      <c r="AE47" s="99" t="s">
        <v>2285</v>
      </c>
      <c r="AF47" s="90">
        <v>1075</v>
      </c>
      <c r="AG47" s="90">
        <v>1121</v>
      </c>
      <c r="AH47" s="90">
        <v>2718</v>
      </c>
      <c r="AI47" s="90">
        <v>3006</v>
      </c>
      <c r="AJ47" s="90"/>
      <c r="AK47" s="90" t="s">
        <v>2309</v>
      </c>
      <c r="AL47" s="90" t="s">
        <v>2326</v>
      </c>
      <c r="AM47" s="96" t="str">
        <f>HYPERLINK("https://t.co/NJL9Daps0M")</f>
        <v>https://t.co/NJL9Daps0M</v>
      </c>
      <c r="AN47" s="90"/>
      <c r="AO47" s="93">
        <v>40094.33872685185</v>
      </c>
      <c r="AP47" s="96" t="str">
        <f>HYPERLINK("https://pbs.twimg.com/profile_banners/80797487/1524076263")</f>
        <v>https://pbs.twimg.com/profile_banners/80797487/1524076263</v>
      </c>
      <c r="AQ47" s="90" t="b">
        <v>0</v>
      </c>
      <c r="AR47" s="90" t="b">
        <v>0</v>
      </c>
      <c r="AS47" s="90" t="b">
        <v>1</v>
      </c>
      <c r="AT47" s="90"/>
      <c r="AU47" s="90">
        <v>108</v>
      </c>
      <c r="AV47" s="96" t="str">
        <f>HYPERLINK("https://abs.twimg.com/images/themes/theme1/bg.png")</f>
        <v>https://abs.twimg.com/images/themes/theme1/bg.png</v>
      </c>
      <c r="AW47" s="90" t="b">
        <v>0</v>
      </c>
      <c r="AX47" s="90" t="s">
        <v>827</v>
      </c>
      <c r="AY47" s="96" t="str">
        <f>HYPERLINK("https://twitter.com/ihantola")</f>
        <v>https://twitter.com/ihantola</v>
      </c>
      <c r="AZ47" s="90" t="s">
        <v>66</v>
      </c>
      <c r="BA47" s="89" t="str">
        <f>REPLACE(INDEX(GroupVertices[Group],MATCH(Vertices[[#This Row],[Vertex]],GroupVertices[Vertex],0)),1,1,"")</f>
        <v>2</v>
      </c>
      <c r="BB47" s="49">
        <v>0</v>
      </c>
      <c r="BC47" s="50">
        <v>0</v>
      </c>
      <c r="BD47" s="49">
        <v>0</v>
      </c>
      <c r="BE47" s="50">
        <v>0</v>
      </c>
      <c r="BF47" s="49">
        <v>0</v>
      </c>
      <c r="BG47" s="50">
        <v>0</v>
      </c>
      <c r="BH47" s="49">
        <v>32</v>
      </c>
      <c r="BI47" s="50">
        <v>100</v>
      </c>
      <c r="BJ47" s="49">
        <v>32</v>
      </c>
      <c r="BK47" s="49" t="s">
        <v>2482</v>
      </c>
      <c r="BL47" s="49" t="s">
        <v>2482</v>
      </c>
      <c r="BM47" s="49" t="s">
        <v>334</v>
      </c>
      <c r="BN47" s="49" t="s">
        <v>334</v>
      </c>
      <c r="BO47" s="49"/>
      <c r="BP47" s="49"/>
      <c r="BQ47" s="116" t="s">
        <v>2582</v>
      </c>
      <c r="BR47" s="116" t="s">
        <v>2582</v>
      </c>
      <c r="BS47" s="116" t="s">
        <v>2621</v>
      </c>
      <c r="BT47" s="116" t="s">
        <v>2621</v>
      </c>
      <c r="BU47" s="2"/>
      <c r="BV47" s="3"/>
      <c r="BW47" s="3"/>
      <c r="BX47" s="3"/>
      <c r="BY47" s="3"/>
    </row>
    <row r="48" spans="1:77" ht="15">
      <c r="A48" s="66" t="s">
        <v>256</v>
      </c>
      <c r="B48" s="67"/>
      <c r="C48" s="67" t="s">
        <v>46</v>
      </c>
      <c r="D48" s="68"/>
      <c r="E48" s="117"/>
      <c r="F48" s="105" t="str">
        <f>HYPERLINK("https://pbs.twimg.com/profile_images/1366405132783607811/7Y6pk2Oh_normal.jpg")</f>
        <v>https://pbs.twimg.com/profile_images/1366405132783607811/7Y6pk2Oh_normal.jpg</v>
      </c>
      <c r="G48" s="118"/>
      <c r="H48" s="71" t="s">
        <v>256</v>
      </c>
      <c r="I48" s="72" t="s">
        <v>2109</v>
      </c>
      <c r="J48" s="119" t="s">
        <v>73</v>
      </c>
      <c r="K48" s="71" t="s">
        <v>859</v>
      </c>
      <c r="L48" s="120">
        <v>1</v>
      </c>
      <c r="M48" s="76">
        <v>5132.380859375</v>
      </c>
      <c r="N48" s="76">
        <v>1616.8839111328125</v>
      </c>
      <c r="O48" s="77"/>
      <c r="P48" s="78"/>
      <c r="Q48" s="78"/>
      <c r="R48" s="121"/>
      <c r="S48" s="49">
        <v>0</v>
      </c>
      <c r="T48" s="49">
        <v>3</v>
      </c>
      <c r="U48" s="50">
        <v>0</v>
      </c>
      <c r="V48" s="50">
        <v>0.005376</v>
      </c>
      <c r="W48" s="50">
        <v>0.009884</v>
      </c>
      <c r="X48" s="50">
        <v>0.519233</v>
      </c>
      <c r="Y48" s="50">
        <v>0.6666666666666666</v>
      </c>
      <c r="Z48" s="50">
        <v>0</v>
      </c>
      <c r="AA48" s="73">
        <v>48</v>
      </c>
      <c r="AB48" s="73"/>
      <c r="AC48" s="74"/>
      <c r="AD48" s="90" t="s">
        <v>604</v>
      </c>
      <c r="AE48" s="99" t="s">
        <v>684</v>
      </c>
      <c r="AF48" s="90">
        <v>2571</v>
      </c>
      <c r="AG48" s="90">
        <v>3168</v>
      </c>
      <c r="AH48" s="90">
        <v>13974</v>
      </c>
      <c r="AI48" s="90">
        <v>38968</v>
      </c>
      <c r="AJ48" s="90"/>
      <c r="AK48" s="90" t="s">
        <v>762</v>
      </c>
      <c r="AL48" s="90"/>
      <c r="AM48" s="96" t="str">
        <f>HYPERLINK("https://t.co/1MyWKqoaK3")</f>
        <v>https://t.co/1MyWKqoaK3</v>
      </c>
      <c r="AN48" s="90"/>
      <c r="AO48" s="93">
        <v>41501.27516203704</v>
      </c>
      <c r="AP48" s="96" t="str">
        <f>HYPERLINK("https://pbs.twimg.com/profile_banners/1672396344/1614611376")</f>
        <v>https://pbs.twimg.com/profile_banners/1672396344/1614611376</v>
      </c>
      <c r="AQ48" s="90" t="b">
        <v>1</v>
      </c>
      <c r="AR48" s="90" t="b">
        <v>0</v>
      </c>
      <c r="AS48" s="90" t="b">
        <v>1</v>
      </c>
      <c r="AT48" s="90"/>
      <c r="AU48" s="90">
        <v>16</v>
      </c>
      <c r="AV48" s="96" t="str">
        <f>HYPERLINK("https://abs.twimg.com/images/themes/theme1/bg.png")</f>
        <v>https://abs.twimg.com/images/themes/theme1/bg.png</v>
      </c>
      <c r="AW48" s="90" t="b">
        <v>0</v>
      </c>
      <c r="AX48" s="90" t="s">
        <v>827</v>
      </c>
      <c r="AY48" s="96" t="str">
        <f>HYPERLINK("https://twitter.com/sakarirokkanen")</f>
        <v>https://twitter.com/sakarirokkanen</v>
      </c>
      <c r="AZ48" s="90" t="s">
        <v>66</v>
      </c>
      <c r="BA48" s="89" t="str">
        <f>REPLACE(INDEX(GroupVertices[Group],MATCH(Vertices[[#This Row],[Vertex]],GroupVertices[Vertex],0)),1,1,"")</f>
        <v>1</v>
      </c>
      <c r="BB48" s="49">
        <v>0</v>
      </c>
      <c r="BC48" s="50">
        <v>0</v>
      </c>
      <c r="BD48" s="49">
        <v>0</v>
      </c>
      <c r="BE48" s="50">
        <v>0</v>
      </c>
      <c r="BF48" s="49">
        <v>0</v>
      </c>
      <c r="BG48" s="50">
        <v>0</v>
      </c>
      <c r="BH48" s="49">
        <v>28</v>
      </c>
      <c r="BI48" s="50">
        <v>100</v>
      </c>
      <c r="BJ48" s="49">
        <v>28</v>
      </c>
      <c r="BK48" s="49" t="s">
        <v>1981</v>
      </c>
      <c r="BL48" s="49" t="s">
        <v>1981</v>
      </c>
      <c r="BM48" s="49" t="s">
        <v>334</v>
      </c>
      <c r="BN48" s="49" t="s">
        <v>334</v>
      </c>
      <c r="BO48" s="49" t="s">
        <v>338</v>
      </c>
      <c r="BP48" s="49" t="s">
        <v>338</v>
      </c>
      <c r="BQ48" s="116" t="s">
        <v>2079</v>
      </c>
      <c r="BR48" s="116" t="s">
        <v>2079</v>
      </c>
      <c r="BS48" s="116" t="s">
        <v>2092</v>
      </c>
      <c r="BT48" s="116" t="s">
        <v>2092</v>
      </c>
      <c r="BU48" s="2"/>
      <c r="BV48" s="3"/>
      <c r="BW48" s="3"/>
      <c r="BX48" s="3"/>
      <c r="BY48" s="3"/>
    </row>
    <row r="49" spans="1:77" ht="15">
      <c r="A49" s="66" t="s">
        <v>257</v>
      </c>
      <c r="B49" s="67"/>
      <c r="C49" s="67" t="s">
        <v>46</v>
      </c>
      <c r="D49" s="68"/>
      <c r="E49" s="117"/>
      <c r="F49" s="105" t="str">
        <f>HYPERLINK("https://pbs.twimg.com/profile_images/975663126325661696/oDZIETFa_normal.jpg")</f>
        <v>https://pbs.twimg.com/profile_images/975663126325661696/oDZIETFa_normal.jpg</v>
      </c>
      <c r="G49" s="118"/>
      <c r="H49" s="71" t="s">
        <v>257</v>
      </c>
      <c r="I49" s="72" t="s">
        <v>2109</v>
      </c>
      <c r="J49" s="119" t="s">
        <v>73</v>
      </c>
      <c r="K49" s="71" t="s">
        <v>860</v>
      </c>
      <c r="L49" s="120">
        <v>1</v>
      </c>
      <c r="M49" s="76">
        <v>2850.03466796875</v>
      </c>
      <c r="N49" s="76">
        <v>7953.45947265625</v>
      </c>
      <c r="O49" s="77"/>
      <c r="P49" s="78"/>
      <c r="Q49" s="78"/>
      <c r="R49" s="121"/>
      <c r="S49" s="49">
        <v>0</v>
      </c>
      <c r="T49" s="49">
        <v>3</v>
      </c>
      <c r="U49" s="50">
        <v>0</v>
      </c>
      <c r="V49" s="50">
        <v>0.005376</v>
      </c>
      <c r="W49" s="50">
        <v>0.009884</v>
      </c>
      <c r="X49" s="50">
        <v>0.519233</v>
      </c>
      <c r="Y49" s="50">
        <v>0.6666666666666666</v>
      </c>
      <c r="Z49" s="50">
        <v>0</v>
      </c>
      <c r="AA49" s="73">
        <v>49</v>
      </c>
      <c r="AB49" s="73"/>
      <c r="AC49" s="74"/>
      <c r="AD49" s="90" t="s">
        <v>605</v>
      </c>
      <c r="AE49" s="99" t="s">
        <v>685</v>
      </c>
      <c r="AF49" s="90">
        <v>627</v>
      </c>
      <c r="AG49" s="90">
        <v>483</v>
      </c>
      <c r="AH49" s="90">
        <v>382</v>
      </c>
      <c r="AI49" s="90">
        <v>2560</v>
      </c>
      <c r="AJ49" s="90"/>
      <c r="AK49" s="90" t="s">
        <v>763</v>
      </c>
      <c r="AL49" s="90"/>
      <c r="AM49" s="90"/>
      <c r="AN49" s="90"/>
      <c r="AO49" s="93">
        <v>41891.64761574074</v>
      </c>
      <c r="AP49" s="96" t="str">
        <f>HYPERLINK("https://pbs.twimg.com/profile_banners/2765635282/1578572317")</f>
        <v>https://pbs.twimg.com/profile_banners/2765635282/1578572317</v>
      </c>
      <c r="AQ49" s="90" t="b">
        <v>1</v>
      </c>
      <c r="AR49" s="90" t="b">
        <v>0</v>
      </c>
      <c r="AS49" s="90" t="b">
        <v>0</v>
      </c>
      <c r="AT49" s="90"/>
      <c r="AU49" s="90">
        <v>2</v>
      </c>
      <c r="AV49" s="96" t="str">
        <f>HYPERLINK("https://abs.twimg.com/images/themes/theme1/bg.png")</f>
        <v>https://abs.twimg.com/images/themes/theme1/bg.png</v>
      </c>
      <c r="AW49" s="90" t="b">
        <v>0</v>
      </c>
      <c r="AX49" s="90" t="s">
        <v>827</v>
      </c>
      <c r="AY49" s="96" t="str">
        <f>HYPERLINK("https://twitter.com/inkanokso")</f>
        <v>https://twitter.com/inkanokso</v>
      </c>
      <c r="AZ49" s="90" t="s">
        <v>66</v>
      </c>
      <c r="BA49" s="89" t="str">
        <f>REPLACE(INDEX(GroupVertices[Group],MATCH(Vertices[[#This Row],[Vertex]],GroupVertices[Vertex],0)),1,1,"")</f>
        <v>1</v>
      </c>
      <c r="BB49" s="49">
        <v>0</v>
      </c>
      <c r="BC49" s="50">
        <v>0</v>
      </c>
      <c r="BD49" s="49">
        <v>0</v>
      </c>
      <c r="BE49" s="50">
        <v>0</v>
      </c>
      <c r="BF49" s="49">
        <v>0</v>
      </c>
      <c r="BG49" s="50">
        <v>0</v>
      </c>
      <c r="BH49" s="49">
        <v>28</v>
      </c>
      <c r="BI49" s="50">
        <v>100</v>
      </c>
      <c r="BJ49" s="49">
        <v>28</v>
      </c>
      <c r="BK49" s="49" t="s">
        <v>1981</v>
      </c>
      <c r="BL49" s="49" t="s">
        <v>1981</v>
      </c>
      <c r="BM49" s="49" t="s">
        <v>334</v>
      </c>
      <c r="BN49" s="49" t="s">
        <v>334</v>
      </c>
      <c r="BO49" s="49" t="s">
        <v>338</v>
      </c>
      <c r="BP49" s="49" t="s">
        <v>338</v>
      </c>
      <c r="BQ49" s="116" t="s">
        <v>2079</v>
      </c>
      <c r="BR49" s="116" t="s">
        <v>2079</v>
      </c>
      <c r="BS49" s="116" t="s">
        <v>2092</v>
      </c>
      <c r="BT49" s="116" t="s">
        <v>2092</v>
      </c>
      <c r="BU49" s="2"/>
      <c r="BV49" s="3"/>
      <c r="BW49" s="3"/>
      <c r="BX49" s="3"/>
      <c r="BY49" s="3"/>
    </row>
    <row r="50" spans="1:77" ht="15">
      <c r="A50" s="66" t="s">
        <v>258</v>
      </c>
      <c r="B50" s="67"/>
      <c r="C50" s="67" t="s">
        <v>46</v>
      </c>
      <c r="D50" s="68"/>
      <c r="E50" s="117"/>
      <c r="F50" s="105" t="str">
        <f>HYPERLINK("https://pbs.twimg.com/profile_images/1064498492649979905/1BGcM9pU_normal.jpg")</f>
        <v>https://pbs.twimg.com/profile_images/1064498492649979905/1BGcM9pU_normal.jpg</v>
      </c>
      <c r="G50" s="118"/>
      <c r="H50" s="71" t="s">
        <v>258</v>
      </c>
      <c r="I50" s="72" t="s">
        <v>2109</v>
      </c>
      <c r="J50" s="119" t="s">
        <v>73</v>
      </c>
      <c r="K50" s="71" t="s">
        <v>861</v>
      </c>
      <c r="L50" s="120">
        <v>1</v>
      </c>
      <c r="M50" s="76">
        <v>1132.810791015625</v>
      </c>
      <c r="N50" s="76">
        <v>5788.58251953125</v>
      </c>
      <c r="O50" s="77"/>
      <c r="P50" s="78"/>
      <c r="Q50" s="78"/>
      <c r="R50" s="121"/>
      <c r="S50" s="49">
        <v>0</v>
      </c>
      <c r="T50" s="49">
        <v>3</v>
      </c>
      <c r="U50" s="50">
        <v>0</v>
      </c>
      <c r="V50" s="50">
        <v>0.005376</v>
      </c>
      <c r="W50" s="50">
        <v>0.009884</v>
      </c>
      <c r="X50" s="50">
        <v>0.519233</v>
      </c>
      <c r="Y50" s="50">
        <v>0.6666666666666666</v>
      </c>
      <c r="Z50" s="50">
        <v>0</v>
      </c>
      <c r="AA50" s="73">
        <v>50</v>
      </c>
      <c r="AB50" s="73"/>
      <c r="AC50" s="74"/>
      <c r="AD50" s="90" t="s">
        <v>606</v>
      </c>
      <c r="AE50" s="99" t="s">
        <v>686</v>
      </c>
      <c r="AF50" s="90">
        <v>1067</v>
      </c>
      <c r="AG50" s="90">
        <v>892</v>
      </c>
      <c r="AH50" s="90">
        <v>1336</v>
      </c>
      <c r="AI50" s="90">
        <v>14502</v>
      </c>
      <c r="AJ50" s="90"/>
      <c r="AK50" s="90" t="s">
        <v>764</v>
      </c>
      <c r="AL50" s="90" t="s">
        <v>815</v>
      </c>
      <c r="AM50" s="90"/>
      <c r="AN50" s="90"/>
      <c r="AO50" s="93">
        <v>41752.46414351852</v>
      </c>
      <c r="AP50" s="96" t="str">
        <f>HYPERLINK("https://pbs.twimg.com/profile_banners/2459578357/1604075470")</f>
        <v>https://pbs.twimg.com/profile_banners/2459578357/1604075470</v>
      </c>
      <c r="AQ50" s="90" t="b">
        <v>1</v>
      </c>
      <c r="AR50" s="90" t="b">
        <v>0</v>
      </c>
      <c r="AS50" s="90" t="b">
        <v>0</v>
      </c>
      <c r="AT50" s="90"/>
      <c r="AU50" s="90">
        <v>4</v>
      </c>
      <c r="AV50" s="96" t="str">
        <f>HYPERLINK("https://abs.twimg.com/images/themes/theme1/bg.png")</f>
        <v>https://abs.twimg.com/images/themes/theme1/bg.png</v>
      </c>
      <c r="AW50" s="90" t="b">
        <v>0</v>
      </c>
      <c r="AX50" s="90" t="s">
        <v>827</v>
      </c>
      <c r="AY50" s="96" t="str">
        <f>HYPERLINK("https://twitter.com/minnamakitalo")</f>
        <v>https://twitter.com/minnamakitalo</v>
      </c>
      <c r="AZ50" s="90" t="s">
        <v>66</v>
      </c>
      <c r="BA50" s="89" t="str">
        <f>REPLACE(INDEX(GroupVertices[Group],MATCH(Vertices[[#This Row],[Vertex]],GroupVertices[Vertex],0)),1,1,"")</f>
        <v>1</v>
      </c>
      <c r="BB50" s="49">
        <v>0</v>
      </c>
      <c r="BC50" s="50">
        <v>0</v>
      </c>
      <c r="BD50" s="49">
        <v>0</v>
      </c>
      <c r="BE50" s="50">
        <v>0</v>
      </c>
      <c r="BF50" s="49">
        <v>0</v>
      </c>
      <c r="BG50" s="50">
        <v>0</v>
      </c>
      <c r="BH50" s="49">
        <v>28</v>
      </c>
      <c r="BI50" s="50">
        <v>100</v>
      </c>
      <c r="BJ50" s="49">
        <v>28</v>
      </c>
      <c r="BK50" s="49" t="s">
        <v>1981</v>
      </c>
      <c r="BL50" s="49" t="s">
        <v>1981</v>
      </c>
      <c r="BM50" s="49" t="s">
        <v>334</v>
      </c>
      <c r="BN50" s="49" t="s">
        <v>334</v>
      </c>
      <c r="BO50" s="49" t="s">
        <v>338</v>
      </c>
      <c r="BP50" s="49" t="s">
        <v>338</v>
      </c>
      <c r="BQ50" s="116" t="s">
        <v>2079</v>
      </c>
      <c r="BR50" s="116" t="s">
        <v>2079</v>
      </c>
      <c r="BS50" s="116" t="s">
        <v>2092</v>
      </c>
      <c r="BT50" s="116" t="s">
        <v>2092</v>
      </c>
      <c r="BU50" s="2"/>
      <c r="BV50" s="3"/>
      <c r="BW50" s="3"/>
      <c r="BX50" s="3"/>
      <c r="BY50" s="3"/>
    </row>
    <row r="51" spans="1:77" ht="15">
      <c r="A51" s="66" t="s">
        <v>259</v>
      </c>
      <c r="B51" s="67"/>
      <c r="C51" s="67" t="s">
        <v>46</v>
      </c>
      <c r="D51" s="68"/>
      <c r="E51" s="117"/>
      <c r="F51" s="105" t="str">
        <f>HYPERLINK("https://pbs.twimg.com/profile_images/880367550923767808/wF36P3n0_normal.jpg")</f>
        <v>https://pbs.twimg.com/profile_images/880367550923767808/wF36P3n0_normal.jpg</v>
      </c>
      <c r="G51" s="118"/>
      <c r="H51" s="71" t="s">
        <v>259</v>
      </c>
      <c r="I51" s="72" t="s">
        <v>2109</v>
      </c>
      <c r="J51" s="119" t="s">
        <v>73</v>
      </c>
      <c r="K51" s="71" t="s">
        <v>862</v>
      </c>
      <c r="L51" s="120">
        <v>1</v>
      </c>
      <c r="M51" s="76">
        <v>1681.94287109375</v>
      </c>
      <c r="N51" s="76">
        <v>6696.63134765625</v>
      </c>
      <c r="O51" s="77"/>
      <c r="P51" s="78"/>
      <c r="Q51" s="78"/>
      <c r="R51" s="121"/>
      <c r="S51" s="49">
        <v>0</v>
      </c>
      <c r="T51" s="49">
        <v>3</v>
      </c>
      <c r="U51" s="50">
        <v>0</v>
      </c>
      <c r="V51" s="50">
        <v>0.005376</v>
      </c>
      <c r="W51" s="50">
        <v>0.009884</v>
      </c>
      <c r="X51" s="50">
        <v>0.519233</v>
      </c>
      <c r="Y51" s="50">
        <v>0.6666666666666666</v>
      </c>
      <c r="Z51" s="50">
        <v>0</v>
      </c>
      <c r="AA51" s="73">
        <v>51</v>
      </c>
      <c r="AB51" s="73"/>
      <c r="AC51" s="74"/>
      <c r="AD51" s="90" t="s">
        <v>607</v>
      </c>
      <c r="AE51" s="99" t="s">
        <v>687</v>
      </c>
      <c r="AF51" s="90">
        <v>265</v>
      </c>
      <c r="AG51" s="90">
        <v>616</v>
      </c>
      <c r="AH51" s="90">
        <v>275</v>
      </c>
      <c r="AI51" s="90">
        <v>927</v>
      </c>
      <c r="AJ51" s="90"/>
      <c r="AK51" s="90" t="s">
        <v>765</v>
      </c>
      <c r="AL51" s="90" t="s">
        <v>808</v>
      </c>
      <c r="AM51" s="96" t="str">
        <f>HYPERLINK("https://t.co/Fkr4Ylc4xi")</f>
        <v>https://t.co/Fkr4Ylc4xi</v>
      </c>
      <c r="AN51" s="90"/>
      <c r="AO51" s="93">
        <v>42915.258043981485</v>
      </c>
      <c r="AP51" s="90"/>
      <c r="AQ51" s="90" t="b">
        <v>0</v>
      </c>
      <c r="AR51" s="90" t="b">
        <v>0</v>
      </c>
      <c r="AS51" s="90" t="b">
        <v>0</v>
      </c>
      <c r="AT51" s="90"/>
      <c r="AU51" s="90">
        <v>11</v>
      </c>
      <c r="AV51" s="96" t="str">
        <f>HYPERLINK("https://abs.twimg.com/images/themes/theme1/bg.png")</f>
        <v>https://abs.twimg.com/images/themes/theme1/bg.png</v>
      </c>
      <c r="AW51" s="90" t="b">
        <v>0</v>
      </c>
      <c r="AX51" s="90" t="s">
        <v>827</v>
      </c>
      <c r="AY51" s="96" t="str">
        <f>HYPERLINK("https://twitter.com/tuomasmatikka")</f>
        <v>https://twitter.com/tuomasmatikka</v>
      </c>
      <c r="AZ51" s="90" t="s">
        <v>66</v>
      </c>
      <c r="BA51" s="89" t="str">
        <f>REPLACE(INDEX(GroupVertices[Group],MATCH(Vertices[[#This Row],[Vertex]],GroupVertices[Vertex],0)),1,1,"")</f>
        <v>1</v>
      </c>
      <c r="BB51" s="49">
        <v>0</v>
      </c>
      <c r="BC51" s="50">
        <v>0</v>
      </c>
      <c r="BD51" s="49">
        <v>0</v>
      </c>
      <c r="BE51" s="50">
        <v>0</v>
      </c>
      <c r="BF51" s="49">
        <v>0</v>
      </c>
      <c r="BG51" s="50">
        <v>0</v>
      </c>
      <c r="BH51" s="49">
        <v>28</v>
      </c>
      <c r="BI51" s="50">
        <v>100</v>
      </c>
      <c r="BJ51" s="49">
        <v>28</v>
      </c>
      <c r="BK51" s="49" t="s">
        <v>1981</v>
      </c>
      <c r="BL51" s="49" t="s">
        <v>1981</v>
      </c>
      <c r="BM51" s="49" t="s">
        <v>334</v>
      </c>
      <c r="BN51" s="49" t="s">
        <v>334</v>
      </c>
      <c r="BO51" s="49" t="s">
        <v>338</v>
      </c>
      <c r="BP51" s="49" t="s">
        <v>338</v>
      </c>
      <c r="BQ51" s="116" t="s">
        <v>2079</v>
      </c>
      <c r="BR51" s="116" t="s">
        <v>2079</v>
      </c>
      <c r="BS51" s="116" t="s">
        <v>2092</v>
      </c>
      <c r="BT51" s="116" t="s">
        <v>2092</v>
      </c>
      <c r="BU51" s="2"/>
      <c r="BV51" s="3"/>
      <c r="BW51" s="3"/>
      <c r="BX51" s="3"/>
      <c r="BY51" s="3"/>
    </row>
    <row r="52" spans="1:77" ht="15">
      <c r="A52" s="66" t="s">
        <v>261</v>
      </c>
      <c r="B52" s="67"/>
      <c r="C52" s="67" t="s">
        <v>46</v>
      </c>
      <c r="D52" s="68"/>
      <c r="E52" s="117"/>
      <c r="F52" s="105" t="str">
        <f>HYPERLINK("https://pbs.twimg.com/profile_images/1331581036577382400/f97dxZh6_normal.jpg")</f>
        <v>https://pbs.twimg.com/profile_images/1331581036577382400/f97dxZh6_normal.jpg</v>
      </c>
      <c r="G52" s="118"/>
      <c r="H52" s="71" t="s">
        <v>261</v>
      </c>
      <c r="I52" s="72" t="s">
        <v>2635</v>
      </c>
      <c r="J52" s="119" t="s">
        <v>73</v>
      </c>
      <c r="K52" s="71" t="s">
        <v>864</v>
      </c>
      <c r="L52" s="120">
        <v>1</v>
      </c>
      <c r="M52" s="76">
        <v>8284.8466796875</v>
      </c>
      <c r="N52" s="76">
        <v>224.1948699951172</v>
      </c>
      <c r="O52" s="77"/>
      <c r="P52" s="78"/>
      <c r="Q52" s="78"/>
      <c r="R52" s="121"/>
      <c r="S52" s="49">
        <v>0</v>
      </c>
      <c r="T52" s="49">
        <v>2</v>
      </c>
      <c r="U52" s="50">
        <v>0</v>
      </c>
      <c r="V52" s="50">
        <v>0.005155</v>
      </c>
      <c r="W52" s="50">
        <v>0.004588</v>
      </c>
      <c r="X52" s="50">
        <v>0.383814</v>
      </c>
      <c r="Y52" s="50">
        <v>1</v>
      </c>
      <c r="Z52" s="50">
        <v>0</v>
      </c>
      <c r="AA52" s="73">
        <v>52</v>
      </c>
      <c r="AB52" s="73"/>
      <c r="AC52" s="74"/>
      <c r="AD52" s="90" t="s">
        <v>609</v>
      </c>
      <c r="AE52" s="99" t="s">
        <v>689</v>
      </c>
      <c r="AF52" s="90">
        <v>1330</v>
      </c>
      <c r="AG52" s="90">
        <v>1265</v>
      </c>
      <c r="AH52" s="90">
        <v>4349</v>
      </c>
      <c r="AI52" s="90">
        <v>7423</v>
      </c>
      <c r="AJ52" s="90"/>
      <c r="AK52" s="90" t="s">
        <v>767</v>
      </c>
      <c r="AL52" s="90" t="s">
        <v>806</v>
      </c>
      <c r="AM52" s="96" t="str">
        <f>HYPERLINK("https://t.co/rAAjIIyNiy")</f>
        <v>https://t.co/rAAjIIyNiy</v>
      </c>
      <c r="AN52" s="90"/>
      <c r="AO52" s="93">
        <v>41820.39761574074</v>
      </c>
      <c r="AP52" s="96" t="str">
        <f>HYPERLINK("https://pbs.twimg.com/profile_banners/2596076112/1425571339")</f>
        <v>https://pbs.twimg.com/profile_banners/2596076112/1425571339</v>
      </c>
      <c r="AQ52" s="90" t="b">
        <v>1</v>
      </c>
      <c r="AR52" s="90" t="b">
        <v>0</v>
      </c>
      <c r="AS52" s="90" t="b">
        <v>1</v>
      </c>
      <c r="AT52" s="90"/>
      <c r="AU52" s="90">
        <v>25</v>
      </c>
      <c r="AV52" s="96" t="str">
        <f>HYPERLINK("https://abs.twimg.com/images/themes/theme1/bg.png")</f>
        <v>https://abs.twimg.com/images/themes/theme1/bg.png</v>
      </c>
      <c r="AW52" s="90" t="b">
        <v>0</v>
      </c>
      <c r="AX52" s="90" t="s">
        <v>827</v>
      </c>
      <c r="AY52" s="96" t="str">
        <f>HYPERLINK("https://twitter.com/jennihellstrom")</f>
        <v>https://twitter.com/jennihellstrom</v>
      </c>
      <c r="AZ52" s="90" t="s">
        <v>66</v>
      </c>
      <c r="BA52" s="89" t="str">
        <f>REPLACE(INDEX(GroupVertices[Group],MATCH(Vertices[[#This Row],[Vertex]],GroupVertices[Vertex],0)),1,1,"")</f>
        <v>3</v>
      </c>
      <c r="BB52" s="49">
        <v>0</v>
      </c>
      <c r="BC52" s="50">
        <v>0</v>
      </c>
      <c r="BD52" s="49">
        <v>0</v>
      </c>
      <c r="BE52" s="50">
        <v>0</v>
      </c>
      <c r="BF52" s="49">
        <v>0</v>
      </c>
      <c r="BG52" s="50">
        <v>0</v>
      </c>
      <c r="BH52" s="49">
        <v>28</v>
      </c>
      <c r="BI52" s="50">
        <v>100</v>
      </c>
      <c r="BJ52" s="49">
        <v>28</v>
      </c>
      <c r="BK52" s="49" t="s">
        <v>330</v>
      </c>
      <c r="BL52" s="49" t="s">
        <v>330</v>
      </c>
      <c r="BM52" s="49" t="s">
        <v>335</v>
      </c>
      <c r="BN52" s="49" t="s">
        <v>335</v>
      </c>
      <c r="BO52" s="49" t="s">
        <v>338</v>
      </c>
      <c r="BP52" s="49" t="s">
        <v>338</v>
      </c>
      <c r="BQ52" s="116" t="s">
        <v>2580</v>
      </c>
      <c r="BR52" s="116" t="s">
        <v>2580</v>
      </c>
      <c r="BS52" s="116" t="s">
        <v>2098</v>
      </c>
      <c r="BT52" s="116" t="s">
        <v>2098</v>
      </c>
      <c r="BU52" s="2"/>
      <c r="BV52" s="3"/>
      <c r="BW52" s="3"/>
      <c r="BX52" s="3"/>
      <c r="BY52" s="3"/>
    </row>
    <row r="53" spans="1:77" ht="15">
      <c r="A53" s="66" t="s">
        <v>262</v>
      </c>
      <c r="B53" s="67"/>
      <c r="C53" s="67" t="s">
        <v>46</v>
      </c>
      <c r="D53" s="68"/>
      <c r="E53" s="117"/>
      <c r="F53" s="105" t="str">
        <f>HYPERLINK("https://pbs.twimg.com/profile_images/1345069808178618369/VX-v4lHC_normal.jpg")</f>
        <v>https://pbs.twimg.com/profile_images/1345069808178618369/VX-v4lHC_normal.jpg</v>
      </c>
      <c r="G53" s="118"/>
      <c r="H53" s="71" t="s">
        <v>262</v>
      </c>
      <c r="I53" s="72" t="s">
        <v>2109</v>
      </c>
      <c r="J53" s="119" t="s">
        <v>73</v>
      </c>
      <c r="K53" s="71" t="s">
        <v>865</v>
      </c>
      <c r="L53" s="120">
        <v>1</v>
      </c>
      <c r="M53" s="76">
        <v>3230.692138671875</v>
      </c>
      <c r="N53" s="76">
        <v>9774.8076171875</v>
      </c>
      <c r="O53" s="77"/>
      <c r="P53" s="78"/>
      <c r="Q53" s="78"/>
      <c r="R53" s="121"/>
      <c r="S53" s="49">
        <v>0</v>
      </c>
      <c r="T53" s="49">
        <v>3</v>
      </c>
      <c r="U53" s="50">
        <v>0</v>
      </c>
      <c r="V53" s="50">
        <v>0.005376</v>
      </c>
      <c r="W53" s="50">
        <v>0.009884</v>
      </c>
      <c r="X53" s="50">
        <v>0.519233</v>
      </c>
      <c r="Y53" s="50">
        <v>0.6666666666666666</v>
      </c>
      <c r="Z53" s="50">
        <v>0</v>
      </c>
      <c r="AA53" s="73">
        <v>53</v>
      </c>
      <c r="AB53" s="73"/>
      <c r="AC53" s="74"/>
      <c r="AD53" s="90" t="s">
        <v>610</v>
      </c>
      <c r="AE53" s="99" t="s">
        <v>690</v>
      </c>
      <c r="AF53" s="90">
        <v>211</v>
      </c>
      <c r="AG53" s="90">
        <v>479</v>
      </c>
      <c r="AH53" s="90">
        <v>13697</v>
      </c>
      <c r="AI53" s="90">
        <v>43693</v>
      </c>
      <c r="AJ53" s="90"/>
      <c r="AK53" s="90" t="s">
        <v>768</v>
      </c>
      <c r="AL53" s="90"/>
      <c r="AM53" s="90"/>
      <c r="AN53" s="90"/>
      <c r="AO53" s="93">
        <v>44197.7378125</v>
      </c>
      <c r="AP53" s="90"/>
      <c r="AQ53" s="90" t="b">
        <v>1</v>
      </c>
      <c r="AR53" s="90" t="b">
        <v>0</v>
      </c>
      <c r="AS53" s="90" t="b">
        <v>0</v>
      </c>
      <c r="AT53" s="90"/>
      <c r="AU53" s="90">
        <v>3</v>
      </c>
      <c r="AV53" s="90"/>
      <c r="AW53" s="90" t="b">
        <v>0</v>
      </c>
      <c r="AX53" s="90" t="s">
        <v>827</v>
      </c>
      <c r="AY53" s="96" t="str">
        <f>HYPERLINK("https://twitter.com/minisalkku2021")</f>
        <v>https://twitter.com/minisalkku2021</v>
      </c>
      <c r="AZ53" s="90" t="s">
        <v>66</v>
      </c>
      <c r="BA53" s="89" t="str">
        <f>REPLACE(INDEX(GroupVertices[Group],MATCH(Vertices[[#This Row],[Vertex]],GroupVertices[Vertex],0)),1,1,"")</f>
        <v>1</v>
      </c>
      <c r="BB53" s="49">
        <v>0</v>
      </c>
      <c r="BC53" s="50">
        <v>0</v>
      </c>
      <c r="BD53" s="49">
        <v>0</v>
      </c>
      <c r="BE53" s="50">
        <v>0</v>
      </c>
      <c r="BF53" s="49">
        <v>0</v>
      </c>
      <c r="BG53" s="50">
        <v>0</v>
      </c>
      <c r="BH53" s="49">
        <v>28</v>
      </c>
      <c r="BI53" s="50">
        <v>100</v>
      </c>
      <c r="BJ53" s="49">
        <v>28</v>
      </c>
      <c r="BK53" s="49" t="s">
        <v>1981</v>
      </c>
      <c r="BL53" s="49" t="s">
        <v>1981</v>
      </c>
      <c r="BM53" s="49" t="s">
        <v>334</v>
      </c>
      <c r="BN53" s="49" t="s">
        <v>334</v>
      </c>
      <c r="BO53" s="49" t="s">
        <v>338</v>
      </c>
      <c r="BP53" s="49" t="s">
        <v>338</v>
      </c>
      <c r="BQ53" s="116" t="s">
        <v>2079</v>
      </c>
      <c r="BR53" s="116" t="s">
        <v>2079</v>
      </c>
      <c r="BS53" s="116" t="s">
        <v>2092</v>
      </c>
      <c r="BT53" s="116" t="s">
        <v>2092</v>
      </c>
      <c r="BU53" s="2"/>
      <c r="BV53" s="3"/>
      <c r="BW53" s="3"/>
      <c r="BX53" s="3"/>
      <c r="BY53" s="3"/>
    </row>
    <row r="54" spans="1:77" ht="15">
      <c r="A54" s="66" t="s">
        <v>263</v>
      </c>
      <c r="B54" s="67"/>
      <c r="C54" s="67" t="s">
        <v>46</v>
      </c>
      <c r="D54" s="68"/>
      <c r="E54" s="117"/>
      <c r="F54" s="105" t="str">
        <f>HYPERLINK("https://pbs.twimg.com/profile_images/442688896996880384/1B1RvMN9_normal.jpeg")</f>
        <v>https://pbs.twimg.com/profile_images/442688896996880384/1B1RvMN9_normal.jpeg</v>
      </c>
      <c r="G54" s="118"/>
      <c r="H54" s="71" t="s">
        <v>263</v>
      </c>
      <c r="I54" s="72" t="s">
        <v>2109</v>
      </c>
      <c r="J54" s="119" t="s">
        <v>73</v>
      </c>
      <c r="K54" s="71" t="s">
        <v>866</v>
      </c>
      <c r="L54" s="120">
        <v>1</v>
      </c>
      <c r="M54" s="76">
        <v>5746.94970703125</v>
      </c>
      <c r="N54" s="76">
        <v>4172.025390625</v>
      </c>
      <c r="O54" s="77"/>
      <c r="P54" s="78"/>
      <c r="Q54" s="78"/>
      <c r="R54" s="121"/>
      <c r="S54" s="49">
        <v>0</v>
      </c>
      <c r="T54" s="49">
        <v>3</v>
      </c>
      <c r="U54" s="50">
        <v>0</v>
      </c>
      <c r="V54" s="50">
        <v>0.005376</v>
      </c>
      <c r="W54" s="50">
        <v>0.009884</v>
      </c>
      <c r="X54" s="50">
        <v>0.519233</v>
      </c>
      <c r="Y54" s="50">
        <v>0.6666666666666666</v>
      </c>
      <c r="Z54" s="50">
        <v>0</v>
      </c>
      <c r="AA54" s="73">
        <v>54</v>
      </c>
      <c r="AB54" s="73"/>
      <c r="AC54" s="74"/>
      <c r="AD54" s="90" t="s">
        <v>611</v>
      </c>
      <c r="AE54" s="99" t="s">
        <v>691</v>
      </c>
      <c r="AF54" s="90">
        <v>4273</v>
      </c>
      <c r="AG54" s="90">
        <v>3493</v>
      </c>
      <c r="AH54" s="90">
        <v>94509</v>
      </c>
      <c r="AI54" s="90">
        <v>52385</v>
      </c>
      <c r="AJ54" s="90"/>
      <c r="AK54" s="90" t="s">
        <v>769</v>
      </c>
      <c r="AL54" s="90" t="s">
        <v>815</v>
      </c>
      <c r="AM54" s="90"/>
      <c r="AN54" s="90"/>
      <c r="AO54" s="93">
        <v>41707.649143518516</v>
      </c>
      <c r="AP54" s="96" t="str">
        <f>HYPERLINK("https://pbs.twimg.com/profile_banners/2380640833/1398193743")</f>
        <v>https://pbs.twimg.com/profile_banners/2380640833/1398193743</v>
      </c>
      <c r="AQ54" s="90" t="b">
        <v>0</v>
      </c>
      <c r="AR54" s="90" t="b">
        <v>0</v>
      </c>
      <c r="AS54" s="90" t="b">
        <v>0</v>
      </c>
      <c r="AT54" s="90"/>
      <c r="AU54" s="90">
        <v>222</v>
      </c>
      <c r="AV54" s="96" t="str">
        <f>HYPERLINK("https://abs.twimg.com/images/themes/theme9/bg.gif")</f>
        <v>https://abs.twimg.com/images/themes/theme9/bg.gif</v>
      </c>
      <c r="AW54" s="90" t="b">
        <v>0</v>
      </c>
      <c r="AX54" s="90" t="s">
        <v>827</v>
      </c>
      <c r="AY54" s="96" t="str">
        <f>HYPERLINK("https://twitter.com/thuotila")</f>
        <v>https://twitter.com/thuotila</v>
      </c>
      <c r="AZ54" s="90" t="s">
        <v>66</v>
      </c>
      <c r="BA54" s="89" t="str">
        <f>REPLACE(INDEX(GroupVertices[Group],MATCH(Vertices[[#This Row],[Vertex]],GroupVertices[Vertex],0)),1,1,"")</f>
        <v>1</v>
      </c>
      <c r="BB54" s="49">
        <v>0</v>
      </c>
      <c r="BC54" s="50">
        <v>0</v>
      </c>
      <c r="BD54" s="49">
        <v>0</v>
      </c>
      <c r="BE54" s="50">
        <v>0</v>
      </c>
      <c r="BF54" s="49">
        <v>0</v>
      </c>
      <c r="BG54" s="50">
        <v>0</v>
      </c>
      <c r="BH54" s="49">
        <v>28</v>
      </c>
      <c r="BI54" s="50">
        <v>100</v>
      </c>
      <c r="BJ54" s="49">
        <v>28</v>
      </c>
      <c r="BK54" s="49" t="s">
        <v>1981</v>
      </c>
      <c r="BL54" s="49" t="s">
        <v>1981</v>
      </c>
      <c r="BM54" s="49" t="s">
        <v>334</v>
      </c>
      <c r="BN54" s="49" t="s">
        <v>334</v>
      </c>
      <c r="BO54" s="49" t="s">
        <v>338</v>
      </c>
      <c r="BP54" s="49" t="s">
        <v>338</v>
      </c>
      <c r="BQ54" s="116" t="s">
        <v>2079</v>
      </c>
      <c r="BR54" s="116" t="s">
        <v>2079</v>
      </c>
      <c r="BS54" s="116" t="s">
        <v>2092</v>
      </c>
      <c r="BT54" s="116" t="s">
        <v>2092</v>
      </c>
      <c r="BU54" s="2"/>
      <c r="BV54" s="3"/>
      <c r="BW54" s="3"/>
      <c r="BX54" s="3"/>
      <c r="BY54" s="3"/>
    </row>
    <row r="55" spans="1:77" ht="15">
      <c r="A55" s="66" t="s">
        <v>264</v>
      </c>
      <c r="B55" s="67"/>
      <c r="C55" s="67" t="s">
        <v>46</v>
      </c>
      <c r="D55" s="68"/>
      <c r="E55" s="117"/>
      <c r="F55" s="105" t="str">
        <f>HYPERLINK("https://pbs.twimg.com/profile_images/1433903501483073538/ksNZQex__normal.jpg")</f>
        <v>https://pbs.twimg.com/profile_images/1433903501483073538/ksNZQex__normal.jpg</v>
      </c>
      <c r="G55" s="118"/>
      <c r="H55" s="71" t="s">
        <v>264</v>
      </c>
      <c r="I55" s="72" t="s">
        <v>2109</v>
      </c>
      <c r="J55" s="119" t="s">
        <v>73</v>
      </c>
      <c r="K55" s="71" t="s">
        <v>867</v>
      </c>
      <c r="L55" s="120">
        <v>1</v>
      </c>
      <c r="M55" s="76">
        <v>4680.375</v>
      </c>
      <c r="N55" s="76">
        <v>8839.7734375</v>
      </c>
      <c r="O55" s="77"/>
      <c r="P55" s="78"/>
      <c r="Q55" s="78"/>
      <c r="R55" s="121"/>
      <c r="S55" s="49">
        <v>0</v>
      </c>
      <c r="T55" s="49">
        <v>3</v>
      </c>
      <c r="U55" s="50">
        <v>0</v>
      </c>
      <c r="V55" s="50">
        <v>0.005376</v>
      </c>
      <c r="W55" s="50">
        <v>0.009884</v>
      </c>
      <c r="X55" s="50">
        <v>0.519233</v>
      </c>
      <c r="Y55" s="50">
        <v>0.6666666666666666</v>
      </c>
      <c r="Z55" s="50">
        <v>0</v>
      </c>
      <c r="AA55" s="73">
        <v>55</v>
      </c>
      <c r="AB55" s="73"/>
      <c r="AC55" s="74"/>
      <c r="AD55" s="90" t="s">
        <v>612</v>
      </c>
      <c r="AE55" s="99" t="s">
        <v>692</v>
      </c>
      <c r="AF55" s="90">
        <v>2365</v>
      </c>
      <c r="AG55" s="90">
        <v>2986</v>
      </c>
      <c r="AH55" s="90">
        <v>3198</v>
      </c>
      <c r="AI55" s="90">
        <v>7193</v>
      </c>
      <c r="AJ55" s="90"/>
      <c r="AK55" s="90" t="s">
        <v>770</v>
      </c>
      <c r="AL55" s="90" t="s">
        <v>819</v>
      </c>
      <c r="AM55" s="96" t="str">
        <f>HYPERLINK("https://t.co/mzwtBbCzCD")</f>
        <v>https://t.co/mzwtBbCzCD</v>
      </c>
      <c r="AN55" s="90"/>
      <c r="AO55" s="93">
        <v>41208.90972222222</v>
      </c>
      <c r="AP55" s="96" t="str">
        <f>HYPERLINK("https://pbs.twimg.com/profile_banners/906836640/1620837183")</f>
        <v>https://pbs.twimg.com/profile_banners/906836640/1620837183</v>
      </c>
      <c r="AQ55" s="90" t="b">
        <v>1</v>
      </c>
      <c r="AR55" s="90" t="b">
        <v>0</v>
      </c>
      <c r="AS55" s="90" t="b">
        <v>1</v>
      </c>
      <c r="AT55" s="90"/>
      <c r="AU55" s="90">
        <v>27</v>
      </c>
      <c r="AV55" s="96" t="str">
        <f>HYPERLINK("https://abs.twimg.com/images/themes/theme1/bg.png")</f>
        <v>https://abs.twimg.com/images/themes/theme1/bg.png</v>
      </c>
      <c r="AW55" s="90" t="b">
        <v>0</v>
      </c>
      <c r="AX55" s="90" t="s">
        <v>827</v>
      </c>
      <c r="AY55" s="96" t="str">
        <f>HYPERLINK("https://twitter.com/mikakorte")</f>
        <v>https://twitter.com/mikakorte</v>
      </c>
      <c r="AZ55" s="90" t="s">
        <v>66</v>
      </c>
      <c r="BA55" s="89" t="str">
        <f>REPLACE(INDEX(GroupVertices[Group],MATCH(Vertices[[#This Row],[Vertex]],GroupVertices[Vertex],0)),1,1,"")</f>
        <v>1</v>
      </c>
      <c r="BB55" s="49">
        <v>0</v>
      </c>
      <c r="BC55" s="50">
        <v>0</v>
      </c>
      <c r="BD55" s="49">
        <v>0</v>
      </c>
      <c r="BE55" s="50">
        <v>0</v>
      </c>
      <c r="BF55" s="49">
        <v>0</v>
      </c>
      <c r="BG55" s="50">
        <v>0</v>
      </c>
      <c r="BH55" s="49">
        <v>28</v>
      </c>
      <c r="BI55" s="50">
        <v>100</v>
      </c>
      <c r="BJ55" s="49">
        <v>28</v>
      </c>
      <c r="BK55" s="49" t="s">
        <v>1981</v>
      </c>
      <c r="BL55" s="49" t="s">
        <v>1981</v>
      </c>
      <c r="BM55" s="49" t="s">
        <v>334</v>
      </c>
      <c r="BN55" s="49" t="s">
        <v>334</v>
      </c>
      <c r="BO55" s="49" t="s">
        <v>338</v>
      </c>
      <c r="BP55" s="49" t="s">
        <v>338</v>
      </c>
      <c r="BQ55" s="116" t="s">
        <v>2079</v>
      </c>
      <c r="BR55" s="116" t="s">
        <v>2079</v>
      </c>
      <c r="BS55" s="116" t="s">
        <v>2092</v>
      </c>
      <c r="BT55" s="116" t="s">
        <v>2092</v>
      </c>
      <c r="BU55" s="2"/>
      <c r="BV55" s="3"/>
      <c r="BW55" s="3"/>
      <c r="BX55" s="3"/>
      <c r="BY55" s="3"/>
    </row>
    <row r="56" spans="1:77" ht="15">
      <c r="A56" s="66" t="s">
        <v>265</v>
      </c>
      <c r="B56" s="67"/>
      <c r="C56" s="67" t="s">
        <v>46</v>
      </c>
      <c r="D56" s="68"/>
      <c r="E56" s="117"/>
      <c r="F56" s="105" t="str">
        <f>HYPERLINK("https://pbs.twimg.com/profile_images/1404408541574832132/Sin2omv1_normal.jpg")</f>
        <v>https://pbs.twimg.com/profile_images/1404408541574832132/Sin2omv1_normal.jpg</v>
      </c>
      <c r="G56" s="118"/>
      <c r="H56" s="71" t="s">
        <v>265</v>
      </c>
      <c r="I56" s="72" t="s">
        <v>2109</v>
      </c>
      <c r="J56" s="119" t="s">
        <v>73</v>
      </c>
      <c r="K56" s="71" t="s">
        <v>868</v>
      </c>
      <c r="L56" s="120">
        <v>1</v>
      </c>
      <c r="M56" s="76">
        <v>3675.7685546875</v>
      </c>
      <c r="N56" s="76">
        <v>7312.41357421875</v>
      </c>
      <c r="O56" s="77"/>
      <c r="P56" s="78"/>
      <c r="Q56" s="78"/>
      <c r="R56" s="121"/>
      <c r="S56" s="49">
        <v>0</v>
      </c>
      <c r="T56" s="49">
        <v>3</v>
      </c>
      <c r="U56" s="50">
        <v>0</v>
      </c>
      <c r="V56" s="50">
        <v>0.004854</v>
      </c>
      <c r="W56" s="50">
        <v>0.006661</v>
      </c>
      <c r="X56" s="50">
        <v>0.541883</v>
      </c>
      <c r="Y56" s="50">
        <v>0.5</v>
      </c>
      <c r="Z56" s="50">
        <v>0</v>
      </c>
      <c r="AA56" s="73">
        <v>56</v>
      </c>
      <c r="AB56" s="73"/>
      <c r="AC56" s="74"/>
      <c r="AD56" s="90" t="s">
        <v>613</v>
      </c>
      <c r="AE56" s="99" t="s">
        <v>693</v>
      </c>
      <c r="AF56" s="90">
        <v>1228</v>
      </c>
      <c r="AG56" s="90">
        <v>438</v>
      </c>
      <c r="AH56" s="90">
        <v>26152</v>
      </c>
      <c r="AI56" s="90">
        <v>10119</v>
      </c>
      <c r="AJ56" s="90"/>
      <c r="AK56" s="90" t="s">
        <v>771</v>
      </c>
      <c r="AL56" s="90" t="s">
        <v>816</v>
      </c>
      <c r="AM56" s="90"/>
      <c r="AN56" s="90"/>
      <c r="AO56" s="93">
        <v>42117.53193287037</v>
      </c>
      <c r="AP56" s="96" t="str">
        <f>HYPERLINK("https://pbs.twimg.com/profile_banners/3197922796/1631268241")</f>
        <v>https://pbs.twimg.com/profile_banners/3197922796/1631268241</v>
      </c>
      <c r="AQ56" s="90" t="b">
        <v>0</v>
      </c>
      <c r="AR56" s="90" t="b">
        <v>0</v>
      </c>
      <c r="AS56" s="90" t="b">
        <v>0</v>
      </c>
      <c r="AT56" s="90"/>
      <c r="AU56" s="90">
        <v>3</v>
      </c>
      <c r="AV56" s="96" t="str">
        <f>HYPERLINK("https://abs.twimg.com/images/themes/theme11/bg.gif")</f>
        <v>https://abs.twimg.com/images/themes/theme11/bg.gif</v>
      </c>
      <c r="AW56" s="90" t="b">
        <v>0</v>
      </c>
      <c r="AX56" s="90" t="s">
        <v>827</v>
      </c>
      <c r="AY56" s="96" t="str">
        <f>HYPERLINK("https://twitter.com/korhonenmla")</f>
        <v>https://twitter.com/korhonenmla</v>
      </c>
      <c r="AZ56" s="90" t="s">
        <v>66</v>
      </c>
      <c r="BA56" s="89" t="str">
        <f>REPLACE(INDEX(GroupVertices[Group],MATCH(Vertices[[#This Row],[Vertex]],GroupVertices[Vertex],0)),1,1,"")</f>
        <v>1</v>
      </c>
      <c r="BB56" s="49">
        <v>0</v>
      </c>
      <c r="BC56" s="50">
        <v>0</v>
      </c>
      <c r="BD56" s="49">
        <v>0</v>
      </c>
      <c r="BE56" s="50">
        <v>0</v>
      </c>
      <c r="BF56" s="49">
        <v>0</v>
      </c>
      <c r="BG56" s="50">
        <v>0</v>
      </c>
      <c r="BH56" s="49">
        <v>28</v>
      </c>
      <c r="BI56" s="50">
        <v>100</v>
      </c>
      <c r="BJ56" s="49">
        <v>28</v>
      </c>
      <c r="BK56" s="49" t="s">
        <v>1982</v>
      </c>
      <c r="BL56" s="49" t="s">
        <v>1982</v>
      </c>
      <c r="BM56" s="49" t="s">
        <v>333</v>
      </c>
      <c r="BN56" s="49" t="s">
        <v>333</v>
      </c>
      <c r="BO56" s="49" t="s">
        <v>341</v>
      </c>
      <c r="BP56" s="49" t="s">
        <v>341</v>
      </c>
      <c r="BQ56" s="116" t="s">
        <v>2590</v>
      </c>
      <c r="BR56" s="116" t="s">
        <v>2590</v>
      </c>
      <c r="BS56" s="116" t="s">
        <v>2099</v>
      </c>
      <c r="BT56" s="116" t="s">
        <v>2099</v>
      </c>
      <c r="BU56" s="2"/>
      <c r="BV56" s="3"/>
      <c r="BW56" s="3"/>
      <c r="BX56" s="3"/>
      <c r="BY56" s="3"/>
    </row>
    <row r="57" spans="1:77" ht="15">
      <c r="A57" s="66" t="s">
        <v>274</v>
      </c>
      <c r="B57" s="67"/>
      <c r="C57" s="67" t="s">
        <v>64</v>
      </c>
      <c r="D57" s="68">
        <v>393.8843156881052</v>
      </c>
      <c r="E57" s="117"/>
      <c r="F57" s="105" t="str">
        <f>HYPERLINK("https://pbs.twimg.com/profile_images/977422951069908992/w8GCbHZz_normal.jpg")</f>
        <v>https://pbs.twimg.com/profile_images/977422951069908992/w8GCbHZz_normal.jpg</v>
      </c>
      <c r="G57" s="118"/>
      <c r="H57" s="71" t="s">
        <v>274</v>
      </c>
      <c r="I57" s="72" t="s">
        <v>2109</v>
      </c>
      <c r="J57" s="119" t="s">
        <v>73</v>
      </c>
      <c r="K57" s="71" t="s">
        <v>869</v>
      </c>
      <c r="L57" s="120">
        <v>385.53846153846155</v>
      </c>
      <c r="M57" s="76">
        <v>4292.48779296875</v>
      </c>
      <c r="N57" s="76">
        <v>6370.75146484375</v>
      </c>
      <c r="O57" s="77"/>
      <c r="P57" s="78"/>
      <c r="Q57" s="78"/>
      <c r="R57" s="121"/>
      <c r="S57" s="49">
        <v>3</v>
      </c>
      <c r="T57" s="49">
        <v>2</v>
      </c>
      <c r="U57" s="50">
        <v>2</v>
      </c>
      <c r="V57" s="50">
        <v>0.004902</v>
      </c>
      <c r="W57" s="50">
        <v>0.007441</v>
      </c>
      <c r="X57" s="50">
        <v>0.856823</v>
      </c>
      <c r="Y57" s="50">
        <v>0.35</v>
      </c>
      <c r="Z57" s="50">
        <v>0</v>
      </c>
      <c r="AA57" s="73">
        <v>57</v>
      </c>
      <c r="AB57" s="73"/>
      <c r="AC57" s="74"/>
      <c r="AD57" s="90" t="s">
        <v>614</v>
      </c>
      <c r="AE57" s="99" t="s">
        <v>694</v>
      </c>
      <c r="AF57" s="90">
        <v>939</v>
      </c>
      <c r="AG57" s="90">
        <v>689</v>
      </c>
      <c r="AH57" s="90">
        <v>819</v>
      </c>
      <c r="AI57" s="90">
        <v>1532</v>
      </c>
      <c r="AJ57" s="90"/>
      <c r="AK57" s="90" t="s">
        <v>772</v>
      </c>
      <c r="AL57" s="90" t="s">
        <v>808</v>
      </c>
      <c r="AM57" s="90"/>
      <c r="AN57" s="90"/>
      <c r="AO57" s="93">
        <v>40805.48351851852</v>
      </c>
      <c r="AP57" s="96" t="str">
        <f>HYPERLINK("https://pbs.twimg.com/profile_banners/376146034/1548665113")</f>
        <v>https://pbs.twimg.com/profile_banners/376146034/1548665113</v>
      </c>
      <c r="AQ57" s="90" t="b">
        <v>0</v>
      </c>
      <c r="AR57" s="90" t="b">
        <v>0</v>
      </c>
      <c r="AS57" s="90" t="b">
        <v>0</v>
      </c>
      <c r="AT57" s="90"/>
      <c r="AU57" s="90">
        <v>19</v>
      </c>
      <c r="AV57" s="96" t="str">
        <f>HYPERLINK("https://abs.twimg.com/images/themes/theme1/bg.png")</f>
        <v>https://abs.twimg.com/images/themes/theme1/bg.png</v>
      </c>
      <c r="AW57" s="90" t="b">
        <v>0</v>
      </c>
      <c r="AX57" s="90" t="s">
        <v>827</v>
      </c>
      <c r="AY57" s="96" t="str">
        <f>HYPERLINK("https://twitter.com/paananentanja")</f>
        <v>https://twitter.com/paananentanja</v>
      </c>
      <c r="AZ57" s="90" t="s">
        <v>66</v>
      </c>
      <c r="BA57" s="89" t="str">
        <f>REPLACE(INDEX(GroupVertices[Group],MATCH(Vertices[[#This Row],[Vertex]],GroupVertices[Vertex],0)),1,1,"")</f>
        <v>1</v>
      </c>
      <c r="BB57" s="49">
        <v>0</v>
      </c>
      <c r="BC57" s="50">
        <v>0</v>
      </c>
      <c r="BD57" s="49">
        <v>0</v>
      </c>
      <c r="BE57" s="50">
        <v>0</v>
      </c>
      <c r="BF57" s="49">
        <v>0</v>
      </c>
      <c r="BG57" s="50">
        <v>0</v>
      </c>
      <c r="BH57" s="49">
        <v>28</v>
      </c>
      <c r="BI57" s="50">
        <v>100</v>
      </c>
      <c r="BJ57" s="49">
        <v>28</v>
      </c>
      <c r="BK57" s="49" t="s">
        <v>1982</v>
      </c>
      <c r="BL57" s="49" t="s">
        <v>1982</v>
      </c>
      <c r="BM57" s="49" t="s">
        <v>333</v>
      </c>
      <c r="BN57" s="49" t="s">
        <v>333</v>
      </c>
      <c r="BO57" s="49" t="s">
        <v>341</v>
      </c>
      <c r="BP57" s="49" t="s">
        <v>341</v>
      </c>
      <c r="BQ57" s="116" t="s">
        <v>2590</v>
      </c>
      <c r="BR57" s="116" t="s">
        <v>2590</v>
      </c>
      <c r="BS57" s="116" t="s">
        <v>2099</v>
      </c>
      <c r="BT57" s="116" t="s">
        <v>2099</v>
      </c>
      <c r="BU57" s="2"/>
      <c r="BV57" s="3"/>
      <c r="BW57" s="3"/>
      <c r="BX57" s="3"/>
      <c r="BY57" s="3"/>
    </row>
    <row r="58" spans="1:77" ht="15">
      <c r="A58" s="66" t="s">
        <v>266</v>
      </c>
      <c r="B58" s="67"/>
      <c r="C58" s="67" t="s">
        <v>46</v>
      </c>
      <c r="D58" s="68"/>
      <c r="E58" s="117"/>
      <c r="F58" s="105" t="str">
        <f>HYPERLINK("https://pbs.twimg.com/profile_images/987431586076479488/UJtmbcK8_normal.jpg")</f>
        <v>https://pbs.twimg.com/profile_images/987431586076479488/UJtmbcK8_normal.jpg</v>
      </c>
      <c r="G58" s="118"/>
      <c r="H58" s="71" t="s">
        <v>266</v>
      </c>
      <c r="I58" s="72" t="s">
        <v>2109</v>
      </c>
      <c r="J58" s="119" t="s">
        <v>73</v>
      </c>
      <c r="K58" s="71" t="s">
        <v>870</v>
      </c>
      <c r="L58" s="120">
        <v>1</v>
      </c>
      <c r="M58" s="76">
        <v>1975.4801025390625</v>
      </c>
      <c r="N58" s="76">
        <v>1356.5540771484375</v>
      </c>
      <c r="O58" s="77"/>
      <c r="P58" s="78"/>
      <c r="Q58" s="78"/>
      <c r="R58" s="121"/>
      <c r="S58" s="49">
        <v>0</v>
      </c>
      <c r="T58" s="49">
        <v>3</v>
      </c>
      <c r="U58" s="50">
        <v>0</v>
      </c>
      <c r="V58" s="50">
        <v>0.005376</v>
      </c>
      <c r="W58" s="50">
        <v>0.009884</v>
      </c>
      <c r="X58" s="50">
        <v>0.519233</v>
      </c>
      <c r="Y58" s="50">
        <v>0.6666666666666666</v>
      </c>
      <c r="Z58" s="50">
        <v>0</v>
      </c>
      <c r="AA58" s="73">
        <v>58</v>
      </c>
      <c r="AB58" s="73"/>
      <c r="AC58" s="74"/>
      <c r="AD58" s="90" t="s">
        <v>615</v>
      </c>
      <c r="AE58" s="99" t="s">
        <v>695</v>
      </c>
      <c r="AF58" s="90">
        <v>733</v>
      </c>
      <c r="AG58" s="90">
        <v>386</v>
      </c>
      <c r="AH58" s="90">
        <v>684</v>
      </c>
      <c r="AI58" s="90">
        <v>811</v>
      </c>
      <c r="AJ58" s="90"/>
      <c r="AK58" s="90" t="s">
        <v>773</v>
      </c>
      <c r="AL58" s="90" t="s">
        <v>815</v>
      </c>
      <c r="AM58" s="96" t="str">
        <f>HYPERLINK("https://t.co/eYkJTcZmvu")</f>
        <v>https://t.co/eYkJTcZmvu</v>
      </c>
      <c r="AN58" s="90"/>
      <c r="AO58" s="93">
        <v>40228.76949074074</v>
      </c>
      <c r="AP58" s="96" t="str">
        <f>HYPERLINK("https://pbs.twimg.com/profile_banners/115729710/1605875405")</f>
        <v>https://pbs.twimg.com/profile_banners/115729710/1605875405</v>
      </c>
      <c r="AQ58" s="90" t="b">
        <v>0</v>
      </c>
      <c r="AR58" s="90" t="b">
        <v>0</v>
      </c>
      <c r="AS58" s="90" t="b">
        <v>0</v>
      </c>
      <c r="AT58" s="90"/>
      <c r="AU58" s="90">
        <v>6</v>
      </c>
      <c r="AV58" s="96" t="str">
        <f>HYPERLINK("https://abs.twimg.com/images/themes/theme12/bg.gif")</f>
        <v>https://abs.twimg.com/images/themes/theme12/bg.gif</v>
      </c>
      <c r="AW58" s="90" t="b">
        <v>0</v>
      </c>
      <c r="AX58" s="90" t="s">
        <v>827</v>
      </c>
      <c r="AY58" s="96" t="str">
        <f>HYPERLINK("https://twitter.com/iivoi")</f>
        <v>https://twitter.com/iivoi</v>
      </c>
      <c r="AZ58" s="90" t="s">
        <v>66</v>
      </c>
      <c r="BA58" s="89" t="str">
        <f>REPLACE(INDEX(GroupVertices[Group],MATCH(Vertices[[#This Row],[Vertex]],GroupVertices[Vertex],0)),1,1,"")</f>
        <v>1</v>
      </c>
      <c r="BB58" s="49">
        <v>0</v>
      </c>
      <c r="BC58" s="50">
        <v>0</v>
      </c>
      <c r="BD58" s="49">
        <v>0</v>
      </c>
      <c r="BE58" s="50">
        <v>0</v>
      </c>
      <c r="BF58" s="49">
        <v>0</v>
      </c>
      <c r="BG58" s="50">
        <v>0</v>
      </c>
      <c r="BH58" s="49">
        <v>28</v>
      </c>
      <c r="BI58" s="50">
        <v>100</v>
      </c>
      <c r="BJ58" s="49">
        <v>28</v>
      </c>
      <c r="BK58" s="49" t="s">
        <v>1981</v>
      </c>
      <c r="BL58" s="49" t="s">
        <v>1981</v>
      </c>
      <c r="BM58" s="49" t="s">
        <v>334</v>
      </c>
      <c r="BN58" s="49" t="s">
        <v>334</v>
      </c>
      <c r="BO58" s="49" t="s">
        <v>338</v>
      </c>
      <c r="BP58" s="49" t="s">
        <v>338</v>
      </c>
      <c r="BQ58" s="116" t="s">
        <v>2079</v>
      </c>
      <c r="BR58" s="116" t="s">
        <v>2079</v>
      </c>
      <c r="BS58" s="116" t="s">
        <v>2092</v>
      </c>
      <c r="BT58" s="116" t="s">
        <v>2092</v>
      </c>
      <c r="BU58" s="2"/>
      <c r="BV58" s="3"/>
      <c r="BW58" s="3"/>
      <c r="BX58" s="3"/>
      <c r="BY58" s="3"/>
    </row>
    <row r="59" spans="1:77" ht="15">
      <c r="A59" s="66" t="s">
        <v>2120</v>
      </c>
      <c r="B59" s="67"/>
      <c r="C59" s="67" t="s">
        <v>46</v>
      </c>
      <c r="D59" s="68"/>
      <c r="E59" s="117"/>
      <c r="F59" s="105" t="str">
        <f>HYPERLINK("https://pbs.twimg.com/profile_images/378800000254454689/2003c8ff8faff52788477ee81e83f21e_normal.jpeg")</f>
        <v>https://pbs.twimg.com/profile_images/378800000254454689/2003c8ff8faff52788477ee81e83f21e_normal.jpeg</v>
      </c>
      <c r="G59" s="118"/>
      <c r="H59" s="71" t="s">
        <v>2120</v>
      </c>
      <c r="I59" s="72" t="s">
        <v>2637</v>
      </c>
      <c r="J59" s="119" t="s">
        <v>73</v>
      </c>
      <c r="K59" s="71" t="s">
        <v>2342</v>
      </c>
      <c r="L59" s="120">
        <v>1</v>
      </c>
      <c r="M59" s="76">
        <v>6289.900390625</v>
      </c>
      <c r="N59" s="76">
        <v>8643.4052734375</v>
      </c>
      <c r="O59" s="77"/>
      <c r="P59" s="78"/>
      <c r="Q59" s="78"/>
      <c r="R59" s="121"/>
      <c r="S59" s="49">
        <v>0</v>
      </c>
      <c r="T59" s="49">
        <v>5</v>
      </c>
      <c r="U59" s="50">
        <v>2.182243</v>
      </c>
      <c r="V59" s="50">
        <v>0.005435</v>
      </c>
      <c r="W59" s="50">
        <v>0.009539</v>
      </c>
      <c r="X59" s="50">
        <v>0.729109</v>
      </c>
      <c r="Y59" s="50">
        <v>0.5</v>
      </c>
      <c r="Z59" s="50">
        <v>0</v>
      </c>
      <c r="AA59" s="73">
        <v>59</v>
      </c>
      <c r="AB59" s="73"/>
      <c r="AC59" s="74"/>
      <c r="AD59" s="90" t="s">
        <v>2262</v>
      </c>
      <c r="AE59" s="99" t="s">
        <v>2286</v>
      </c>
      <c r="AF59" s="90">
        <v>4995</v>
      </c>
      <c r="AG59" s="90">
        <v>3627</v>
      </c>
      <c r="AH59" s="90">
        <v>38105</v>
      </c>
      <c r="AI59" s="90">
        <v>72925</v>
      </c>
      <c r="AJ59" s="90"/>
      <c r="AK59" s="90" t="s">
        <v>2310</v>
      </c>
      <c r="AL59" s="90"/>
      <c r="AM59" s="90"/>
      <c r="AN59" s="90"/>
      <c r="AO59" s="93">
        <v>40308.32907407408</v>
      </c>
      <c r="AP59" s="90"/>
      <c r="AQ59" s="90" t="b">
        <v>0</v>
      </c>
      <c r="AR59" s="90" t="b">
        <v>0</v>
      </c>
      <c r="AS59" s="90" t="b">
        <v>1</v>
      </c>
      <c r="AT59" s="90"/>
      <c r="AU59" s="90">
        <v>13</v>
      </c>
      <c r="AV59" s="96" t="str">
        <f>HYPERLINK("https://abs.twimg.com/images/themes/theme1/bg.png")</f>
        <v>https://abs.twimg.com/images/themes/theme1/bg.png</v>
      </c>
      <c r="AW59" s="90" t="b">
        <v>0</v>
      </c>
      <c r="AX59" s="90" t="s">
        <v>827</v>
      </c>
      <c r="AY59" s="96" t="str">
        <f>HYPERLINK("https://twitter.com/ismokainulainen")</f>
        <v>https://twitter.com/ismokainulainen</v>
      </c>
      <c r="AZ59" s="90" t="s">
        <v>66</v>
      </c>
      <c r="BA59" s="89" t="str">
        <f>REPLACE(INDEX(GroupVertices[Group],MATCH(Vertices[[#This Row],[Vertex]],GroupVertices[Vertex],0)),1,1,"")</f>
        <v>2</v>
      </c>
      <c r="BB59" s="49">
        <v>0</v>
      </c>
      <c r="BC59" s="50">
        <v>0</v>
      </c>
      <c r="BD59" s="49">
        <v>0</v>
      </c>
      <c r="BE59" s="50">
        <v>0</v>
      </c>
      <c r="BF59" s="49">
        <v>0</v>
      </c>
      <c r="BG59" s="50">
        <v>0</v>
      </c>
      <c r="BH59" s="49">
        <v>22</v>
      </c>
      <c r="BI59" s="50">
        <v>100</v>
      </c>
      <c r="BJ59" s="49">
        <v>22</v>
      </c>
      <c r="BK59" s="49" t="s">
        <v>2483</v>
      </c>
      <c r="BL59" s="49" t="s">
        <v>2483</v>
      </c>
      <c r="BM59" s="49" t="s">
        <v>334</v>
      </c>
      <c r="BN59" s="49" t="s">
        <v>334</v>
      </c>
      <c r="BO59" s="49"/>
      <c r="BP59" s="49"/>
      <c r="BQ59" s="116" t="s">
        <v>2581</v>
      </c>
      <c r="BR59" s="116" t="s">
        <v>2581</v>
      </c>
      <c r="BS59" s="116" t="s">
        <v>2620</v>
      </c>
      <c r="BT59" s="116" t="s">
        <v>2620</v>
      </c>
      <c r="BU59" s="2"/>
      <c r="BV59" s="3"/>
      <c r="BW59" s="3"/>
      <c r="BX59" s="3"/>
      <c r="BY59" s="3"/>
    </row>
    <row r="60" spans="1:77" ht="15">
      <c r="A60" s="66" t="s">
        <v>267</v>
      </c>
      <c r="B60" s="67"/>
      <c r="C60" s="67" t="s">
        <v>46</v>
      </c>
      <c r="D60" s="68"/>
      <c r="E60" s="117"/>
      <c r="F60" s="105" t="str">
        <f>HYPERLINK("https://pbs.twimg.com/profile_images/1447669551613816842/FuzYzrqx_normal.jpg")</f>
        <v>https://pbs.twimg.com/profile_images/1447669551613816842/FuzYzrqx_normal.jpg</v>
      </c>
      <c r="G60" s="118"/>
      <c r="H60" s="71" t="s">
        <v>267</v>
      </c>
      <c r="I60" s="72" t="s">
        <v>2109</v>
      </c>
      <c r="J60" s="119" t="s">
        <v>73</v>
      </c>
      <c r="K60" s="71" t="s">
        <v>871</v>
      </c>
      <c r="L60" s="120">
        <v>1</v>
      </c>
      <c r="M60" s="76">
        <v>3288.6357421875</v>
      </c>
      <c r="N60" s="76">
        <v>8664.724609375</v>
      </c>
      <c r="O60" s="77"/>
      <c r="P60" s="78"/>
      <c r="Q60" s="78"/>
      <c r="R60" s="121"/>
      <c r="S60" s="49">
        <v>0</v>
      </c>
      <c r="T60" s="49">
        <v>3</v>
      </c>
      <c r="U60" s="50">
        <v>0</v>
      </c>
      <c r="V60" s="50">
        <v>0.005376</v>
      </c>
      <c r="W60" s="50">
        <v>0.009884</v>
      </c>
      <c r="X60" s="50">
        <v>0.519233</v>
      </c>
      <c r="Y60" s="50">
        <v>0.6666666666666666</v>
      </c>
      <c r="Z60" s="50">
        <v>0</v>
      </c>
      <c r="AA60" s="73">
        <v>60</v>
      </c>
      <c r="AB60" s="73"/>
      <c r="AC60" s="74"/>
      <c r="AD60" s="90" t="s">
        <v>616</v>
      </c>
      <c r="AE60" s="99" t="s">
        <v>696</v>
      </c>
      <c r="AF60" s="90">
        <v>2824</v>
      </c>
      <c r="AG60" s="90">
        <v>2667</v>
      </c>
      <c r="AH60" s="90">
        <v>8390</v>
      </c>
      <c r="AI60" s="90">
        <v>43644</v>
      </c>
      <c r="AJ60" s="90"/>
      <c r="AK60" s="90" t="s">
        <v>774</v>
      </c>
      <c r="AL60" s="90" t="s">
        <v>820</v>
      </c>
      <c r="AM60" s="96" t="str">
        <f>HYPERLINK("https://t.co/k7mz8bHvuy")</f>
        <v>https://t.co/k7mz8bHvuy</v>
      </c>
      <c r="AN60" s="90"/>
      <c r="AO60" s="93">
        <v>41739.394733796296</v>
      </c>
      <c r="AP60" s="96" t="str">
        <f>HYPERLINK("https://pbs.twimg.com/profile_banners/2436765558/1621511502")</f>
        <v>https://pbs.twimg.com/profile_banners/2436765558/1621511502</v>
      </c>
      <c r="AQ60" s="90" t="b">
        <v>1</v>
      </c>
      <c r="AR60" s="90" t="b">
        <v>0</v>
      </c>
      <c r="AS60" s="90" t="b">
        <v>0</v>
      </c>
      <c r="AT60" s="90"/>
      <c r="AU60" s="90">
        <v>13</v>
      </c>
      <c r="AV60" s="96" t="str">
        <f>HYPERLINK("https://abs.twimg.com/images/themes/theme1/bg.png")</f>
        <v>https://abs.twimg.com/images/themes/theme1/bg.png</v>
      </c>
      <c r="AW60" s="90" t="b">
        <v>0</v>
      </c>
      <c r="AX60" s="90" t="s">
        <v>827</v>
      </c>
      <c r="AY60" s="96" t="str">
        <f>HYPERLINK("https://twitter.com/granlundmarkus")</f>
        <v>https://twitter.com/granlundmarkus</v>
      </c>
      <c r="AZ60" s="90" t="s">
        <v>66</v>
      </c>
      <c r="BA60" s="89" t="str">
        <f>REPLACE(INDEX(GroupVertices[Group],MATCH(Vertices[[#This Row],[Vertex]],GroupVertices[Vertex],0)),1,1,"")</f>
        <v>1</v>
      </c>
      <c r="BB60" s="49">
        <v>0</v>
      </c>
      <c r="BC60" s="50">
        <v>0</v>
      </c>
      <c r="BD60" s="49">
        <v>0</v>
      </c>
      <c r="BE60" s="50">
        <v>0</v>
      </c>
      <c r="BF60" s="49">
        <v>0</v>
      </c>
      <c r="BG60" s="50">
        <v>0</v>
      </c>
      <c r="BH60" s="49">
        <v>28</v>
      </c>
      <c r="BI60" s="50">
        <v>100</v>
      </c>
      <c r="BJ60" s="49">
        <v>28</v>
      </c>
      <c r="BK60" s="49" t="s">
        <v>1981</v>
      </c>
      <c r="BL60" s="49" t="s">
        <v>1981</v>
      </c>
      <c r="BM60" s="49" t="s">
        <v>334</v>
      </c>
      <c r="BN60" s="49" t="s">
        <v>334</v>
      </c>
      <c r="BO60" s="49" t="s">
        <v>338</v>
      </c>
      <c r="BP60" s="49" t="s">
        <v>338</v>
      </c>
      <c r="BQ60" s="116" t="s">
        <v>2079</v>
      </c>
      <c r="BR60" s="116" t="s">
        <v>2079</v>
      </c>
      <c r="BS60" s="116" t="s">
        <v>2092</v>
      </c>
      <c r="BT60" s="116" t="s">
        <v>2092</v>
      </c>
      <c r="BU60" s="2"/>
      <c r="BV60" s="3"/>
      <c r="BW60" s="3"/>
      <c r="BX60" s="3"/>
      <c r="BY60" s="3"/>
    </row>
    <row r="61" spans="1:77" ht="15">
      <c r="A61" s="66" t="s">
        <v>2121</v>
      </c>
      <c r="B61" s="67"/>
      <c r="C61" s="67" t="s">
        <v>46</v>
      </c>
      <c r="D61" s="68"/>
      <c r="E61" s="117"/>
      <c r="F61" s="105" t="str">
        <f>HYPERLINK("https://pbs.twimg.com/profile_images/1310936366218346498/83dRyxQ__normal.jpg")</f>
        <v>https://pbs.twimg.com/profile_images/1310936366218346498/83dRyxQ__normal.jpg</v>
      </c>
      <c r="G61" s="118"/>
      <c r="H61" s="71" t="s">
        <v>2121</v>
      </c>
      <c r="I61" s="72" t="s">
        <v>2109</v>
      </c>
      <c r="J61" s="119" t="s">
        <v>73</v>
      </c>
      <c r="K61" s="71" t="s">
        <v>2343</v>
      </c>
      <c r="L61" s="120">
        <v>1</v>
      </c>
      <c r="M61" s="76">
        <v>3047.310546875</v>
      </c>
      <c r="N61" s="76">
        <v>2609.63037109375</v>
      </c>
      <c r="O61" s="77"/>
      <c r="P61" s="78"/>
      <c r="Q61" s="78"/>
      <c r="R61" s="121"/>
      <c r="S61" s="49">
        <v>0</v>
      </c>
      <c r="T61" s="49">
        <v>4</v>
      </c>
      <c r="U61" s="50">
        <v>0</v>
      </c>
      <c r="V61" s="50">
        <v>0.005405</v>
      </c>
      <c r="W61" s="50">
        <v>0.010726</v>
      </c>
      <c r="X61" s="50">
        <v>0.64461</v>
      </c>
      <c r="Y61" s="50">
        <v>0.6666666666666666</v>
      </c>
      <c r="Z61" s="50">
        <v>0</v>
      </c>
      <c r="AA61" s="73">
        <v>61</v>
      </c>
      <c r="AB61" s="73"/>
      <c r="AC61" s="74"/>
      <c r="AD61" s="90" t="s">
        <v>2263</v>
      </c>
      <c r="AE61" s="99" t="s">
        <v>2287</v>
      </c>
      <c r="AF61" s="90">
        <v>140</v>
      </c>
      <c r="AG61" s="90">
        <v>88</v>
      </c>
      <c r="AH61" s="90">
        <v>736</v>
      </c>
      <c r="AI61" s="90">
        <v>2652</v>
      </c>
      <c r="AJ61" s="90"/>
      <c r="AK61" s="90" t="s">
        <v>2311</v>
      </c>
      <c r="AL61" s="90" t="s">
        <v>811</v>
      </c>
      <c r="AM61" s="96" t="str">
        <f>HYPERLINK("https://t.co/0e4V3uC9PT")</f>
        <v>https://t.co/0e4V3uC9PT</v>
      </c>
      <c r="AN61" s="90"/>
      <c r="AO61" s="93">
        <v>42072.40540509259</v>
      </c>
      <c r="AP61" s="90"/>
      <c r="AQ61" s="90" t="b">
        <v>0</v>
      </c>
      <c r="AR61" s="90" t="b">
        <v>0</v>
      </c>
      <c r="AS61" s="90" t="b">
        <v>0</v>
      </c>
      <c r="AT61" s="90"/>
      <c r="AU61" s="90">
        <v>0</v>
      </c>
      <c r="AV61" s="96" t="str">
        <f>HYPERLINK("https://abs.twimg.com/images/themes/theme1/bg.png")</f>
        <v>https://abs.twimg.com/images/themes/theme1/bg.png</v>
      </c>
      <c r="AW61" s="90" t="b">
        <v>0</v>
      </c>
      <c r="AX61" s="90" t="s">
        <v>827</v>
      </c>
      <c r="AY61" s="96" t="str">
        <f>HYPERLINK("https://twitter.com/ototterman")</f>
        <v>https://twitter.com/ototterman</v>
      </c>
      <c r="AZ61" s="90" t="s">
        <v>66</v>
      </c>
      <c r="BA61" s="89" t="str">
        <f>REPLACE(INDEX(GroupVertices[Group],MATCH(Vertices[[#This Row],[Vertex]],GroupVertices[Vertex],0)),1,1,"")</f>
        <v>1</v>
      </c>
      <c r="BB61" s="49">
        <v>0</v>
      </c>
      <c r="BC61" s="50">
        <v>0</v>
      </c>
      <c r="BD61" s="49">
        <v>0</v>
      </c>
      <c r="BE61" s="50">
        <v>0</v>
      </c>
      <c r="BF61" s="49">
        <v>0</v>
      </c>
      <c r="BG61" s="50">
        <v>0</v>
      </c>
      <c r="BH61" s="49">
        <v>12</v>
      </c>
      <c r="BI61" s="50">
        <v>100</v>
      </c>
      <c r="BJ61" s="49">
        <v>12</v>
      </c>
      <c r="BK61" s="49" t="s">
        <v>1982</v>
      </c>
      <c r="BL61" s="49" t="s">
        <v>1982</v>
      </c>
      <c r="BM61" s="49" t="s">
        <v>333</v>
      </c>
      <c r="BN61" s="49" t="s">
        <v>333</v>
      </c>
      <c r="BO61" s="49"/>
      <c r="BP61" s="49"/>
      <c r="BQ61" s="116" t="s">
        <v>2589</v>
      </c>
      <c r="BR61" s="116" t="s">
        <v>2589</v>
      </c>
      <c r="BS61" s="116" t="s">
        <v>2624</v>
      </c>
      <c r="BT61" s="116" t="s">
        <v>2624</v>
      </c>
      <c r="BU61" s="2"/>
      <c r="BV61" s="3"/>
      <c r="BW61" s="3"/>
      <c r="BX61" s="3"/>
      <c r="BY61" s="3"/>
    </row>
    <row r="62" spans="1:77" ht="15">
      <c r="A62" s="66" t="s">
        <v>2122</v>
      </c>
      <c r="B62" s="67"/>
      <c r="C62" s="67" t="s">
        <v>46</v>
      </c>
      <c r="D62" s="68"/>
      <c r="E62" s="117"/>
      <c r="F62" s="105" t="str">
        <f>HYPERLINK("https://pbs.twimg.com/profile_images/1352607196081745922/0JkBzP70_normal.jpg")</f>
        <v>https://pbs.twimg.com/profile_images/1352607196081745922/0JkBzP70_normal.jpg</v>
      </c>
      <c r="G62" s="118"/>
      <c r="H62" s="71" t="s">
        <v>2122</v>
      </c>
      <c r="I62" s="72" t="s">
        <v>2109</v>
      </c>
      <c r="J62" s="119" t="s">
        <v>73</v>
      </c>
      <c r="K62" s="71" t="s">
        <v>2344</v>
      </c>
      <c r="L62" s="120">
        <v>1</v>
      </c>
      <c r="M62" s="76">
        <v>4135.705078125</v>
      </c>
      <c r="N62" s="76">
        <v>1837.8653564453125</v>
      </c>
      <c r="O62" s="77"/>
      <c r="P62" s="78"/>
      <c r="Q62" s="78"/>
      <c r="R62" s="121"/>
      <c r="S62" s="49">
        <v>0</v>
      </c>
      <c r="T62" s="49">
        <v>4</v>
      </c>
      <c r="U62" s="50">
        <v>0</v>
      </c>
      <c r="V62" s="50">
        <v>0.005405</v>
      </c>
      <c r="W62" s="50">
        <v>0.010726</v>
      </c>
      <c r="X62" s="50">
        <v>0.64461</v>
      </c>
      <c r="Y62" s="50">
        <v>0.6666666666666666</v>
      </c>
      <c r="Z62" s="50">
        <v>0</v>
      </c>
      <c r="AA62" s="73">
        <v>62</v>
      </c>
      <c r="AB62" s="73"/>
      <c r="AC62" s="74"/>
      <c r="AD62" s="90" t="s">
        <v>2264</v>
      </c>
      <c r="AE62" s="99" t="s">
        <v>2288</v>
      </c>
      <c r="AF62" s="90">
        <v>6914</v>
      </c>
      <c r="AG62" s="90">
        <v>7044</v>
      </c>
      <c r="AH62" s="90">
        <v>27263</v>
      </c>
      <c r="AI62" s="90">
        <v>104993</v>
      </c>
      <c r="AJ62" s="90"/>
      <c r="AK62" s="90" t="s">
        <v>2312</v>
      </c>
      <c r="AL62" s="90" t="s">
        <v>806</v>
      </c>
      <c r="AM62" s="96" t="str">
        <f>HYPERLINK("https://t.co/zVIvtXUkGb")</f>
        <v>https://t.co/zVIvtXUkGb</v>
      </c>
      <c r="AN62" s="90"/>
      <c r="AO62" s="93">
        <v>40070.44320601852</v>
      </c>
      <c r="AP62" s="96" t="str">
        <f>HYPERLINK("https://pbs.twimg.com/profile_banners/74126884/1623743892")</f>
        <v>https://pbs.twimg.com/profile_banners/74126884/1623743892</v>
      </c>
      <c r="AQ62" s="90" t="b">
        <v>0</v>
      </c>
      <c r="AR62" s="90" t="b">
        <v>0</v>
      </c>
      <c r="AS62" s="90" t="b">
        <v>1</v>
      </c>
      <c r="AT62" s="90"/>
      <c r="AU62" s="90">
        <v>63</v>
      </c>
      <c r="AV62" s="96" t="str">
        <f>HYPERLINK("https://abs.twimg.com/images/themes/theme3/bg.gif")</f>
        <v>https://abs.twimg.com/images/themes/theme3/bg.gif</v>
      </c>
      <c r="AW62" s="90" t="b">
        <v>0</v>
      </c>
      <c r="AX62" s="90" t="s">
        <v>827</v>
      </c>
      <c r="AY62" s="96" t="str">
        <f>HYPERLINK("https://twitter.com/laurarissanen")</f>
        <v>https://twitter.com/laurarissanen</v>
      </c>
      <c r="AZ62" s="90" t="s">
        <v>66</v>
      </c>
      <c r="BA62" s="89" t="str">
        <f>REPLACE(INDEX(GroupVertices[Group],MATCH(Vertices[[#This Row],[Vertex]],GroupVertices[Vertex],0)),1,1,"")</f>
        <v>1</v>
      </c>
      <c r="BB62" s="49">
        <v>0</v>
      </c>
      <c r="BC62" s="50">
        <v>0</v>
      </c>
      <c r="BD62" s="49">
        <v>0</v>
      </c>
      <c r="BE62" s="50">
        <v>0</v>
      </c>
      <c r="BF62" s="49">
        <v>0</v>
      </c>
      <c r="BG62" s="50">
        <v>0</v>
      </c>
      <c r="BH62" s="49">
        <v>12</v>
      </c>
      <c r="BI62" s="50">
        <v>100</v>
      </c>
      <c r="BJ62" s="49">
        <v>12</v>
      </c>
      <c r="BK62" s="49" t="s">
        <v>1982</v>
      </c>
      <c r="BL62" s="49" t="s">
        <v>1982</v>
      </c>
      <c r="BM62" s="49" t="s">
        <v>333</v>
      </c>
      <c r="BN62" s="49" t="s">
        <v>333</v>
      </c>
      <c r="BO62" s="49"/>
      <c r="BP62" s="49"/>
      <c r="BQ62" s="116" t="s">
        <v>2589</v>
      </c>
      <c r="BR62" s="116" t="s">
        <v>2589</v>
      </c>
      <c r="BS62" s="116" t="s">
        <v>2624</v>
      </c>
      <c r="BT62" s="116" t="s">
        <v>2624</v>
      </c>
      <c r="BU62" s="2"/>
      <c r="BV62" s="3"/>
      <c r="BW62" s="3"/>
      <c r="BX62" s="3"/>
      <c r="BY62" s="3"/>
    </row>
    <row r="63" spans="1:77" ht="15">
      <c r="A63" s="66" t="s">
        <v>268</v>
      </c>
      <c r="B63" s="67"/>
      <c r="C63" s="67" t="s">
        <v>46</v>
      </c>
      <c r="D63" s="68"/>
      <c r="E63" s="117"/>
      <c r="F63" s="105" t="str">
        <f>HYPERLINK("https://pbs.twimg.com/profile_images/449117004159397888/LHfjGdTt_normal.jpeg")</f>
        <v>https://pbs.twimg.com/profile_images/449117004159397888/LHfjGdTt_normal.jpeg</v>
      </c>
      <c r="G63" s="118"/>
      <c r="H63" s="71" t="s">
        <v>268</v>
      </c>
      <c r="I63" s="72" t="s">
        <v>2109</v>
      </c>
      <c r="J63" s="119" t="s">
        <v>73</v>
      </c>
      <c r="K63" s="71" t="s">
        <v>872</v>
      </c>
      <c r="L63" s="120">
        <v>1</v>
      </c>
      <c r="M63" s="76">
        <v>2575.072021484375</v>
      </c>
      <c r="N63" s="76">
        <v>1619.552978515625</v>
      </c>
      <c r="O63" s="77"/>
      <c r="P63" s="78"/>
      <c r="Q63" s="78"/>
      <c r="R63" s="121"/>
      <c r="S63" s="49">
        <v>0</v>
      </c>
      <c r="T63" s="49">
        <v>3</v>
      </c>
      <c r="U63" s="50">
        <v>0</v>
      </c>
      <c r="V63" s="50">
        <v>0.005376</v>
      </c>
      <c r="W63" s="50">
        <v>0.009884</v>
      </c>
      <c r="X63" s="50">
        <v>0.519233</v>
      </c>
      <c r="Y63" s="50">
        <v>0.6666666666666666</v>
      </c>
      <c r="Z63" s="50">
        <v>0</v>
      </c>
      <c r="AA63" s="73">
        <v>63</v>
      </c>
      <c r="AB63" s="73"/>
      <c r="AC63" s="74"/>
      <c r="AD63" s="90" t="s">
        <v>617</v>
      </c>
      <c r="AE63" s="99" t="s">
        <v>697</v>
      </c>
      <c r="AF63" s="90">
        <v>2679</v>
      </c>
      <c r="AG63" s="90">
        <v>1127</v>
      </c>
      <c r="AH63" s="90">
        <v>5548</v>
      </c>
      <c r="AI63" s="90">
        <v>11227</v>
      </c>
      <c r="AJ63" s="90"/>
      <c r="AK63" s="90" t="s">
        <v>775</v>
      </c>
      <c r="AL63" s="90" t="s">
        <v>815</v>
      </c>
      <c r="AM63" s="90"/>
      <c r="AN63" s="90"/>
      <c r="AO63" s="93">
        <v>39884.34097222222</v>
      </c>
      <c r="AP63" s="96" t="str">
        <f>HYPERLINK("https://pbs.twimg.com/profile_banners/23919762/1395911904")</f>
        <v>https://pbs.twimg.com/profile_banners/23919762/1395911904</v>
      </c>
      <c r="AQ63" s="90" t="b">
        <v>0</v>
      </c>
      <c r="AR63" s="90" t="b">
        <v>0</v>
      </c>
      <c r="AS63" s="90" t="b">
        <v>1</v>
      </c>
      <c r="AT63" s="90"/>
      <c r="AU63" s="90">
        <v>15</v>
      </c>
      <c r="AV63" s="96" t="str">
        <f>HYPERLINK("https://abs.twimg.com/images/themes/theme6/bg.gif")</f>
        <v>https://abs.twimg.com/images/themes/theme6/bg.gif</v>
      </c>
      <c r="AW63" s="90" t="b">
        <v>0</v>
      </c>
      <c r="AX63" s="90" t="s">
        <v>827</v>
      </c>
      <c r="AY63" s="96" t="str">
        <f>HYPERLINK("https://twitter.com/tainac")</f>
        <v>https://twitter.com/tainac</v>
      </c>
      <c r="AZ63" s="90" t="s">
        <v>66</v>
      </c>
      <c r="BA63" s="89" t="str">
        <f>REPLACE(INDEX(GroupVertices[Group],MATCH(Vertices[[#This Row],[Vertex]],GroupVertices[Vertex],0)),1,1,"")</f>
        <v>1</v>
      </c>
      <c r="BB63" s="49">
        <v>0</v>
      </c>
      <c r="BC63" s="50">
        <v>0</v>
      </c>
      <c r="BD63" s="49">
        <v>0</v>
      </c>
      <c r="BE63" s="50">
        <v>0</v>
      </c>
      <c r="BF63" s="49">
        <v>0</v>
      </c>
      <c r="BG63" s="50">
        <v>0</v>
      </c>
      <c r="BH63" s="49">
        <v>28</v>
      </c>
      <c r="BI63" s="50">
        <v>100</v>
      </c>
      <c r="BJ63" s="49">
        <v>28</v>
      </c>
      <c r="BK63" s="49" t="s">
        <v>1981</v>
      </c>
      <c r="BL63" s="49" t="s">
        <v>1981</v>
      </c>
      <c r="BM63" s="49" t="s">
        <v>334</v>
      </c>
      <c r="BN63" s="49" t="s">
        <v>334</v>
      </c>
      <c r="BO63" s="49" t="s">
        <v>338</v>
      </c>
      <c r="BP63" s="49" t="s">
        <v>338</v>
      </c>
      <c r="BQ63" s="116" t="s">
        <v>2079</v>
      </c>
      <c r="BR63" s="116" t="s">
        <v>2079</v>
      </c>
      <c r="BS63" s="116" t="s">
        <v>2092</v>
      </c>
      <c r="BT63" s="116" t="s">
        <v>2092</v>
      </c>
      <c r="BU63" s="2"/>
      <c r="BV63" s="3"/>
      <c r="BW63" s="3"/>
      <c r="BX63" s="3"/>
      <c r="BY63" s="3"/>
    </row>
    <row r="64" spans="1:77" ht="15">
      <c r="A64" s="66" t="s">
        <v>269</v>
      </c>
      <c r="B64" s="67"/>
      <c r="C64" s="67" t="s">
        <v>46</v>
      </c>
      <c r="D64" s="68"/>
      <c r="E64" s="117"/>
      <c r="F64" s="105" t="str">
        <f>HYPERLINK("https://pbs.twimg.com/profile_images/1355432331901861891/37_HVHYk_normal.jpg")</f>
        <v>https://pbs.twimg.com/profile_images/1355432331901861891/37_HVHYk_normal.jpg</v>
      </c>
      <c r="G64" s="118"/>
      <c r="H64" s="71" t="s">
        <v>269</v>
      </c>
      <c r="I64" s="72" t="s">
        <v>2109</v>
      </c>
      <c r="J64" s="119" t="s">
        <v>73</v>
      </c>
      <c r="K64" s="71" t="s">
        <v>873</v>
      </c>
      <c r="L64" s="120">
        <v>1</v>
      </c>
      <c r="M64" s="76">
        <v>5045.9091796875</v>
      </c>
      <c r="N64" s="76">
        <v>5532.7275390625</v>
      </c>
      <c r="O64" s="77"/>
      <c r="P64" s="78"/>
      <c r="Q64" s="78"/>
      <c r="R64" s="121"/>
      <c r="S64" s="49">
        <v>0</v>
      </c>
      <c r="T64" s="49">
        <v>3</v>
      </c>
      <c r="U64" s="50">
        <v>0</v>
      </c>
      <c r="V64" s="50">
        <v>0.005376</v>
      </c>
      <c r="W64" s="50">
        <v>0.009884</v>
      </c>
      <c r="X64" s="50">
        <v>0.519233</v>
      </c>
      <c r="Y64" s="50">
        <v>0.6666666666666666</v>
      </c>
      <c r="Z64" s="50">
        <v>0</v>
      </c>
      <c r="AA64" s="73">
        <v>64</v>
      </c>
      <c r="AB64" s="73"/>
      <c r="AC64" s="74"/>
      <c r="AD64" s="90" t="s">
        <v>618</v>
      </c>
      <c r="AE64" s="99" t="s">
        <v>698</v>
      </c>
      <c r="AF64" s="90">
        <v>2172</v>
      </c>
      <c r="AG64" s="90">
        <v>1968</v>
      </c>
      <c r="AH64" s="90">
        <v>9075</v>
      </c>
      <c r="AI64" s="90">
        <v>18042</v>
      </c>
      <c r="AJ64" s="90"/>
      <c r="AK64" s="90" t="s">
        <v>776</v>
      </c>
      <c r="AL64" s="90" t="s">
        <v>807</v>
      </c>
      <c r="AM64" s="90"/>
      <c r="AN64" s="90"/>
      <c r="AO64" s="93">
        <v>40161.563263888886</v>
      </c>
      <c r="AP64" s="96" t="str">
        <f>HYPERLINK("https://pbs.twimg.com/profile_banners/96761126/1513850782")</f>
        <v>https://pbs.twimg.com/profile_banners/96761126/1513850782</v>
      </c>
      <c r="AQ64" s="90" t="b">
        <v>0</v>
      </c>
      <c r="AR64" s="90" t="b">
        <v>0</v>
      </c>
      <c r="AS64" s="90" t="b">
        <v>1</v>
      </c>
      <c r="AT64" s="90"/>
      <c r="AU64" s="90">
        <v>304</v>
      </c>
      <c r="AV64" s="96" t="str">
        <f>HYPERLINK("https://abs.twimg.com/images/themes/theme14/bg.gif")</f>
        <v>https://abs.twimg.com/images/themes/theme14/bg.gif</v>
      </c>
      <c r="AW64" s="90" t="b">
        <v>0</v>
      </c>
      <c r="AX64" s="90" t="s">
        <v>827</v>
      </c>
      <c r="AY64" s="96" t="str">
        <f>HYPERLINK("https://twitter.com/juhokauppi")</f>
        <v>https://twitter.com/juhokauppi</v>
      </c>
      <c r="AZ64" s="90" t="s">
        <v>66</v>
      </c>
      <c r="BA64" s="89" t="str">
        <f>REPLACE(INDEX(GroupVertices[Group],MATCH(Vertices[[#This Row],[Vertex]],GroupVertices[Vertex],0)),1,1,"")</f>
        <v>1</v>
      </c>
      <c r="BB64" s="49">
        <v>0</v>
      </c>
      <c r="BC64" s="50">
        <v>0</v>
      </c>
      <c r="BD64" s="49">
        <v>0</v>
      </c>
      <c r="BE64" s="50">
        <v>0</v>
      </c>
      <c r="BF64" s="49">
        <v>0</v>
      </c>
      <c r="BG64" s="50">
        <v>0</v>
      </c>
      <c r="BH64" s="49">
        <v>28</v>
      </c>
      <c r="BI64" s="50">
        <v>100</v>
      </c>
      <c r="BJ64" s="49">
        <v>28</v>
      </c>
      <c r="BK64" s="49" t="s">
        <v>1981</v>
      </c>
      <c r="BL64" s="49" t="s">
        <v>1981</v>
      </c>
      <c r="BM64" s="49" t="s">
        <v>334</v>
      </c>
      <c r="BN64" s="49" t="s">
        <v>334</v>
      </c>
      <c r="BO64" s="49" t="s">
        <v>338</v>
      </c>
      <c r="BP64" s="49" t="s">
        <v>338</v>
      </c>
      <c r="BQ64" s="116" t="s">
        <v>2079</v>
      </c>
      <c r="BR64" s="116" t="s">
        <v>2079</v>
      </c>
      <c r="BS64" s="116" t="s">
        <v>2092</v>
      </c>
      <c r="BT64" s="116" t="s">
        <v>2092</v>
      </c>
      <c r="BU64" s="2"/>
      <c r="BV64" s="3"/>
      <c r="BW64" s="3"/>
      <c r="BX64" s="3"/>
      <c r="BY64" s="3"/>
    </row>
    <row r="65" spans="1:77" ht="15">
      <c r="A65" s="66" t="s">
        <v>270</v>
      </c>
      <c r="B65" s="67"/>
      <c r="C65" s="67" t="s">
        <v>46</v>
      </c>
      <c r="D65" s="68"/>
      <c r="E65" s="117"/>
      <c r="F65" s="105" t="str">
        <f>HYPERLINK("https://pbs.twimg.com/profile_images/1090581803910471680/mzGbomZ8_normal.jpg")</f>
        <v>https://pbs.twimg.com/profile_images/1090581803910471680/mzGbomZ8_normal.jpg</v>
      </c>
      <c r="G65" s="118"/>
      <c r="H65" s="71" t="s">
        <v>270</v>
      </c>
      <c r="I65" s="72" t="s">
        <v>2109</v>
      </c>
      <c r="J65" s="119" t="s">
        <v>73</v>
      </c>
      <c r="K65" s="71" t="s">
        <v>874</v>
      </c>
      <c r="L65" s="120">
        <v>1</v>
      </c>
      <c r="M65" s="76">
        <v>4379.19140625</v>
      </c>
      <c r="N65" s="76">
        <v>4601.04833984375</v>
      </c>
      <c r="O65" s="77"/>
      <c r="P65" s="78"/>
      <c r="Q65" s="78"/>
      <c r="R65" s="121"/>
      <c r="S65" s="49">
        <v>0</v>
      </c>
      <c r="T65" s="49">
        <v>3</v>
      </c>
      <c r="U65" s="50">
        <v>0</v>
      </c>
      <c r="V65" s="50">
        <v>0.004854</v>
      </c>
      <c r="W65" s="50">
        <v>0.006661</v>
      </c>
      <c r="X65" s="50">
        <v>0.541883</v>
      </c>
      <c r="Y65" s="50">
        <v>0.5</v>
      </c>
      <c r="Z65" s="50">
        <v>0</v>
      </c>
      <c r="AA65" s="73">
        <v>65</v>
      </c>
      <c r="AB65" s="73"/>
      <c r="AC65" s="74"/>
      <c r="AD65" s="90" t="s">
        <v>619</v>
      </c>
      <c r="AE65" s="99" t="s">
        <v>699</v>
      </c>
      <c r="AF65" s="90">
        <v>578</v>
      </c>
      <c r="AG65" s="90">
        <v>396</v>
      </c>
      <c r="AH65" s="90">
        <v>2057</v>
      </c>
      <c r="AI65" s="90">
        <v>1877</v>
      </c>
      <c r="AJ65" s="90"/>
      <c r="AK65" s="90" t="s">
        <v>777</v>
      </c>
      <c r="AL65" s="90"/>
      <c r="AM65" s="90"/>
      <c r="AN65" s="90"/>
      <c r="AO65" s="93">
        <v>40404.42465277778</v>
      </c>
      <c r="AP65" s="96" t="str">
        <f>HYPERLINK("https://pbs.twimg.com/profile_banners/178286401/1632310241")</f>
        <v>https://pbs.twimg.com/profile_banners/178286401/1632310241</v>
      </c>
      <c r="AQ65" s="90" t="b">
        <v>0</v>
      </c>
      <c r="AR65" s="90" t="b">
        <v>0</v>
      </c>
      <c r="AS65" s="90" t="b">
        <v>0</v>
      </c>
      <c r="AT65" s="90"/>
      <c r="AU65" s="90">
        <v>7</v>
      </c>
      <c r="AV65" s="96" t="str">
        <f>HYPERLINK("https://abs.twimg.com/images/themes/theme2/bg.gif")</f>
        <v>https://abs.twimg.com/images/themes/theme2/bg.gif</v>
      </c>
      <c r="AW65" s="90" t="b">
        <v>0</v>
      </c>
      <c r="AX65" s="90" t="s">
        <v>827</v>
      </c>
      <c r="AY65" s="96" t="str">
        <f>HYPERLINK("https://twitter.com/christamakinen")</f>
        <v>https://twitter.com/christamakinen</v>
      </c>
      <c r="AZ65" s="90" t="s">
        <v>66</v>
      </c>
      <c r="BA65" s="89" t="str">
        <f>REPLACE(INDEX(GroupVertices[Group],MATCH(Vertices[[#This Row],[Vertex]],GroupVertices[Vertex],0)),1,1,"")</f>
        <v>1</v>
      </c>
      <c r="BB65" s="49">
        <v>0</v>
      </c>
      <c r="BC65" s="50">
        <v>0</v>
      </c>
      <c r="BD65" s="49">
        <v>0</v>
      </c>
      <c r="BE65" s="50">
        <v>0</v>
      </c>
      <c r="BF65" s="49">
        <v>0</v>
      </c>
      <c r="BG65" s="50">
        <v>0</v>
      </c>
      <c r="BH65" s="49">
        <v>28</v>
      </c>
      <c r="BI65" s="50">
        <v>100</v>
      </c>
      <c r="BJ65" s="49">
        <v>28</v>
      </c>
      <c r="BK65" s="49" t="s">
        <v>1982</v>
      </c>
      <c r="BL65" s="49" t="s">
        <v>1982</v>
      </c>
      <c r="BM65" s="49" t="s">
        <v>333</v>
      </c>
      <c r="BN65" s="49" t="s">
        <v>333</v>
      </c>
      <c r="BO65" s="49" t="s">
        <v>341</v>
      </c>
      <c r="BP65" s="49" t="s">
        <v>341</v>
      </c>
      <c r="BQ65" s="116" t="s">
        <v>2590</v>
      </c>
      <c r="BR65" s="116" t="s">
        <v>2590</v>
      </c>
      <c r="BS65" s="116" t="s">
        <v>2099</v>
      </c>
      <c r="BT65" s="116" t="s">
        <v>2099</v>
      </c>
      <c r="BU65" s="2"/>
      <c r="BV65" s="3"/>
      <c r="BW65" s="3"/>
      <c r="BX65" s="3"/>
      <c r="BY65" s="3"/>
    </row>
    <row r="66" spans="1:77" ht="15">
      <c r="A66" s="66" t="s">
        <v>271</v>
      </c>
      <c r="B66" s="67"/>
      <c r="C66" s="67" t="s">
        <v>46</v>
      </c>
      <c r="D66" s="68"/>
      <c r="E66" s="117"/>
      <c r="F66" s="105" t="str">
        <f>HYPERLINK("https://pbs.twimg.com/profile_images/1135519728586375168/6IJPFQb__normal.png")</f>
        <v>https://pbs.twimg.com/profile_images/1135519728586375168/6IJPFQb__normal.png</v>
      </c>
      <c r="G66" s="118"/>
      <c r="H66" s="71" t="s">
        <v>271</v>
      </c>
      <c r="I66" s="72" t="s">
        <v>2109</v>
      </c>
      <c r="J66" s="119" t="s">
        <v>73</v>
      </c>
      <c r="K66" s="71" t="s">
        <v>875</v>
      </c>
      <c r="L66" s="120">
        <v>1</v>
      </c>
      <c r="M66" s="76">
        <v>5002.26611328125</v>
      </c>
      <c r="N66" s="76">
        <v>3356.87353515625</v>
      </c>
      <c r="O66" s="77"/>
      <c r="P66" s="78"/>
      <c r="Q66" s="78"/>
      <c r="R66" s="121"/>
      <c r="S66" s="49">
        <v>0</v>
      </c>
      <c r="T66" s="49">
        <v>3</v>
      </c>
      <c r="U66" s="50">
        <v>0</v>
      </c>
      <c r="V66" s="50">
        <v>0.005376</v>
      </c>
      <c r="W66" s="50">
        <v>0.009884</v>
      </c>
      <c r="X66" s="50">
        <v>0.519233</v>
      </c>
      <c r="Y66" s="50">
        <v>0.6666666666666666</v>
      </c>
      <c r="Z66" s="50">
        <v>0</v>
      </c>
      <c r="AA66" s="73">
        <v>66</v>
      </c>
      <c r="AB66" s="73"/>
      <c r="AC66" s="74"/>
      <c r="AD66" s="90" t="s">
        <v>620</v>
      </c>
      <c r="AE66" s="99" t="s">
        <v>700</v>
      </c>
      <c r="AF66" s="90">
        <v>1468</v>
      </c>
      <c r="AG66" s="90">
        <v>16930</v>
      </c>
      <c r="AH66" s="90">
        <v>8409</v>
      </c>
      <c r="AI66" s="90">
        <v>8217</v>
      </c>
      <c r="AJ66" s="90"/>
      <c r="AK66" s="90" t="s">
        <v>778</v>
      </c>
      <c r="AL66" s="90" t="s">
        <v>806</v>
      </c>
      <c r="AM66" s="96" t="str">
        <f>HYPERLINK("https://t.co/hbLLX48Czr")</f>
        <v>https://t.co/hbLLX48Czr</v>
      </c>
      <c r="AN66" s="90"/>
      <c r="AO66" s="93">
        <v>40964.41284722222</v>
      </c>
      <c r="AP66" s="96" t="str">
        <f>HYPERLINK("https://pbs.twimg.com/profile_banners/502777215/1559563918")</f>
        <v>https://pbs.twimg.com/profile_banners/502777215/1559563918</v>
      </c>
      <c r="AQ66" s="90" t="b">
        <v>0</v>
      </c>
      <c r="AR66" s="90" t="b">
        <v>0</v>
      </c>
      <c r="AS66" s="90" t="b">
        <v>1</v>
      </c>
      <c r="AT66" s="90"/>
      <c r="AU66" s="90">
        <v>112</v>
      </c>
      <c r="AV66" s="96" t="str">
        <f>HYPERLINK("https://abs.twimg.com/images/themes/theme1/bg.png")</f>
        <v>https://abs.twimg.com/images/themes/theme1/bg.png</v>
      </c>
      <c r="AW66" s="90" t="b">
        <v>0</v>
      </c>
      <c r="AX66" s="90" t="s">
        <v>827</v>
      </c>
      <c r="AY66" s="96" t="str">
        <f>HYPERLINK("https://twitter.com/akikangasharju")</f>
        <v>https://twitter.com/akikangasharju</v>
      </c>
      <c r="AZ66" s="90" t="s">
        <v>66</v>
      </c>
      <c r="BA66" s="89" t="str">
        <f>REPLACE(INDEX(GroupVertices[Group],MATCH(Vertices[[#This Row],[Vertex]],GroupVertices[Vertex],0)),1,1,"")</f>
        <v>1</v>
      </c>
      <c r="BB66" s="49">
        <v>0</v>
      </c>
      <c r="BC66" s="50">
        <v>0</v>
      </c>
      <c r="BD66" s="49">
        <v>0</v>
      </c>
      <c r="BE66" s="50">
        <v>0</v>
      </c>
      <c r="BF66" s="49">
        <v>0</v>
      </c>
      <c r="BG66" s="50">
        <v>0</v>
      </c>
      <c r="BH66" s="49">
        <v>28</v>
      </c>
      <c r="BI66" s="50">
        <v>100</v>
      </c>
      <c r="BJ66" s="49">
        <v>28</v>
      </c>
      <c r="BK66" s="49" t="s">
        <v>1981</v>
      </c>
      <c r="BL66" s="49" t="s">
        <v>1981</v>
      </c>
      <c r="BM66" s="49" t="s">
        <v>334</v>
      </c>
      <c r="BN66" s="49" t="s">
        <v>334</v>
      </c>
      <c r="BO66" s="49" t="s">
        <v>338</v>
      </c>
      <c r="BP66" s="49" t="s">
        <v>338</v>
      </c>
      <c r="BQ66" s="116" t="s">
        <v>2079</v>
      </c>
      <c r="BR66" s="116" t="s">
        <v>2079</v>
      </c>
      <c r="BS66" s="116" t="s">
        <v>2092</v>
      </c>
      <c r="BT66" s="116" t="s">
        <v>2092</v>
      </c>
      <c r="BU66" s="2"/>
      <c r="BV66" s="3"/>
      <c r="BW66" s="3"/>
      <c r="BX66" s="3"/>
      <c r="BY66" s="3"/>
    </row>
    <row r="67" spans="1:77" ht="15">
      <c r="A67" s="66" t="s">
        <v>2123</v>
      </c>
      <c r="B67" s="67"/>
      <c r="C67" s="67" t="s">
        <v>64</v>
      </c>
      <c r="D67" s="68">
        <v>10</v>
      </c>
      <c r="E67" s="117"/>
      <c r="F67" s="105" t="str">
        <f>HYPERLINK("https://pbs.twimg.com/profile_images/1360590431604596738/2iSuge3F_normal.jpg")</f>
        <v>https://pbs.twimg.com/profile_images/1360590431604596738/2iSuge3F_normal.jpg</v>
      </c>
      <c r="G67" s="118"/>
      <c r="H67" s="71" t="s">
        <v>2123</v>
      </c>
      <c r="I67" s="72" t="s">
        <v>2636</v>
      </c>
      <c r="J67" s="119" t="s">
        <v>73</v>
      </c>
      <c r="K67" s="71" t="s">
        <v>2345</v>
      </c>
      <c r="L67" s="120">
        <v>129.17948717948718</v>
      </c>
      <c r="M67" s="76"/>
      <c r="N67" s="76"/>
      <c r="O67" s="77"/>
      <c r="P67" s="78"/>
      <c r="Q67" s="78"/>
      <c r="R67" s="121"/>
      <c r="S67" s="49">
        <v>1</v>
      </c>
      <c r="T67" s="49">
        <v>1</v>
      </c>
      <c r="U67" s="50">
        <v>0</v>
      </c>
      <c r="V67" s="50">
        <v>0</v>
      </c>
      <c r="W67" s="50">
        <v>0</v>
      </c>
      <c r="X67" s="50">
        <v>0.999995</v>
      </c>
      <c r="Y67" s="50">
        <v>0</v>
      </c>
      <c r="Z67" s="50">
        <v>0</v>
      </c>
      <c r="AA67" s="73">
        <v>67</v>
      </c>
      <c r="AB67" s="73"/>
      <c r="AC67" s="74"/>
      <c r="AD67" s="90" t="s">
        <v>2265</v>
      </c>
      <c r="AE67" s="99" t="s">
        <v>2289</v>
      </c>
      <c r="AF67" s="90">
        <v>771</v>
      </c>
      <c r="AG67" s="90">
        <v>507</v>
      </c>
      <c r="AH67" s="90">
        <v>809</v>
      </c>
      <c r="AI67" s="90">
        <v>4621</v>
      </c>
      <c r="AJ67" s="90"/>
      <c r="AK67" s="90" t="s">
        <v>2313</v>
      </c>
      <c r="AL67" s="90" t="s">
        <v>808</v>
      </c>
      <c r="AM67" s="96" t="str">
        <f>HYPERLINK("https://t.co/TaX5qi47RY")</f>
        <v>https://t.co/TaX5qi47RY</v>
      </c>
      <c r="AN67" s="90"/>
      <c r="AO67" s="93">
        <v>41760.781539351854</v>
      </c>
      <c r="AP67" s="96" t="str">
        <f>HYPERLINK("https://pbs.twimg.com/profile_banners/2472903367/1488383409")</f>
        <v>https://pbs.twimg.com/profile_banners/2472903367/1488383409</v>
      </c>
      <c r="AQ67" s="90" t="b">
        <v>0</v>
      </c>
      <c r="AR67" s="90" t="b">
        <v>0</v>
      </c>
      <c r="AS67" s="90" t="b">
        <v>1</v>
      </c>
      <c r="AT67" s="90"/>
      <c r="AU67" s="90">
        <v>5</v>
      </c>
      <c r="AV67" s="96" t="str">
        <f>HYPERLINK("https://abs.twimg.com/images/themes/theme1/bg.png")</f>
        <v>https://abs.twimg.com/images/themes/theme1/bg.png</v>
      </c>
      <c r="AW67" s="90" t="b">
        <v>0</v>
      </c>
      <c r="AX67" s="90" t="s">
        <v>827</v>
      </c>
      <c r="AY67" s="96" t="str">
        <f>HYPERLINK("https://twitter.com/nynnyki")</f>
        <v>https://twitter.com/nynnyki</v>
      </c>
      <c r="AZ67" s="90" t="s">
        <v>66</v>
      </c>
      <c r="BA67" s="89" t="str">
        <f>REPLACE(INDEX(GroupVertices[Group],MATCH(Vertices[[#This Row],[Vertex]],GroupVertices[Vertex],0)),1,1,"")</f>
        <v>4</v>
      </c>
      <c r="BB67" s="49">
        <v>0</v>
      </c>
      <c r="BC67" s="50">
        <v>0</v>
      </c>
      <c r="BD67" s="49">
        <v>0</v>
      </c>
      <c r="BE67" s="50">
        <v>0</v>
      </c>
      <c r="BF67" s="49">
        <v>0</v>
      </c>
      <c r="BG67" s="50">
        <v>0</v>
      </c>
      <c r="BH67" s="49">
        <v>21</v>
      </c>
      <c r="BI67" s="50">
        <v>100</v>
      </c>
      <c r="BJ67" s="49">
        <v>21</v>
      </c>
      <c r="BK67" s="49" t="s">
        <v>2151</v>
      </c>
      <c r="BL67" s="49" t="s">
        <v>2151</v>
      </c>
      <c r="BM67" s="49" t="s">
        <v>335</v>
      </c>
      <c r="BN67" s="49" t="s">
        <v>335</v>
      </c>
      <c r="BO67" s="49"/>
      <c r="BP67" s="49"/>
      <c r="BQ67" s="116" t="s">
        <v>2591</v>
      </c>
      <c r="BR67" s="116" t="s">
        <v>2591</v>
      </c>
      <c r="BS67" s="116" t="s">
        <v>2625</v>
      </c>
      <c r="BT67" s="116" t="s">
        <v>2625</v>
      </c>
      <c r="BU67" s="2"/>
      <c r="BV67" s="3"/>
      <c r="BW67" s="3"/>
      <c r="BX67" s="3"/>
      <c r="BY67" s="3"/>
    </row>
    <row r="68" spans="1:77" ht="15">
      <c r="A68" s="66" t="s">
        <v>272</v>
      </c>
      <c r="B68" s="67"/>
      <c r="C68" s="67" t="s">
        <v>46</v>
      </c>
      <c r="D68" s="68"/>
      <c r="E68" s="117"/>
      <c r="F68" s="105" t="str">
        <f>HYPERLINK("https://pbs.twimg.com/profile_images/1043437419067068416/sBtWkhTM_normal.jpg")</f>
        <v>https://pbs.twimg.com/profile_images/1043437419067068416/sBtWkhTM_normal.jpg</v>
      </c>
      <c r="G68" s="118"/>
      <c r="H68" s="71" t="s">
        <v>272</v>
      </c>
      <c r="I68" s="72" t="s">
        <v>2109</v>
      </c>
      <c r="J68" s="119" t="s">
        <v>73</v>
      </c>
      <c r="K68" s="71" t="s">
        <v>876</v>
      </c>
      <c r="L68" s="120">
        <v>1</v>
      </c>
      <c r="M68" s="76">
        <v>4277.74853515625</v>
      </c>
      <c r="N68" s="76">
        <v>9476.181640625</v>
      </c>
      <c r="O68" s="77"/>
      <c r="P68" s="78"/>
      <c r="Q68" s="78"/>
      <c r="R68" s="121"/>
      <c r="S68" s="49">
        <v>0</v>
      </c>
      <c r="T68" s="49">
        <v>3</v>
      </c>
      <c r="U68" s="50">
        <v>0</v>
      </c>
      <c r="V68" s="50">
        <v>0.005376</v>
      </c>
      <c r="W68" s="50">
        <v>0.009884</v>
      </c>
      <c r="X68" s="50">
        <v>0.519233</v>
      </c>
      <c r="Y68" s="50">
        <v>0.6666666666666666</v>
      </c>
      <c r="Z68" s="50">
        <v>0</v>
      </c>
      <c r="AA68" s="73">
        <v>68</v>
      </c>
      <c r="AB68" s="73"/>
      <c r="AC68" s="74"/>
      <c r="AD68" s="90" t="s">
        <v>621</v>
      </c>
      <c r="AE68" s="99" t="s">
        <v>701</v>
      </c>
      <c r="AF68" s="90">
        <v>1535</v>
      </c>
      <c r="AG68" s="90">
        <v>7939</v>
      </c>
      <c r="AH68" s="90">
        <v>46846</v>
      </c>
      <c r="AI68" s="90">
        <v>61699</v>
      </c>
      <c r="AJ68" s="90"/>
      <c r="AK68" s="90" t="s">
        <v>779</v>
      </c>
      <c r="AL68" s="90" t="s">
        <v>806</v>
      </c>
      <c r="AM68" s="96" t="str">
        <f>HYPERLINK("https://t.co/eC4rcr4zJp")</f>
        <v>https://t.co/eC4rcr4zJp</v>
      </c>
      <c r="AN68" s="90"/>
      <c r="AO68" s="93">
        <v>39838.527962962966</v>
      </c>
      <c r="AP68" s="96" t="str">
        <f>HYPERLINK("https://pbs.twimg.com/profile_banners/19486753/1493113752")</f>
        <v>https://pbs.twimg.com/profile_banners/19486753/1493113752</v>
      </c>
      <c r="AQ68" s="90" t="b">
        <v>0</v>
      </c>
      <c r="AR68" s="90" t="b">
        <v>0</v>
      </c>
      <c r="AS68" s="90" t="b">
        <v>0</v>
      </c>
      <c r="AT68" s="90"/>
      <c r="AU68" s="90">
        <v>268</v>
      </c>
      <c r="AV68" s="96" t="str">
        <f>HYPERLINK("https://abs.twimg.com/images/themes/theme15/bg.png")</f>
        <v>https://abs.twimg.com/images/themes/theme15/bg.png</v>
      </c>
      <c r="AW68" s="90" t="b">
        <v>0</v>
      </c>
      <c r="AX68" s="90" t="s">
        <v>827</v>
      </c>
      <c r="AY68" s="96" t="str">
        <f>HYPERLINK("https://twitter.com/villepeltola")</f>
        <v>https://twitter.com/villepeltola</v>
      </c>
      <c r="AZ68" s="90" t="s">
        <v>66</v>
      </c>
      <c r="BA68" s="89" t="str">
        <f>REPLACE(INDEX(GroupVertices[Group],MATCH(Vertices[[#This Row],[Vertex]],GroupVertices[Vertex],0)),1,1,"")</f>
        <v>1</v>
      </c>
      <c r="BB68" s="49">
        <v>0</v>
      </c>
      <c r="BC68" s="50">
        <v>0</v>
      </c>
      <c r="BD68" s="49">
        <v>0</v>
      </c>
      <c r="BE68" s="50">
        <v>0</v>
      </c>
      <c r="BF68" s="49">
        <v>0</v>
      </c>
      <c r="BG68" s="50">
        <v>0</v>
      </c>
      <c r="BH68" s="49">
        <v>28</v>
      </c>
      <c r="BI68" s="50">
        <v>100</v>
      </c>
      <c r="BJ68" s="49">
        <v>28</v>
      </c>
      <c r="BK68" s="49" t="s">
        <v>1981</v>
      </c>
      <c r="BL68" s="49" t="s">
        <v>1981</v>
      </c>
      <c r="BM68" s="49" t="s">
        <v>334</v>
      </c>
      <c r="BN68" s="49" t="s">
        <v>334</v>
      </c>
      <c r="BO68" s="49" t="s">
        <v>338</v>
      </c>
      <c r="BP68" s="49" t="s">
        <v>338</v>
      </c>
      <c r="BQ68" s="116" t="s">
        <v>2079</v>
      </c>
      <c r="BR68" s="116" t="s">
        <v>2079</v>
      </c>
      <c r="BS68" s="116" t="s">
        <v>2092</v>
      </c>
      <c r="BT68" s="116" t="s">
        <v>2092</v>
      </c>
      <c r="BU68" s="2"/>
      <c r="BV68" s="3"/>
      <c r="BW68" s="3"/>
      <c r="BX68" s="3"/>
      <c r="BY68" s="3"/>
    </row>
    <row r="69" spans="1:77" ht="15">
      <c r="A69" s="66" t="s">
        <v>2124</v>
      </c>
      <c r="B69" s="67"/>
      <c r="C69" s="67" t="s">
        <v>64</v>
      </c>
      <c r="D69" s="68">
        <v>10</v>
      </c>
      <c r="E69" s="117"/>
      <c r="F69" s="105" t="str">
        <f>HYPERLINK("https://pbs.twimg.com/profile_images/580837458780139520/JCyl0yQm_normal.png")</f>
        <v>https://pbs.twimg.com/profile_images/580837458780139520/JCyl0yQm_normal.png</v>
      </c>
      <c r="G69" s="118"/>
      <c r="H69" s="71" t="s">
        <v>2124</v>
      </c>
      <c r="I69" s="72" t="s">
        <v>2636</v>
      </c>
      <c r="J69" s="119" t="s">
        <v>73</v>
      </c>
      <c r="K69" s="71" t="s">
        <v>2346</v>
      </c>
      <c r="L69" s="120">
        <v>129.17948717948718</v>
      </c>
      <c r="M69" s="76"/>
      <c r="N69" s="76"/>
      <c r="O69" s="77"/>
      <c r="P69" s="78"/>
      <c r="Q69" s="78"/>
      <c r="R69" s="121"/>
      <c r="S69" s="49">
        <v>1</v>
      </c>
      <c r="T69" s="49">
        <v>1</v>
      </c>
      <c r="U69" s="50">
        <v>0</v>
      </c>
      <c r="V69" s="50">
        <v>0</v>
      </c>
      <c r="W69" s="50">
        <v>0</v>
      </c>
      <c r="X69" s="50">
        <v>0.999995</v>
      </c>
      <c r="Y69" s="50">
        <v>0</v>
      </c>
      <c r="Z69" s="50">
        <v>0</v>
      </c>
      <c r="AA69" s="73">
        <v>69</v>
      </c>
      <c r="AB69" s="73"/>
      <c r="AC69" s="74"/>
      <c r="AD69" s="90" t="s">
        <v>2266</v>
      </c>
      <c r="AE69" s="99" t="s">
        <v>2290</v>
      </c>
      <c r="AF69" s="90">
        <v>593</v>
      </c>
      <c r="AG69" s="90">
        <v>867</v>
      </c>
      <c r="AH69" s="90">
        <v>17222</v>
      </c>
      <c r="AI69" s="90">
        <v>7149</v>
      </c>
      <c r="AJ69" s="90"/>
      <c r="AK69" s="90" t="s">
        <v>2314</v>
      </c>
      <c r="AL69" s="90" t="s">
        <v>2327</v>
      </c>
      <c r="AM69" s="96" t="str">
        <f>HYPERLINK("https://t.co/MMWO5VEuTb")</f>
        <v>https://t.co/MMWO5VEuTb</v>
      </c>
      <c r="AN69" s="90"/>
      <c r="AO69" s="93">
        <v>40797.08445601852</v>
      </c>
      <c r="AP69" s="96" t="str">
        <f>HYPERLINK("https://pbs.twimg.com/profile_banners/371540544/1615386776")</f>
        <v>https://pbs.twimg.com/profile_banners/371540544/1615386776</v>
      </c>
      <c r="AQ69" s="90" t="b">
        <v>0</v>
      </c>
      <c r="AR69" s="90" t="b">
        <v>0</v>
      </c>
      <c r="AS69" s="90" t="b">
        <v>1</v>
      </c>
      <c r="AT69" s="90"/>
      <c r="AU69" s="90">
        <v>131</v>
      </c>
      <c r="AV69" s="96" t="str">
        <f>HYPERLINK("https://abs.twimg.com/images/themes/theme1/bg.png")</f>
        <v>https://abs.twimg.com/images/themes/theme1/bg.png</v>
      </c>
      <c r="AW69" s="90" t="b">
        <v>0</v>
      </c>
      <c r="AX69" s="90" t="s">
        <v>827</v>
      </c>
      <c r="AY69" s="96" t="str">
        <f>HYPERLINK("https://twitter.com/boulderd")</f>
        <v>https://twitter.com/boulderd</v>
      </c>
      <c r="AZ69" s="90" t="s">
        <v>66</v>
      </c>
      <c r="BA69" s="89" t="str">
        <f>REPLACE(INDEX(GroupVertices[Group],MATCH(Vertices[[#This Row],[Vertex]],GroupVertices[Vertex],0)),1,1,"")</f>
        <v>4</v>
      </c>
      <c r="BB69" s="49">
        <v>0</v>
      </c>
      <c r="BC69" s="50">
        <v>0</v>
      </c>
      <c r="BD69" s="49">
        <v>0</v>
      </c>
      <c r="BE69" s="50">
        <v>0</v>
      </c>
      <c r="BF69" s="49">
        <v>0</v>
      </c>
      <c r="BG69" s="50">
        <v>0</v>
      </c>
      <c r="BH69" s="49">
        <v>13</v>
      </c>
      <c r="BI69" s="50">
        <v>100</v>
      </c>
      <c r="BJ69" s="49">
        <v>13</v>
      </c>
      <c r="BK69" s="49" t="s">
        <v>1981</v>
      </c>
      <c r="BL69" s="49" t="s">
        <v>1981</v>
      </c>
      <c r="BM69" s="49" t="s">
        <v>334</v>
      </c>
      <c r="BN69" s="49" t="s">
        <v>334</v>
      </c>
      <c r="BO69" s="49"/>
      <c r="BP69" s="49"/>
      <c r="BQ69" s="116" t="s">
        <v>2592</v>
      </c>
      <c r="BR69" s="116" t="s">
        <v>2592</v>
      </c>
      <c r="BS69" s="116" t="s">
        <v>2626</v>
      </c>
      <c r="BT69" s="116" t="s">
        <v>2626</v>
      </c>
      <c r="BU69" s="2"/>
      <c r="BV69" s="3"/>
      <c r="BW69" s="3"/>
      <c r="BX69" s="3"/>
      <c r="BY69" s="3"/>
    </row>
    <row r="70" spans="1:77" ht="15">
      <c r="A70" s="66" t="s">
        <v>275</v>
      </c>
      <c r="B70" s="67"/>
      <c r="C70" s="67" t="s">
        <v>46</v>
      </c>
      <c r="D70" s="68"/>
      <c r="E70" s="117"/>
      <c r="F70" s="105" t="str">
        <f>HYPERLINK("https://pbs.twimg.com/profile_images/1439536248809525255/JOANLzZ9_normal.jpg")</f>
        <v>https://pbs.twimg.com/profile_images/1439536248809525255/JOANLzZ9_normal.jpg</v>
      </c>
      <c r="G70" s="118"/>
      <c r="H70" s="71" t="s">
        <v>275</v>
      </c>
      <c r="I70" s="72" t="s">
        <v>2109</v>
      </c>
      <c r="J70" s="119" t="s">
        <v>73</v>
      </c>
      <c r="K70" s="71" t="s">
        <v>877</v>
      </c>
      <c r="L70" s="120">
        <v>1</v>
      </c>
      <c r="M70" s="76">
        <v>4406.271484375</v>
      </c>
      <c r="N70" s="76">
        <v>7602.1298828125</v>
      </c>
      <c r="O70" s="77"/>
      <c r="P70" s="78"/>
      <c r="Q70" s="78"/>
      <c r="R70" s="121"/>
      <c r="S70" s="49">
        <v>0</v>
      </c>
      <c r="T70" s="49">
        <v>3</v>
      </c>
      <c r="U70" s="50">
        <v>0</v>
      </c>
      <c r="V70" s="50">
        <v>0.004854</v>
      </c>
      <c r="W70" s="50">
        <v>0.006661</v>
      </c>
      <c r="X70" s="50">
        <v>0.541883</v>
      </c>
      <c r="Y70" s="50">
        <v>0.5</v>
      </c>
      <c r="Z70" s="50">
        <v>0</v>
      </c>
      <c r="AA70" s="73">
        <v>70</v>
      </c>
      <c r="AB70" s="73"/>
      <c r="AC70" s="74"/>
      <c r="AD70" s="90" t="s">
        <v>623</v>
      </c>
      <c r="AE70" s="99" t="s">
        <v>703</v>
      </c>
      <c r="AF70" s="90">
        <v>361</v>
      </c>
      <c r="AG70" s="90">
        <v>143</v>
      </c>
      <c r="AH70" s="90">
        <v>441</v>
      </c>
      <c r="AI70" s="90">
        <v>3538</v>
      </c>
      <c r="AJ70" s="90"/>
      <c r="AK70" s="90" t="s">
        <v>781</v>
      </c>
      <c r="AL70" s="90"/>
      <c r="AM70" s="90"/>
      <c r="AN70" s="90"/>
      <c r="AO70" s="93">
        <v>42648.5108912037</v>
      </c>
      <c r="AP70" s="90"/>
      <c r="AQ70" s="90" t="b">
        <v>1</v>
      </c>
      <c r="AR70" s="90" t="b">
        <v>0</v>
      </c>
      <c r="AS70" s="90" t="b">
        <v>1</v>
      </c>
      <c r="AT70" s="90"/>
      <c r="AU70" s="90">
        <v>1</v>
      </c>
      <c r="AV70" s="90"/>
      <c r="AW70" s="90" t="b">
        <v>0</v>
      </c>
      <c r="AX70" s="90" t="s">
        <v>827</v>
      </c>
      <c r="AY70" s="96" t="str">
        <f>HYPERLINK("https://twitter.com/rebekka_nylund")</f>
        <v>https://twitter.com/rebekka_nylund</v>
      </c>
      <c r="AZ70" s="90" t="s">
        <v>66</v>
      </c>
      <c r="BA70" s="89" t="str">
        <f>REPLACE(INDEX(GroupVertices[Group],MATCH(Vertices[[#This Row],[Vertex]],GroupVertices[Vertex],0)),1,1,"")</f>
        <v>1</v>
      </c>
      <c r="BB70" s="49">
        <v>0</v>
      </c>
      <c r="BC70" s="50">
        <v>0</v>
      </c>
      <c r="BD70" s="49">
        <v>0</v>
      </c>
      <c r="BE70" s="50">
        <v>0</v>
      </c>
      <c r="BF70" s="49">
        <v>0</v>
      </c>
      <c r="BG70" s="50">
        <v>0</v>
      </c>
      <c r="BH70" s="49">
        <v>28</v>
      </c>
      <c r="BI70" s="50">
        <v>100</v>
      </c>
      <c r="BJ70" s="49">
        <v>28</v>
      </c>
      <c r="BK70" s="49" t="s">
        <v>1982</v>
      </c>
      <c r="BL70" s="49" t="s">
        <v>1982</v>
      </c>
      <c r="BM70" s="49" t="s">
        <v>333</v>
      </c>
      <c r="BN70" s="49" t="s">
        <v>333</v>
      </c>
      <c r="BO70" s="49" t="s">
        <v>341</v>
      </c>
      <c r="BP70" s="49" t="s">
        <v>341</v>
      </c>
      <c r="BQ70" s="116" t="s">
        <v>2590</v>
      </c>
      <c r="BR70" s="116" t="s">
        <v>2590</v>
      </c>
      <c r="BS70" s="116" t="s">
        <v>2099</v>
      </c>
      <c r="BT70" s="116" t="s">
        <v>2099</v>
      </c>
      <c r="BU70" s="2"/>
      <c r="BV70" s="3"/>
      <c r="BW70" s="3"/>
      <c r="BX70" s="3"/>
      <c r="BY70" s="3"/>
    </row>
    <row r="71" spans="1:77" ht="15">
      <c r="A71" s="66" t="s">
        <v>276</v>
      </c>
      <c r="B71" s="67"/>
      <c r="C71" s="67" t="s">
        <v>46</v>
      </c>
      <c r="D71" s="68"/>
      <c r="E71" s="117"/>
      <c r="F71" s="105" t="str">
        <f>HYPERLINK("https://pbs.twimg.com/profile_images/1392763447977316353/T1H04Ksh_normal.jpg")</f>
        <v>https://pbs.twimg.com/profile_images/1392763447977316353/T1H04Ksh_normal.jpg</v>
      </c>
      <c r="G71" s="118"/>
      <c r="H71" s="71" t="s">
        <v>276</v>
      </c>
      <c r="I71" s="72" t="s">
        <v>2109</v>
      </c>
      <c r="J71" s="119" t="s">
        <v>73</v>
      </c>
      <c r="K71" s="71" t="s">
        <v>878</v>
      </c>
      <c r="L71" s="120">
        <v>1</v>
      </c>
      <c r="M71" s="76">
        <v>3912.934814453125</v>
      </c>
      <c r="N71" s="76">
        <v>817.2371826171875</v>
      </c>
      <c r="O71" s="77"/>
      <c r="P71" s="78"/>
      <c r="Q71" s="78"/>
      <c r="R71" s="121"/>
      <c r="S71" s="49">
        <v>0</v>
      </c>
      <c r="T71" s="49">
        <v>3</v>
      </c>
      <c r="U71" s="50">
        <v>0</v>
      </c>
      <c r="V71" s="50">
        <v>0.005376</v>
      </c>
      <c r="W71" s="50">
        <v>0.009884</v>
      </c>
      <c r="X71" s="50">
        <v>0.519233</v>
      </c>
      <c r="Y71" s="50">
        <v>0.6666666666666666</v>
      </c>
      <c r="Z71" s="50">
        <v>0</v>
      </c>
      <c r="AA71" s="73">
        <v>71</v>
      </c>
      <c r="AB71" s="73"/>
      <c r="AC71" s="74"/>
      <c r="AD71" s="90" t="s">
        <v>624</v>
      </c>
      <c r="AE71" s="99" t="s">
        <v>704</v>
      </c>
      <c r="AF71" s="90">
        <v>1009</v>
      </c>
      <c r="AG71" s="90">
        <v>198</v>
      </c>
      <c r="AH71" s="90">
        <v>4365</v>
      </c>
      <c r="AI71" s="90">
        <v>9117</v>
      </c>
      <c r="AJ71" s="90"/>
      <c r="AK71" s="90" t="s">
        <v>782</v>
      </c>
      <c r="AL71" s="90" t="s">
        <v>821</v>
      </c>
      <c r="AM71" s="90"/>
      <c r="AN71" s="90"/>
      <c r="AO71" s="93">
        <v>42270.82982638889</v>
      </c>
      <c r="AP71" s="96" t="str">
        <f>HYPERLINK("https://pbs.twimg.com/profile_banners/3662561292/1626186344")</f>
        <v>https://pbs.twimg.com/profile_banners/3662561292/1626186344</v>
      </c>
      <c r="AQ71" s="90" t="b">
        <v>0</v>
      </c>
      <c r="AR71" s="90" t="b">
        <v>0</v>
      </c>
      <c r="AS71" s="90" t="b">
        <v>0</v>
      </c>
      <c r="AT71" s="90"/>
      <c r="AU71" s="90">
        <v>6</v>
      </c>
      <c r="AV71" s="96" t="str">
        <f>HYPERLINK("https://abs.twimg.com/images/themes/theme1/bg.png")</f>
        <v>https://abs.twimg.com/images/themes/theme1/bg.png</v>
      </c>
      <c r="AW71" s="90" t="b">
        <v>0</v>
      </c>
      <c r="AX71" s="90" t="s">
        <v>827</v>
      </c>
      <c r="AY71" s="96" t="str">
        <f>HYPERLINK("https://twitter.com/anttihuotari7")</f>
        <v>https://twitter.com/anttihuotari7</v>
      </c>
      <c r="AZ71" s="90" t="s">
        <v>66</v>
      </c>
      <c r="BA71" s="89" t="str">
        <f>REPLACE(INDEX(GroupVertices[Group],MATCH(Vertices[[#This Row],[Vertex]],GroupVertices[Vertex],0)),1,1,"")</f>
        <v>1</v>
      </c>
      <c r="BB71" s="49">
        <v>0</v>
      </c>
      <c r="BC71" s="50">
        <v>0</v>
      </c>
      <c r="BD71" s="49">
        <v>0</v>
      </c>
      <c r="BE71" s="50">
        <v>0</v>
      </c>
      <c r="BF71" s="49">
        <v>0</v>
      </c>
      <c r="BG71" s="50">
        <v>0</v>
      </c>
      <c r="BH71" s="49">
        <v>28</v>
      </c>
      <c r="BI71" s="50">
        <v>100</v>
      </c>
      <c r="BJ71" s="49">
        <v>28</v>
      </c>
      <c r="BK71" s="49" t="s">
        <v>1981</v>
      </c>
      <c r="BL71" s="49" t="s">
        <v>1981</v>
      </c>
      <c r="BM71" s="49" t="s">
        <v>334</v>
      </c>
      <c r="BN71" s="49" t="s">
        <v>334</v>
      </c>
      <c r="BO71" s="49" t="s">
        <v>338</v>
      </c>
      <c r="BP71" s="49" t="s">
        <v>338</v>
      </c>
      <c r="BQ71" s="116" t="s">
        <v>2079</v>
      </c>
      <c r="BR71" s="116" t="s">
        <v>2079</v>
      </c>
      <c r="BS71" s="116" t="s">
        <v>2092</v>
      </c>
      <c r="BT71" s="116" t="s">
        <v>2092</v>
      </c>
      <c r="BU71" s="2"/>
      <c r="BV71" s="3"/>
      <c r="BW71" s="3"/>
      <c r="BX71" s="3"/>
      <c r="BY71" s="3"/>
    </row>
    <row r="72" spans="1:77" ht="15">
      <c r="A72" s="66" t="s">
        <v>277</v>
      </c>
      <c r="B72" s="67"/>
      <c r="C72" s="67" t="s">
        <v>46</v>
      </c>
      <c r="D72" s="68"/>
      <c r="E72" s="117"/>
      <c r="F72" s="105" t="str">
        <f>HYPERLINK("https://pbs.twimg.com/profile_images/1287302233772765186/F6vy7zVo_normal.jpg")</f>
        <v>https://pbs.twimg.com/profile_images/1287302233772765186/F6vy7zVo_normal.jpg</v>
      </c>
      <c r="G72" s="118"/>
      <c r="H72" s="71" t="s">
        <v>277</v>
      </c>
      <c r="I72" s="72" t="s">
        <v>2109</v>
      </c>
      <c r="J72" s="119" t="s">
        <v>73</v>
      </c>
      <c r="K72" s="71" t="s">
        <v>879</v>
      </c>
      <c r="L72" s="120">
        <v>1</v>
      </c>
      <c r="M72" s="76">
        <v>4431.8955078125</v>
      </c>
      <c r="N72" s="76">
        <v>615.8782348632812</v>
      </c>
      <c r="O72" s="77"/>
      <c r="P72" s="78"/>
      <c r="Q72" s="78"/>
      <c r="R72" s="121"/>
      <c r="S72" s="49">
        <v>0</v>
      </c>
      <c r="T72" s="49">
        <v>3</v>
      </c>
      <c r="U72" s="50">
        <v>0</v>
      </c>
      <c r="V72" s="50">
        <v>0.005376</v>
      </c>
      <c r="W72" s="50">
        <v>0.009884</v>
      </c>
      <c r="X72" s="50">
        <v>0.519233</v>
      </c>
      <c r="Y72" s="50">
        <v>0.6666666666666666</v>
      </c>
      <c r="Z72" s="50">
        <v>0</v>
      </c>
      <c r="AA72" s="73">
        <v>72</v>
      </c>
      <c r="AB72" s="73"/>
      <c r="AC72" s="74"/>
      <c r="AD72" s="90" t="s">
        <v>625</v>
      </c>
      <c r="AE72" s="99" t="s">
        <v>705</v>
      </c>
      <c r="AF72" s="90">
        <v>612</v>
      </c>
      <c r="AG72" s="90">
        <v>479</v>
      </c>
      <c r="AH72" s="90">
        <v>884</v>
      </c>
      <c r="AI72" s="90">
        <v>4053</v>
      </c>
      <c r="AJ72" s="90"/>
      <c r="AK72" s="90" t="s">
        <v>783</v>
      </c>
      <c r="AL72" s="90" t="s">
        <v>808</v>
      </c>
      <c r="AM72" s="96" t="str">
        <f>HYPERLINK("https://t.co/1bi2R1Mfuc")</f>
        <v>https://t.co/1bi2R1Mfuc</v>
      </c>
      <c r="AN72" s="90"/>
      <c r="AO72" s="93">
        <v>42152.51186342593</v>
      </c>
      <c r="AP72" s="96" t="str">
        <f>HYPERLINK("https://pbs.twimg.com/profile_banners/3301658513/1633186393")</f>
        <v>https://pbs.twimg.com/profile_banners/3301658513/1633186393</v>
      </c>
      <c r="AQ72" s="90" t="b">
        <v>0</v>
      </c>
      <c r="AR72" s="90" t="b">
        <v>0</v>
      </c>
      <c r="AS72" s="90" t="b">
        <v>1</v>
      </c>
      <c r="AT72" s="90"/>
      <c r="AU72" s="90">
        <v>3</v>
      </c>
      <c r="AV72" s="96" t="str">
        <f>HYPERLINK("https://abs.twimg.com/images/themes/theme1/bg.png")</f>
        <v>https://abs.twimg.com/images/themes/theme1/bg.png</v>
      </c>
      <c r="AW72" s="90" t="b">
        <v>0</v>
      </c>
      <c r="AX72" s="90" t="s">
        <v>827</v>
      </c>
      <c r="AY72" s="96" t="str">
        <f>HYPERLINK("https://twitter.com/janneartell")</f>
        <v>https://twitter.com/janneartell</v>
      </c>
      <c r="AZ72" s="90" t="s">
        <v>66</v>
      </c>
      <c r="BA72" s="89" t="str">
        <f>REPLACE(INDEX(GroupVertices[Group],MATCH(Vertices[[#This Row],[Vertex]],GroupVertices[Vertex],0)),1,1,"")</f>
        <v>1</v>
      </c>
      <c r="BB72" s="49">
        <v>0</v>
      </c>
      <c r="BC72" s="50">
        <v>0</v>
      </c>
      <c r="BD72" s="49">
        <v>0</v>
      </c>
      <c r="BE72" s="50">
        <v>0</v>
      </c>
      <c r="BF72" s="49">
        <v>0</v>
      </c>
      <c r="BG72" s="50">
        <v>0</v>
      </c>
      <c r="BH72" s="49">
        <v>28</v>
      </c>
      <c r="BI72" s="50">
        <v>100</v>
      </c>
      <c r="BJ72" s="49">
        <v>28</v>
      </c>
      <c r="BK72" s="49" t="s">
        <v>1981</v>
      </c>
      <c r="BL72" s="49" t="s">
        <v>1981</v>
      </c>
      <c r="BM72" s="49" t="s">
        <v>334</v>
      </c>
      <c r="BN72" s="49" t="s">
        <v>334</v>
      </c>
      <c r="BO72" s="49" t="s">
        <v>338</v>
      </c>
      <c r="BP72" s="49" t="s">
        <v>338</v>
      </c>
      <c r="BQ72" s="116" t="s">
        <v>2079</v>
      </c>
      <c r="BR72" s="116" t="s">
        <v>2079</v>
      </c>
      <c r="BS72" s="116" t="s">
        <v>2092</v>
      </c>
      <c r="BT72" s="116" t="s">
        <v>2092</v>
      </c>
      <c r="BU72" s="2"/>
      <c r="BV72" s="3"/>
      <c r="BW72" s="3"/>
      <c r="BX72" s="3"/>
      <c r="BY72" s="3"/>
    </row>
    <row r="73" spans="1:77" ht="15">
      <c r="A73" s="66" t="s">
        <v>278</v>
      </c>
      <c r="B73" s="67"/>
      <c r="C73" s="67" t="s">
        <v>46</v>
      </c>
      <c r="D73" s="68"/>
      <c r="E73" s="117"/>
      <c r="F73" s="105" t="str">
        <f>HYPERLINK("https://pbs.twimg.com/profile_images/946382273477332994/9bk3am2r_normal.jpg")</f>
        <v>https://pbs.twimg.com/profile_images/946382273477332994/9bk3am2r_normal.jpg</v>
      </c>
      <c r="G73" s="118"/>
      <c r="H73" s="71" t="s">
        <v>278</v>
      </c>
      <c r="I73" s="72" t="s">
        <v>2109</v>
      </c>
      <c r="J73" s="119" t="s">
        <v>73</v>
      </c>
      <c r="K73" s="71" t="s">
        <v>880</v>
      </c>
      <c r="L73" s="120">
        <v>1</v>
      </c>
      <c r="M73" s="76">
        <v>5239.90869140625</v>
      </c>
      <c r="N73" s="76">
        <v>6527.1064453125</v>
      </c>
      <c r="O73" s="77"/>
      <c r="P73" s="78"/>
      <c r="Q73" s="78"/>
      <c r="R73" s="121"/>
      <c r="S73" s="49">
        <v>0</v>
      </c>
      <c r="T73" s="49">
        <v>3</v>
      </c>
      <c r="U73" s="50">
        <v>0</v>
      </c>
      <c r="V73" s="50">
        <v>0.004854</v>
      </c>
      <c r="W73" s="50">
        <v>0.00684</v>
      </c>
      <c r="X73" s="50">
        <v>0.539013</v>
      </c>
      <c r="Y73" s="50">
        <v>0.5</v>
      </c>
      <c r="Z73" s="50">
        <v>0</v>
      </c>
      <c r="AA73" s="73">
        <v>73</v>
      </c>
      <c r="AB73" s="73"/>
      <c r="AC73" s="74"/>
      <c r="AD73" s="90" t="s">
        <v>626</v>
      </c>
      <c r="AE73" s="99" t="s">
        <v>706</v>
      </c>
      <c r="AF73" s="90">
        <v>2177</v>
      </c>
      <c r="AG73" s="90">
        <v>2629</v>
      </c>
      <c r="AH73" s="90">
        <v>10964</v>
      </c>
      <c r="AI73" s="90">
        <v>39558</v>
      </c>
      <c r="AJ73" s="90"/>
      <c r="AK73" s="90" t="s">
        <v>784</v>
      </c>
      <c r="AL73" s="90" t="s">
        <v>822</v>
      </c>
      <c r="AM73" s="96" t="str">
        <f>HYPERLINK("https://t.co/po2ssbmDIq")</f>
        <v>https://t.co/po2ssbmDIq</v>
      </c>
      <c r="AN73" s="90"/>
      <c r="AO73" s="93">
        <v>42999.81285879629</v>
      </c>
      <c r="AP73" s="96" t="str">
        <f>HYPERLINK("https://pbs.twimg.com/profile_banners/910949378688417798/1633174178")</f>
        <v>https://pbs.twimg.com/profile_banners/910949378688417798/1633174178</v>
      </c>
      <c r="AQ73" s="90" t="b">
        <v>1</v>
      </c>
      <c r="AR73" s="90" t="b">
        <v>0</v>
      </c>
      <c r="AS73" s="90" t="b">
        <v>0</v>
      </c>
      <c r="AT73" s="90"/>
      <c r="AU73" s="90">
        <v>7</v>
      </c>
      <c r="AV73" s="90"/>
      <c r="AW73" s="90" t="b">
        <v>0</v>
      </c>
      <c r="AX73" s="90" t="s">
        <v>827</v>
      </c>
      <c r="AY73" s="96" t="str">
        <f>HYPERLINK("https://twitter.com/vuokkotee")</f>
        <v>https://twitter.com/vuokkotee</v>
      </c>
      <c r="AZ73" s="90" t="s">
        <v>66</v>
      </c>
      <c r="BA73" s="89" t="str">
        <f>REPLACE(INDEX(GroupVertices[Group],MATCH(Vertices[[#This Row],[Vertex]],GroupVertices[Vertex],0)),1,1,"")</f>
        <v>1</v>
      </c>
      <c r="BB73" s="49">
        <v>0</v>
      </c>
      <c r="BC73" s="50">
        <v>0</v>
      </c>
      <c r="BD73" s="49">
        <v>0</v>
      </c>
      <c r="BE73" s="50">
        <v>0</v>
      </c>
      <c r="BF73" s="49">
        <v>0</v>
      </c>
      <c r="BG73" s="50">
        <v>0</v>
      </c>
      <c r="BH73" s="49">
        <v>14</v>
      </c>
      <c r="BI73" s="50">
        <v>100</v>
      </c>
      <c r="BJ73" s="49">
        <v>14</v>
      </c>
      <c r="BK73" s="49" t="s">
        <v>331</v>
      </c>
      <c r="BL73" s="49" t="s">
        <v>331</v>
      </c>
      <c r="BM73" s="49" t="s">
        <v>335</v>
      </c>
      <c r="BN73" s="49" t="s">
        <v>335</v>
      </c>
      <c r="BO73" s="49" t="s">
        <v>342</v>
      </c>
      <c r="BP73" s="49" t="s">
        <v>342</v>
      </c>
      <c r="BQ73" s="116" t="s">
        <v>2593</v>
      </c>
      <c r="BR73" s="116" t="s">
        <v>2593</v>
      </c>
      <c r="BS73" s="116" t="s">
        <v>2100</v>
      </c>
      <c r="BT73" s="116" t="s">
        <v>2100</v>
      </c>
      <c r="BU73" s="2"/>
      <c r="BV73" s="3"/>
      <c r="BW73" s="3"/>
      <c r="BX73" s="3"/>
      <c r="BY73" s="3"/>
    </row>
    <row r="74" spans="1:77" ht="15">
      <c r="A74" s="66" t="s">
        <v>294</v>
      </c>
      <c r="B74" s="67"/>
      <c r="C74" s="67" t="s">
        <v>64</v>
      </c>
      <c r="D74" s="68">
        <v>252.20403669704376</v>
      </c>
      <c r="E74" s="117"/>
      <c r="F74" s="105" t="str">
        <f>HYPERLINK("https://pbs.twimg.com/profile_images/1444247380816191488/wG2tj32l_normal.jpg")</f>
        <v>https://pbs.twimg.com/profile_images/1444247380816191488/wG2tj32l_normal.jpg</v>
      </c>
      <c r="G74" s="118"/>
      <c r="H74" s="71" t="s">
        <v>294</v>
      </c>
      <c r="I74" s="72" t="s">
        <v>2109</v>
      </c>
      <c r="J74" s="119" t="s">
        <v>73</v>
      </c>
      <c r="K74" s="71" t="s">
        <v>881</v>
      </c>
      <c r="L74" s="120">
        <v>257.35897435897436</v>
      </c>
      <c r="M74" s="76">
        <v>4975.77001953125</v>
      </c>
      <c r="N74" s="76">
        <v>7371.96484375</v>
      </c>
      <c r="O74" s="77"/>
      <c r="P74" s="78"/>
      <c r="Q74" s="78"/>
      <c r="R74" s="121"/>
      <c r="S74" s="49">
        <v>2</v>
      </c>
      <c r="T74" s="49">
        <v>2</v>
      </c>
      <c r="U74" s="50">
        <v>9.357424</v>
      </c>
      <c r="V74" s="50">
        <v>0.005405</v>
      </c>
      <c r="W74" s="50">
        <v>0.010309</v>
      </c>
      <c r="X74" s="50">
        <v>0.671953</v>
      </c>
      <c r="Y74" s="50">
        <v>0.5</v>
      </c>
      <c r="Z74" s="50">
        <v>0</v>
      </c>
      <c r="AA74" s="73">
        <v>74</v>
      </c>
      <c r="AB74" s="73"/>
      <c r="AC74" s="74"/>
      <c r="AD74" s="90" t="s">
        <v>627</v>
      </c>
      <c r="AE74" s="99" t="s">
        <v>707</v>
      </c>
      <c r="AF74" s="90">
        <v>5562</v>
      </c>
      <c r="AG74" s="90">
        <v>5167</v>
      </c>
      <c r="AH74" s="90">
        <v>7449</v>
      </c>
      <c r="AI74" s="90">
        <v>26937</v>
      </c>
      <c r="AJ74" s="90"/>
      <c r="AK74" s="90" t="s">
        <v>785</v>
      </c>
      <c r="AL74" s="90" t="s">
        <v>808</v>
      </c>
      <c r="AM74" s="90"/>
      <c r="AN74" s="90"/>
      <c r="AO74" s="93">
        <v>43186.3990162037</v>
      </c>
      <c r="AP74" s="96" t="str">
        <f>HYPERLINK("https://pbs.twimg.com/profile_banners/978565938013450240/1613595570")</f>
        <v>https://pbs.twimg.com/profile_banners/978565938013450240/1613595570</v>
      </c>
      <c r="AQ74" s="90" t="b">
        <v>0</v>
      </c>
      <c r="AR74" s="90" t="b">
        <v>0</v>
      </c>
      <c r="AS74" s="90" t="b">
        <v>1</v>
      </c>
      <c r="AT74" s="90"/>
      <c r="AU74" s="90">
        <v>9</v>
      </c>
      <c r="AV74" s="96" t="str">
        <f>HYPERLINK("https://abs.twimg.com/images/themes/theme1/bg.png")</f>
        <v>https://abs.twimg.com/images/themes/theme1/bg.png</v>
      </c>
      <c r="AW74" s="90" t="b">
        <v>0</v>
      </c>
      <c r="AX74" s="90" t="s">
        <v>827</v>
      </c>
      <c r="AY74" s="96" t="str">
        <f>HYPERLINK("https://twitter.com/sklehtonen")</f>
        <v>https://twitter.com/sklehtonen</v>
      </c>
      <c r="AZ74" s="90" t="s">
        <v>66</v>
      </c>
      <c r="BA74" s="89" t="str">
        <f>REPLACE(INDEX(GroupVertices[Group],MATCH(Vertices[[#This Row],[Vertex]],GroupVertices[Vertex],0)),1,1,"")</f>
        <v>1</v>
      </c>
      <c r="BB74" s="49">
        <v>0</v>
      </c>
      <c r="BC74" s="50">
        <v>0</v>
      </c>
      <c r="BD74" s="49">
        <v>0</v>
      </c>
      <c r="BE74" s="50">
        <v>0</v>
      </c>
      <c r="BF74" s="49">
        <v>0</v>
      </c>
      <c r="BG74" s="50">
        <v>0</v>
      </c>
      <c r="BH74" s="49">
        <v>14</v>
      </c>
      <c r="BI74" s="50">
        <v>100</v>
      </c>
      <c r="BJ74" s="49">
        <v>14</v>
      </c>
      <c r="BK74" s="49" t="s">
        <v>331</v>
      </c>
      <c r="BL74" s="49" t="s">
        <v>331</v>
      </c>
      <c r="BM74" s="49" t="s">
        <v>335</v>
      </c>
      <c r="BN74" s="49" t="s">
        <v>335</v>
      </c>
      <c r="BO74" s="49" t="s">
        <v>342</v>
      </c>
      <c r="BP74" s="49" t="s">
        <v>342</v>
      </c>
      <c r="BQ74" s="116" t="s">
        <v>2593</v>
      </c>
      <c r="BR74" s="116" t="s">
        <v>2593</v>
      </c>
      <c r="BS74" s="116" t="s">
        <v>2100</v>
      </c>
      <c r="BT74" s="116" t="s">
        <v>2100</v>
      </c>
      <c r="BU74" s="2"/>
      <c r="BV74" s="3"/>
      <c r="BW74" s="3"/>
      <c r="BX74" s="3"/>
      <c r="BY74" s="3"/>
    </row>
    <row r="75" spans="1:77" ht="15">
      <c r="A75" s="66" t="s">
        <v>279</v>
      </c>
      <c r="B75" s="67"/>
      <c r="C75" s="67" t="s">
        <v>46</v>
      </c>
      <c r="D75" s="68"/>
      <c r="E75" s="117"/>
      <c r="F75" s="105" t="str">
        <f>HYPERLINK("https://pbs.twimg.com/profile_images/1326628349196767233/oW-Q8IPL_normal.jpg")</f>
        <v>https://pbs.twimg.com/profile_images/1326628349196767233/oW-Q8IPL_normal.jpg</v>
      </c>
      <c r="G75" s="118"/>
      <c r="H75" s="71" t="s">
        <v>279</v>
      </c>
      <c r="I75" s="72" t="s">
        <v>2109</v>
      </c>
      <c r="J75" s="119" t="s">
        <v>73</v>
      </c>
      <c r="K75" s="71" t="s">
        <v>882</v>
      </c>
      <c r="L75" s="120">
        <v>1</v>
      </c>
      <c r="M75" s="76">
        <v>1635.0050048828125</v>
      </c>
      <c r="N75" s="76">
        <v>5153.9951171875</v>
      </c>
      <c r="O75" s="77"/>
      <c r="P75" s="78"/>
      <c r="Q75" s="78"/>
      <c r="R75" s="121"/>
      <c r="S75" s="49">
        <v>0</v>
      </c>
      <c r="T75" s="49">
        <v>2</v>
      </c>
      <c r="U75" s="50">
        <v>0</v>
      </c>
      <c r="V75" s="50">
        <v>0.004831</v>
      </c>
      <c r="W75" s="50">
        <v>0.006199</v>
      </c>
      <c r="X75" s="50">
        <v>0.396223</v>
      </c>
      <c r="Y75" s="50">
        <v>0.5</v>
      </c>
      <c r="Z75" s="50">
        <v>0</v>
      </c>
      <c r="AA75" s="73">
        <v>75</v>
      </c>
      <c r="AB75" s="73"/>
      <c r="AC75" s="74"/>
      <c r="AD75" s="90" t="s">
        <v>628</v>
      </c>
      <c r="AE75" s="99" t="s">
        <v>708</v>
      </c>
      <c r="AF75" s="90">
        <v>834</v>
      </c>
      <c r="AG75" s="90">
        <v>699</v>
      </c>
      <c r="AH75" s="90">
        <v>235</v>
      </c>
      <c r="AI75" s="90">
        <v>1469</v>
      </c>
      <c r="AJ75" s="90"/>
      <c r="AK75" s="90" t="s">
        <v>786</v>
      </c>
      <c r="AL75" s="90"/>
      <c r="AM75" s="96" t="str">
        <f>HYPERLINK("https://t.co/FBVCAatgNo")</f>
        <v>https://t.co/FBVCAatgNo</v>
      </c>
      <c r="AN75" s="90"/>
      <c r="AO75" s="93">
        <v>43625.72971064815</v>
      </c>
      <c r="AP75" s="90"/>
      <c r="AQ75" s="90" t="b">
        <v>1</v>
      </c>
      <c r="AR75" s="90" t="b">
        <v>0</v>
      </c>
      <c r="AS75" s="90" t="b">
        <v>1</v>
      </c>
      <c r="AT75" s="90"/>
      <c r="AU75" s="90">
        <v>2</v>
      </c>
      <c r="AV75" s="90"/>
      <c r="AW75" s="90" t="b">
        <v>0</v>
      </c>
      <c r="AX75" s="90" t="s">
        <v>827</v>
      </c>
      <c r="AY75" s="96" t="str">
        <f>HYPERLINK("https://twitter.com/kkouzmitchev")</f>
        <v>https://twitter.com/kkouzmitchev</v>
      </c>
      <c r="AZ75" s="90" t="s">
        <v>66</v>
      </c>
      <c r="BA75" s="89" t="str">
        <f>REPLACE(INDEX(GroupVertices[Group],MATCH(Vertices[[#This Row],[Vertex]],GroupVertices[Vertex],0)),1,1,"")</f>
        <v>1</v>
      </c>
      <c r="BB75" s="49">
        <v>0</v>
      </c>
      <c r="BC75" s="50">
        <v>0</v>
      </c>
      <c r="BD75" s="49">
        <v>0</v>
      </c>
      <c r="BE75" s="50">
        <v>0</v>
      </c>
      <c r="BF75" s="49">
        <v>0</v>
      </c>
      <c r="BG75" s="50">
        <v>0</v>
      </c>
      <c r="BH75" s="49">
        <v>11</v>
      </c>
      <c r="BI75" s="50">
        <v>100</v>
      </c>
      <c r="BJ75" s="49">
        <v>11</v>
      </c>
      <c r="BK75" s="49" t="s">
        <v>1982</v>
      </c>
      <c r="BL75" s="49" t="s">
        <v>1982</v>
      </c>
      <c r="BM75" s="49" t="s">
        <v>333</v>
      </c>
      <c r="BN75" s="49" t="s">
        <v>333</v>
      </c>
      <c r="BO75" s="49" t="s">
        <v>338</v>
      </c>
      <c r="BP75" s="49" t="s">
        <v>338</v>
      </c>
      <c r="BQ75" s="116" t="s">
        <v>2594</v>
      </c>
      <c r="BR75" s="116" t="s">
        <v>2594</v>
      </c>
      <c r="BS75" s="116" t="s">
        <v>2101</v>
      </c>
      <c r="BT75" s="116" t="s">
        <v>2101</v>
      </c>
      <c r="BU75" s="2"/>
      <c r="BV75" s="3"/>
      <c r="BW75" s="3"/>
      <c r="BX75" s="3"/>
      <c r="BY75" s="3"/>
    </row>
    <row r="76" spans="1:77" ht="15">
      <c r="A76" s="66" t="s">
        <v>280</v>
      </c>
      <c r="B76" s="67"/>
      <c r="C76" s="67" t="s">
        <v>46</v>
      </c>
      <c r="D76" s="68"/>
      <c r="E76" s="117"/>
      <c r="F76" s="105" t="str">
        <f>HYPERLINK("https://pbs.twimg.com/profile_images/1438780495035256833/fOPq2Q0F_normal.jpg")</f>
        <v>https://pbs.twimg.com/profile_images/1438780495035256833/fOPq2Q0F_normal.jpg</v>
      </c>
      <c r="G76" s="118"/>
      <c r="H76" s="71" t="s">
        <v>280</v>
      </c>
      <c r="I76" s="72" t="s">
        <v>2109</v>
      </c>
      <c r="J76" s="119" t="s">
        <v>73</v>
      </c>
      <c r="K76" s="71" t="s">
        <v>883</v>
      </c>
      <c r="L76" s="120">
        <v>1</v>
      </c>
      <c r="M76" s="76">
        <v>5565.6044921875</v>
      </c>
      <c r="N76" s="76">
        <v>7359.93896484375</v>
      </c>
      <c r="O76" s="77"/>
      <c r="P76" s="78"/>
      <c r="Q76" s="78"/>
      <c r="R76" s="121"/>
      <c r="S76" s="49">
        <v>0</v>
      </c>
      <c r="T76" s="49">
        <v>3</v>
      </c>
      <c r="U76" s="50">
        <v>0</v>
      </c>
      <c r="V76" s="50">
        <v>0.005376</v>
      </c>
      <c r="W76" s="50">
        <v>0.009884</v>
      </c>
      <c r="X76" s="50">
        <v>0.519233</v>
      </c>
      <c r="Y76" s="50">
        <v>0.6666666666666666</v>
      </c>
      <c r="Z76" s="50">
        <v>0</v>
      </c>
      <c r="AA76" s="73">
        <v>76</v>
      </c>
      <c r="AB76" s="73"/>
      <c r="AC76" s="74"/>
      <c r="AD76" s="90" t="s">
        <v>629</v>
      </c>
      <c r="AE76" s="99" t="s">
        <v>709</v>
      </c>
      <c r="AF76" s="90">
        <v>160</v>
      </c>
      <c r="AG76" s="90">
        <v>122</v>
      </c>
      <c r="AH76" s="90">
        <v>198</v>
      </c>
      <c r="AI76" s="90">
        <v>793</v>
      </c>
      <c r="AJ76" s="90"/>
      <c r="AK76" s="90" t="s">
        <v>787</v>
      </c>
      <c r="AL76" s="90"/>
      <c r="AM76" s="90"/>
      <c r="AN76" s="90"/>
      <c r="AO76" s="93">
        <v>44456.34767361111</v>
      </c>
      <c r="AP76" s="90"/>
      <c r="AQ76" s="90" t="b">
        <v>1</v>
      </c>
      <c r="AR76" s="90" t="b">
        <v>0</v>
      </c>
      <c r="AS76" s="90" t="b">
        <v>0</v>
      </c>
      <c r="AT76" s="90"/>
      <c r="AU76" s="90">
        <v>1</v>
      </c>
      <c r="AV76" s="90"/>
      <c r="AW76" s="90" t="b">
        <v>0</v>
      </c>
      <c r="AX76" s="90" t="s">
        <v>827</v>
      </c>
      <c r="AY76" s="96" t="str">
        <f>HYPERLINK("https://twitter.com/petterihaveri")</f>
        <v>https://twitter.com/petterihaveri</v>
      </c>
      <c r="AZ76" s="90" t="s">
        <v>66</v>
      </c>
      <c r="BA76" s="89" t="str">
        <f>REPLACE(INDEX(GroupVertices[Group],MATCH(Vertices[[#This Row],[Vertex]],GroupVertices[Vertex],0)),1,1,"")</f>
        <v>1</v>
      </c>
      <c r="BB76" s="49">
        <v>0</v>
      </c>
      <c r="BC76" s="50">
        <v>0</v>
      </c>
      <c r="BD76" s="49">
        <v>0</v>
      </c>
      <c r="BE76" s="50">
        <v>0</v>
      </c>
      <c r="BF76" s="49">
        <v>0</v>
      </c>
      <c r="BG76" s="50">
        <v>0</v>
      </c>
      <c r="BH76" s="49">
        <v>28</v>
      </c>
      <c r="BI76" s="50">
        <v>100</v>
      </c>
      <c r="BJ76" s="49">
        <v>28</v>
      </c>
      <c r="BK76" s="49" t="s">
        <v>1981</v>
      </c>
      <c r="BL76" s="49" t="s">
        <v>1981</v>
      </c>
      <c r="BM76" s="49" t="s">
        <v>334</v>
      </c>
      <c r="BN76" s="49" t="s">
        <v>334</v>
      </c>
      <c r="BO76" s="49" t="s">
        <v>338</v>
      </c>
      <c r="BP76" s="49" t="s">
        <v>338</v>
      </c>
      <c r="BQ76" s="116" t="s">
        <v>2079</v>
      </c>
      <c r="BR76" s="116" t="s">
        <v>2079</v>
      </c>
      <c r="BS76" s="116" t="s">
        <v>2092</v>
      </c>
      <c r="BT76" s="116" t="s">
        <v>2092</v>
      </c>
      <c r="BU76" s="2"/>
      <c r="BV76" s="3"/>
      <c r="BW76" s="3"/>
      <c r="BX76" s="3"/>
      <c r="BY76" s="3"/>
    </row>
    <row r="77" spans="1:77" ht="15">
      <c r="A77" s="66" t="s">
        <v>281</v>
      </c>
      <c r="B77" s="67"/>
      <c r="C77" s="67" t="s">
        <v>46</v>
      </c>
      <c r="D77" s="68"/>
      <c r="E77" s="117"/>
      <c r="F77" s="105" t="str">
        <f>HYPERLINK("https://pbs.twimg.com/profile_images/1440130471430610946/MlzPflSu_normal.jpg")</f>
        <v>https://pbs.twimg.com/profile_images/1440130471430610946/MlzPflSu_normal.jpg</v>
      </c>
      <c r="G77" s="118"/>
      <c r="H77" s="71" t="s">
        <v>281</v>
      </c>
      <c r="I77" s="72" t="s">
        <v>2109</v>
      </c>
      <c r="J77" s="119" t="s">
        <v>73</v>
      </c>
      <c r="K77" s="71" t="s">
        <v>884</v>
      </c>
      <c r="L77" s="120">
        <v>1</v>
      </c>
      <c r="M77" s="76">
        <v>4686.00732421875</v>
      </c>
      <c r="N77" s="76">
        <v>1548.9686279296875</v>
      </c>
      <c r="O77" s="77"/>
      <c r="P77" s="78"/>
      <c r="Q77" s="78"/>
      <c r="R77" s="121"/>
      <c r="S77" s="49">
        <v>0</v>
      </c>
      <c r="T77" s="49">
        <v>3</v>
      </c>
      <c r="U77" s="50">
        <v>0</v>
      </c>
      <c r="V77" s="50">
        <v>0.005376</v>
      </c>
      <c r="W77" s="50">
        <v>0.009884</v>
      </c>
      <c r="X77" s="50">
        <v>0.519233</v>
      </c>
      <c r="Y77" s="50">
        <v>0.6666666666666666</v>
      </c>
      <c r="Z77" s="50">
        <v>0</v>
      </c>
      <c r="AA77" s="73">
        <v>77</v>
      </c>
      <c r="AB77" s="73"/>
      <c r="AC77" s="74"/>
      <c r="AD77" s="90" t="s">
        <v>630</v>
      </c>
      <c r="AE77" s="99" t="s">
        <v>710</v>
      </c>
      <c r="AF77" s="90">
        <v>4787</v>
      </c>
      <c r="AG77" s="90">
        <v>2200</v>
      </c>
      <c r="AH77" s="90">
        <v>611</v>
      </c>
      <c r="AI77" s="90">
        <v>2854</v>
      </c>
      <c r="AJ77" s="90"/>
      <c r="AK77" s="90" t="s">
        <v>788</v>
      </c>
      <c r="AL77" s="90" t="s">
        <v>823</v>
      </c>
      <c r="AM77" s="96" t="str">
        <f>HYPERLINK("https://t.co/AHtlIu2HpK")</f>
        <v>https://t.co/AHtlIu2HpK</v>
      </c>
      <c r="AN77" s="90"/>
      <c r="AO77" s="93">
        <v>41102.68697916667</v>
      </c>
      <c r="AP77" s="96" t="str">
        <f>HYPERLINK("https://pbs.twimg.com/profile_banners/633859223/1591132389")</f>
        <v>https://pbs.twimg.com/profile_banners/633859223/1591132389</v>
      </c>
      <c r="AQ77" s="90" t="b">
        <v>0</v>
      </c>
      <c r="AR77" s="90" t="b">
        <v>0</v>
      </c>
      <c r="AS77" s="90" t="b">
        <v>1</v>
      </c>
      <c r="AT77" s="90"/>
      <c r="AU77" s="90">
        <v>28</v>
      </c>
      <c r="AV77" s="96" t="str">
        <f>HYPERLINK("https://abs.twimg.com/images/themes/theme1/bg.png")</f>
        <v>https://abs.twimg.com/images/themes/theme1/bg.png</v>
      </c>
      <c r="AW77" s="90" t="b">
        <v>0</v>
      </c>
      <c r="AX77" s="90" t="s">
        <v>827</v>
      </c>
      <c r="AY77" s="96" t="str">
        <f>HYPERLINK("https://twitter.com/joonastuhkuri")</f>
        <v>https://twitter.com/joonastuhkuri</v>
      </c>
      <c r="AZ77" s="90" t="s">
        <v>66</v>
      </c>
      <c r="BA77" s="89" t="str">
        <f>REPLACE(INDEX(GroupVertices[Group],MATCH(Vertices[[#This Row],[Vertex]],GroupVertices[Vertex],0)),1,1,"")</f>
        <v>1</v>
      </c>
      <c r="BB77" s="49">
        <v>0</v>
      </c>
      <c r="BC77" s="50">
        <v>0</v>
      </c>
      <c r="BD77" s="49">
        <v>0</v>
      </c>
      <c r="BE77" s="50">
        <v>0</v>
      </c>
      <c r="BF77" s="49">
        <v>0</v>
      </c>
      <c r="BG77" s="50">
        <v>0</v>
      </c>
      <c r="BH77" s="49">
        <v>28</v>
      </c>
      <c r="BI77" s="50">
        <v>100</v>
      </c>
      <c r="BJ77" s="49">
        <v>28</v>
      </c>
      <c r="BK77" s="49" t="s">
        <v>1981</v>
      </c>
      <c r="BL77" s="49" t="s">
        <v>1981</v>
      </c>
      <c r="BM77" s="49" t="s">
        <v>334</v>
      </c>
      <c r="BN77" s="49" t="s">
        <v>334</v>
      </c>
      <c r="BO77" s="49" t="s">
        <v>338</v>
      </c>
      <c r="BP77" s="49" t="s">
        <v>338</v>
      </c>
      <c r="BQ77" s="116" t="s">
        <v>2079</v>
      </c>
      <c r="BR77" s="116" t="s">
        <v>2079</v>
      </c>
      <c r="BS77" s="116" t="s">
        <v>2092</v>
      </c>
      <c r="BT77" s="116" t="s">
        <v>2092</v>
      </c>
      <c r="BU77" s="2"/>
      <c r="BV77" s="3"/>
      <c r="BW77" s="3"/>
      <c r="BX77" s="3"/>
      <c r="BY77" s="3"/>
    </row>
    <row r="78" spans="1:77" ht="15">
      <c r="A78" s="66" t="s">
        <v>2125</v>
      </c>
      <c r="B78" s="67"/>
      <c r="C78" s="67" t="s">
        <v>64</v>
      </c>
      <c r="D78" s="68">
        <v>252.20403669704376</v>
      </c>
      <c r="E78" s="117"/>
      <c r="F78" s="105" t="str">
        <f>HYPERLINK("https://pbs.twimg.com/profile_images/1417208819122425859/JsavfP7r_normal.jpg")</f>
        <v>https://pbs.twimg.com/profile_images/1417208819122425859/JsavfP7r_normal.jpg</v>
      </c>
      <c r="G78" s="118"/>
      <c r="H78" s="71" t="s">
        <v>2125</v>
      </c>
      <c r="I78" s="72" t="s">
        <v>2110</v>
      </c>
      <c r="J78" s="119" t="s">
        <v>73</v>
      </c>
      <c r="K78" s="71" t="s">
        <v>2347</v>
      </c>
      <c r="L78" s="120">
        <v>257.35897435897436</v>
      </c>
      <c r="M78" s="76">
        <v>9420.6005859375</v>
      </c>
      <c r="N78" s="76">
        <v>3514.222412109375</v>
      </c>
      <c r="O78" s="77"/>
      <c r="P78" s="78"/>
      <c r="Q78" s="78"/>
      <c r="R78" s="121"/>
      <c r="S78" s="49">
        <v>2</v>
      </c>
      <c r="T78" s="49">
        <v>1</v>
      </c>
      <c r="U78" s="50">
        <v>0</v>
      </c>
      <c r="V78" s="50">
        <v>1</v>
      </c>
      <c r="W78" s="50">
        <v>0</v>
      </c>
      <c r="X78" s="50">
        <v>1.298239</v>
      </c>
      <c r="Y78" s="50">
        <v>0</v>
      </c>
      <c r="Z78" s="50">
        <v>0</v>
      </c>
      <c r="AA78" s="73">
        <v>78</v>
      </c>
      <c r="AB78" s="73"/>
      <c r="AC78" s="74"/>
      <c r="AD78" s="90" t="s">
        <v>2267</v>
      </c>
      <c r="AE78" s="99" t="s">
        <v>2291</v>
      </c>
      <c r="AF78" s="90">
        <v>1085</v>
      </c>
      <c r="AG78" s="90">
        <v>1725</v>
      </c>
      <c r="AH78" s="90">
        <v>4436</v>
      </c>
      <c r="AI78" s="90">
        <v>14265</v>
      </c>
      <c r="AJ78" s="90"/>
      <c r="AK78" s="90" t="s">
        <v>2315</v>
      </c>
      <c r="AL78" s="90" t="s">
        <v>2252</v>
      </c>
      <c r="AM78" s="96" t="str">
        <f>HYPERLINK("https://t.co/2x8cmrLr9P")</f>
        <v>https://t.co/2x8cmrLr9P</v>
      </c>
      <c r="AN78" s="90"/>
      <c r="AO78" s="93">
        <v>42109.67439814815</v>
      </c>
      <c r="AP78" s="96" t="str">
        <f>HYPERLINK("https://pbs.twimg.com/profile_banners/3170468937/1600153921")</f>
        <v>https://pbs.twimg.com/profile_banners/3170468937/1600153921</v>
      </c>
      <c r="AQ78" s="90" t="b">
        <v>1</v>
      </c>
      <c r="AR78" s="90" t="b">
        <v>0</v>
      </c>
      <c r="AS78" s="90" t="b">
        <v>1</v>
      </c>
      <c r="AT78" s="90"/>
      <c r="AU78" s="90">
        <v>18</v>
      </c>
      <c r="AV78" s="96" t="str">
        <f>HYPERLINK("https://abs.twimg.com/images/themes/theme1/bg.png")</f>
        <v>https://abs.twimg.com/images/themes/theme1/bg.png</v>
      </c>
      <c r="AW78" s="90" t="b">
        <v>0</v>
      </c>
      <c r="AX78" s="90" t="s">
        <v>827</v>
      </c>
      <c r="AY78" s="96" t="str">
        <f>HYPERLINK("https://twitter.com/troutamaa")</f>
        <v>https://twitter.com/troutamaa</v>
      </c>
      <c r="AZ78" s="90" t="s">
        <v>66</v>
      </c>
      <c r="BA78" s="89" t="str">
        <f>REPLACE(INDEX(GroupVertices[Group],MATCH(Vertices[[#This Row],[Vertex]],GroupVertices[Vertex],0)),1,1,"")</f>
        <v>6</v>
      </c>
      <c r="BB78" s="49">
        <v>0</v>
      </c>
      <c r="BC78" s="50">
        <v>0</v>
      </c>
      <c r="BD78" s="49">
        <v>0</v>
      </c>
      <c r="BE78" s="50">
        <v>0</v>
      </c>
      <c r="BF78" s="49">
        <v>0</v>
      </c>
      <c r="BG78" s="50">
        <v>0</v>
      </c>
      <c r="BH78" s="49">
        <v>22</v>
      </c>
      <c r="BI78" s="50">
        <v>100</v>
      </c>
      <c r="BJ78" s="49">
        <v>22</v>
      </c>
      <c r="BK78" s="49" t="s">
        <v>2484</v>
      </c>
      <c r="BL78" s="49" t="s">
        <v>2484</v>
      </c>
      <c r="BM78" s="49" t="s">
        <v>2153</v>
      </c>
      <c r="BN78" s="49" t="s">
        <v>2153</v>
      </c>
      <c r="BO78" s="49"/>
      <c r="BP78" s="49"/>
      <c r="BQ78" s="116" t="s">
        <v>2595</v>
      </c>
      <c r="BR78" s="116" t="s">
        <v>2595</v>
      </c>
      <c r="BS78" s="116" t="s">
        <v>2627</v>
      </c>
      <c r="BT78" s="116" t="s">
        <v>2627</v>
      </c>
      <c r="BU78" s="2"/>
      <c r="BV78" s="3"/>
      <c r="BW78" s="3"/>
      <c r="BX78" s="3"/>
      <c r="BY78" s="3"/>
    </row>
    <row r="79" spans="1:77" ht="15">
      <c r="A79" s="66" t="s">
        <v>2126</v>
      </c>
      <c r="B79" s="67"/>
      <c r="C79" s="67" t="s">
        <v>46</v>
      </c>
      <c r="D79" s="68"/>
      <c r="E79" s="117"/>
      <c r="F79" s="105" t="str">
        <f>HYPERLINK("https://pbs.twimg.com/profile_images/1015883710326034432/oCh8mkqM_normal.jpg")</f>
        <v>https://pbs.twimg.com/profile_images/1015883710326034432/oCh8mkqM_normal.jpg</v>
      </c>
      <c r="G79" s="118"/>
      <c r="H79" s="71" t="s">
        <v>2126</v>
      </c>
      <c r="I79" s="72" t="s">
        <v>2110</v>
      </c>
      <c r="J79" s="119" t="s">
        <v>73</v>
      </c>
      <c r="K79" s="71" t="s">
        <v>2348</v>
      </c>
      <c r="L79" s="120">
        <v>1</v>
      </c>
      <c r="M79" s="76">
        <v>9420.6005859375</v>
      </c>
      <c r="N79" s="76">
        <v>4354.94580078125</v>
      </c>
      <c r="O79" s="77"/>
      <c r="P79" s="78"/>
      <c r="Q79" s="78"/>
      <c r="R79" s="121"/>
      <c r="S79" s="49">
        <v>0</v>
      </c>
      <c r="T79" s="49">
        <v>1</v>
      </c>
      <c r="U79" s="50">
        <v>0</v>
      </c>
      <c r="V79" s="50">
        <v>1</v>
      </c>
      <c r="W79" s="50">
        <v>0</v>
      </c>
      <c r="X79" s="50">
        <v>0.701751</v>
      </c>
      <c r="Y79" s="50">
        <v>0</v>
      </c>
      <c r="Z79" s="50">
        <v>0</v>
      </c>
      <c r="AA79" s="73">
        <v>79</v>
      </c>
      <c r="AB79" s="73"/>
      <c r="AC79" s="74"/>
      <c r="AD79" s="90" t="s">
        <v>2268</v>
      </c>
      <c r="AE79" s="99" t="s">
        <v>2292</v>
      </c>
      <c r="AF79" s="90">
        <v>860</v>
      </c>
      <c r="AG79" s="90">
        <v>1078</v>
      </c>
      <c r="AH79" s="90">
        <v>10830</v>
      </c>
      <c r="AI79" s="90">
        <v>10428</v>
      </c>
      <c r="AJ79" s="90"/>
      <c r="AK79" s="90" t="s">
        <v>2316</v>
      </c>
      <c r="AL79" s="90" t="s">
        <v>1132</v>
      </c>
      <c r="AM79" s="90"/>
      <c r="AN79" s="90"/>
      <c r="AO79" s="93">
        <v>41094.552881944444</v>
      </c>
      <c r="AP79" s="96" t="str">
        <f>HYPERLINK("https://pbs.twimg.com/profile_banners/626455003/1569560027")</f>
        <v>https://pbs.twimg.com/profile_banners/626455003/1569560027</v>
      </c>
      <c r="AQ79" s="90" t="b">
        <v>0</v>
      </c>
      <c r="AR79" s="90" t="b">
        <v>0</v>
      </c>
      <c r="AS79" s="90" t="b">
        <v>1</v>
      </c>
      <c r="AT79" s="90"/>
      <c r="AU79" s="90">
        <v>20</v>
      </c>
      <c r="AV79" s="96" t="str">
        <f>HYPERLINK("https://abs.twimg.com/images/themes/theme1/bg.png")</f>
        <v>https://abs.twimg.com/images/themes/theme1/bg.png</v>
      </c>
      <c r="AW79" s="90" t="b">
        <v>0</v>
      </c>
      <c r="AX79" s="90" t="s">
        <v>827</v>
      </c>
      <c r="AY79" s="96" t="str">
        <f>HYPERLINK("https://twitter.com/hirppis")</f>
        <v>https://twitter.com/hirppis</v>
      </c>
      <c r="AZ79" s="90" t="s">
        <v>66</v>
      </c>
      <c r="BA79" s="89" t="str">
        <f>REPLACE(INDEX(GroupVertices[Group],MATCH(Vertices[[#This Row],[Vertex]],GroupVertices[Vertex],0)),1,1,"")</f>
        <v>6</v>
      </c>
      <c r="BB79" s="49">
        <v>0</v>
      </c>
      <c r="BC79" s="50">
        <v>0</v>
      </c>
      <c r="BD79" s="49">
        <v>0</v>
      </c>
      <c r="BE79" s="50">
        <v>0</v>
      </c>
      <c r="BF79" s="49">
        <v>0</v>
      </c>
      <c r="BG79" s="50">
        <v>0</v>
      </c>
      <c r="BH79" s="49">
        <v>22</v>
      </c>
      <c r="BI79" s="50">
        <v>100</v>
      </c>
      <c r="BJ79" s="49">
        <v>22</v>
      </c>
      <c r="BK79" s="49" t="s">
        <v>2484</v>
      </c>
      <c r="BL79" s="49" t="s">
        <v>2484</v>
      </c>
      <c r="BM79" s="49" t="s">
        <v>2153</v>
      </c>
      <c r="BN79" s="49" t="s">
        <v>2153</v>
      </c>
      <c r="BO79" s="49"/>
      <c r="BP79" s="49"/>
      <c r="BQ79" s="116" t="s">
        <v>2595</v>
      </c>
      <c r="BR79" s="116" t="s">
        <v>2595</v>
      </c>
      <c r="BS79" s="116" t="s">
        <v>2627</v>
      </c>
      <c r="BT79" s="116" t="s">
        <v>2627</v>
      </c>
      <c r="BU79" s="2"/>
      <c r="BV79" s="3"/>
      <c r="BW79" s="3"/>
      <c r="BX79" s="3"/>
      <c r="BY79" s="3"/>
    </row>
    <row r="80" spans="1:77" ht="15">
      <c r="A80" s="66" t="s">
        <v>282</v>
      </c>
      <c r="B80" s="67"/>
      <c r="C80" s="67" t="s">
        <v>46</v>
      </c>
      <c r="D80" s="68"/>
      <c r="E80" s="117"/>
      <c r="F80" s="105" t="str">
        <f>HYPERLINK("https://pbs.twimg.com/profile_images/1372890267133558787/Fd6_kHVX_normal.jpg")</f>
        <v>https://pbs.twimg.com/profile_images/1372890267133558787/Fd6_kHVX_normal.jpg</v>
      </c>
      <c r="G80" s="118"/>
      <c r="H80" s="71" t="s">
        <v>282</v>
      </c>
      <c r="I80" s="72" t="s">
        <v>2635</v>
      </c>
      <c r="J80" s="119" t="s">
        <v>73</v>
      </c>
      <c r="K80" s="71" t="s">
        <v>885</v>
      </c>
      <c r="L80" s="120">
        <v>1</v>
      </c>
      <c r="M80" s="76">
        <v>7171.7421875</v>
      </c>
      <c r="N80" s="76">
        <v>809.4737548828125</v>
      </c>
      <c r="O80" s="77"/>
      <c r="P80" s="78"/>
      <c r="Q80" s="78"/>
      <c r="R80" s="121"/>
      <c r="S80" s="49">
        <v>0</v>
      </c>
      <c r="T80" s="49">
        <v>1</v>
      </c>
      <c r="U80" s="50">
        <v>0</v>
      </c>
      <c r="V80" s="50">
        <v>0.005128</v>
      </c>
      <c r="W80" s="50">
        <v>0.003685</v>
      </c>
      <c r="X80" s="50">
        <v>0.27301</v>
      </c>
      <c r="Y80" s="50">
        <v>0</v>
      </c>
      <c r="Z80" s="50">
        <v>0</v>
      </c>
      <c r="AA80" s="73">
        <v>80</v>
      </c>
      <c r="AB80" s="73"/>
      <c r="AC80" s="74"/>
      <c r="AD80" s="90" t="s">
        <v>631</v>
      </c>
      <c r="AE80" s="99" t="s">
        <v>711</v>
      </c>
      <c r="AF80" s="90">
        <v>3609</v>
      </c>
      <c r="AG80" s="90">
        <v>3381</v>
      </c>
      <c r="AH80" s="90">
        <v>10253</v>
      </c>
      <c r="AI80" s="90">
        <v>27869</v>
      </c>
      <c r="AJ80" s="90"/>
      <c r="AK80" s="90" t="s">
        <v>789</v>
      </c>
      <c r="AL80" s="90" t="s">
        <v>808</v>
      </c>
      <c r="AM80" s="96" t="str">
        <f>HYPERLINK("https://t.co/BIl7341ZEU")</f>
        <v>https://t.co/BIl7341ZEU</v>
      </c>
      <c r="AN80" s="90"/>
      <c r="AO80" s="93">
        <v>42977.54605324074</v>
      </c>
      <c r="AP80" s="96" t="str">
        <f>HYPERLINK("https://pbs.twimg.com/profile_banners/902880159262543873/1625151574")</f>
        <v>https://pbs.twimg.com/profile_banners/902880159262543873/1625151574</v>
      </c>
      <c r="AQ80" s="90" t="b">
        <v>0</v>
      </c>
      <c r="AR80" s="90" t="b">
        <v>0</v>
      </c>
      <c r="AS80" s="90" t="b">
        <v>1</v>
      </c>
      <c r="AT80" s="90"/>
      <c r="AU80" s="90">
        <v>16</v>
      </c>
      <c r="AV80" s="96" t="str">
        <f>HYPERLINK("https://abs.twimg.com/images/themes/theme1/bg.png")</f>
        <v>https://abs.twimg.com/images/themes/theme1/bg.png</v>
      </c>
      <c r="AW80" s="90" t="b">
        <v>0</v>
      </c>
      <c r="AX80" s="90" t="s">
        <v>827</v>
      </c>
      <c r="AY80" s="96" t="str">
        <f>HYPERLINK("https://twitter.com/tomassjoblom")</f>
        <v>https://twitter.com/tomassjoblom</v>
      </c>
      <c r="AZ80" s="90" t="s">
        <v>66</v>
      </c>
      <c r="BA80" s="89" t="str">
        <f>REPLACE(INDEX(GroupVertices[Group],MATCH(Vertices[[#This Row],[Vertex]],GroupVertices[Vertex],0)),1,1,"")</f>
        <v>3</v>
      </c>
      <c r="BB80" s="49">
        <v>0</v>
      </c>
      <c r="BC80" s="50">
        <v>0</v>
      </c>
      <c r="BD80" s="49">
        <v>0</v>
      </c>
      <c r="BE80" s="50">
        <v>0</v>
      </c>
      <c r="BF80" s="49">
        <v>0</v>
      </c>
      <c r="BG80" s="50">
        <v>0</v>
      </c>
      <c r="BH80" s="49">
        <v>22</v>
      </c>
      <c r="BI80" s="50">
        <v>100</v>
      </c>
      <c r="BJ80" s="49">
        <v>22</v>
      </c>
      <c r="BK80" s="49" t="s">
        <v>1981</v>
      </c>
      <c r="BL80" s="49" t="s">
        <v>1981</v>
      </c>
      <c r="BM80" s="49" t="s">
        <v>334</v>
      </c>
      <c r="BN80" s="49" t="s">
        <v>334</v>
      </c>
      <c r="BO80" s="49" t="s">
        <v>338</v>
      </c>
      <c r="BP80" s="49" t="s">
        <v>338</v>
      </c>
      <c r="BQ80" s="116" t="s">
        <v>2596</v>
      </c>
      <c r="BR80" s="116" t="s">
        <v>2596</v>
      </c>
      <c r="BS80" s="116" t="s">
        <v>2102</v>
      </c>
      <c r="BT80" s="116" t="s">
        <v>2102</v>
      </c>
      <c r="BU80" s="2"/>
      <c r="BV80" s="3"/>
      <c r="BW80" s="3"/>
      <c r="BX80" s="3"/>
      <c r="BY80" s="3"/>
    </row>
    <row r="81" spans="1:77" ht="15">
      <c r="A81" s="66" t="s">
        <v>283</v>
      </c>
      <c r="B81" s="67"/>
      <c r="C81" s="67" t="s">
        <v>46</v>
      </c>
      <c r="D81" s="68"/>
      <c r="E81" s="117"/>
      <c r="F81" s="105" t="str">
        <f>HYPERLINK("https://pbs.twimg.com/profile_images/897162392706199552/T5UU9mJi_normal.jpg")</f>
        <v>https://pbs.twimg.com/profile_images/897162392706199552/T5UU9mJi_normal.jpg</v>
      </c>
      <c r="G81" s="118"/>
      <c r="H81" s="71" t="s">
        <v>283</v>
      </c>
      <c r="I81" s="72" t="s">
        <v>2109</v>
      </c>
      <c r="J81" s="119" t="s">
        <v>73</v>
      </c>
      <c r="K81" s="71" t="s">
        <v>886</v>
      </c>
      <c r="L81" s="120">
        <v>1</v>
      </c>
      <c r="M81" s="76">
        <v>1782.496337890625</v>
      </c>
      <c r="N81" s="76">
        <v>2978.020751953125</v>
      </c>
      <c r="O81" s="77"/>
      <c r="P81" s="78"/>
      <c r="Q81" s="78"/>
      <c r="R81" s="121"/>
      <c r="S81" s="49">
        <v>0</v>
      </c>
      <c r="T81" s="49">
        <v>3</v>
      </c>
      <c r="U81" s="50">
        <v>0</v>
      </c>
      <c r="V81" s="50">
        <v>0.005376</v>
      </c>
      <c r="W81" s="50">
        <v>0.009884</v>
      </c>
      <c r="X81" s="50">
        <v>0.519233</v>
      </c>
      <c r="Y81" s="50">
        <v>0.6666666666666666</v>
      </c>
      <c r="Z81" s="50">
        <v>0</v>
      </c>
      <c r="AA81" s="73">
        <v>81</v>
      </c>
      <c r="AB81" s="73"/>
      <c r="AC81" s="74"/>
      <c r="AD81" s="90" t="s">
        <v>632</v>
      </c>
      <c r="AE81" s="99" t="s">
        <v>712</v>
      </c>
      <c r="AF81" s="90">
        <v>1214</v>
      </c>
      <c r="AG81" s="90">
        <v>233</v>
      </c>
      <c r="AH81" s="90">
        <v>1853</v>
      </c>
      <c r="AI81" s="90">
        <v>44394</v>
      </c>
      <c r="AJ81" s="90"/>
      <c r="AK81" s="90" t="s">
        <v>790</v>
      </c>
      <c r="AL81" s="90" t="s">
        <v>811</v>
      </c>
      <c r="AM81" s="90"/>
      <c r="AN81" s="90"/>
      <c r="AO81" s="93">
        <v>41359.839525462965</v>
      </c>
      <c r="AP81" s="96" t="str">
        <f>HYPERLINK("https://pbs.twimg.com/profile_banners/1305480188/1502735223")</f>
        <v>https://pbs.twimg.com/profile_banners/1305480188/1502735223</v>
      </c>
      <c r="AQ81" s="90" t="b">
        <v>1</v>
      </c>
      <c r="AR81" s="90" t="b">
        <v>0</v>
      </c>
      <c r="AS81" s="90" t="b">
        <v>0</v>
      </c>
      <c r="AT81" s="90"/>
      <c r="AU81" s="90">
        <v>1</v>
      </c>
      <c r="AV81" s="96" t="str">
        <f>HYPERLINK("https://abs.twimg.com/images/themes/theme1/bg.png")</f>
        <v>https://abs.twimg.com/images/themes/theme1/bg.png</v>
      </c>
      <c r="AW81" s="90" t="b">
        <v>0</v>
      </c>
      <c r="AX81" s="90" t="s">
        <v>827</v>
      </c>
      <c r="AY81" s="96" t="str">
        <f>HYPERLINK("https://twitter.com/atromakila")</f>
        <v>https://twitter.com/atromakila</v>
      </c>
      <c r="AZ81" s="90" t="s">
        <v>66</v>
      </c>
      <c r="BA81" s="89" t="str">
        <f>REPLACE(INDEX(GroupVertices[Group],MATCH(Vertices[[#This Row],[Vertex]],GroupVertices[Vertex],0)),1,1,"")</f>
        <v>1</v>
      </c>
      <c r="BB81" s="49">
        <v>0</v>
      </c>
      <c r="BC81" s="50">
        <v>0</v>
      </c>
      <c r="BD81" s="49">
        <v>0</v>
      </c>
      <c r="BE81" s="50">
        <v>0</v>
      </c>
      <c r="BF81" s="49">
        <v>0</v>
      </c>
      <c r="BG81" s="50">
        <v>0</v>
      </c>
      <c r="BH81" s="49">
        <v>28</v>
      </c>
      <c r="BI81" s="50">
        <v>100</v>
      </c>
      <c r="BJ81" s="49">
        <v>28</v>
      </c>
      <c r="BK81" s="49" t="s">
        <v>1981</v>
      </c>
      <c r="BL81" s="49" t="s">
        <v>1981</v>
      </c>
      <c r="BM81" s="49" t="s">
        <v>334</v>
      </c>
      <c r="BN81" s="49" t="s">
        <v>334</v>
      </c>
      <c r="BO81" s="49" t="s">
        <v>338</v>
      </c>
      <c r="BP81" s="49" t="s">
        <v>338</v>
      </c>
      <c r="BQ81" s="116" t="s">
        <v>2079</v>
      </c>
      <c r="BR81" s="116" t="s">
        <v>2079</v>
      </c>
      <c r="BS81" s="116" t="s">
        <v>2092</v>
      </c>
      <c r="BT81" s="116" t="s">
        <v>2092</v>
      </c>
      <c r="BU81" s="2"/>
      <c r="BV81" s="3"/>
      <c r="BW81" s="3"/>
      <c r="BX81" s="3"/>
      <c r="BY81" s="3"/>
    </row>
    <row r="82" spans="1:77" ht="15">
      <c r="A82" s="66" t="s">
        <v>284</v>
      </c>
      <c r="B82" s="67"/>
      <c r="C82" s="67" t="s">
        <v>46</v>
      </c>
      <c r="D82" s="68"/>
      <c r="E82" s="117"/>
      <c r="F82" s="105" t="str">
        <f>HYPERLINK("https://pbs.twimg.com/profile_images/1164513934084399104/a04TakrA_normal.jpg")</f>
        <v>https://pbs.twimg.com/profile_images/1164513934084399104/a04TakrA_normal.jpg</v>
      </c>
      <c r="G82" s="118"/>
      <c r="H82" s="71" t="s">
        <v>284</v>
      </c>
      <c r="I82" s="72" t="s">
        <v>2637</v>
      </c>
      <c r="J82" s="119" t="s">
        <v>73</v>
      </c>
      <c r="K82" s="71" t="s">
        <v>887</v>
      </c>
      <c r="L82" s="120">
        <v>1</v>
      </c>
      <c r="M82" s="76">
        <v>7206.6015625</v>
      </c>
      <c r="N82" s="76">
        <v>7436.05615234375</v>
      </c>
      <c r="O82" s="77"/>
      <c r="P82" s="78"/>
      <c r="Q82" s="78"/>
      <c r="R82" s="121"/>
      <c r="S82" s="49">
        <v>0</v>
      </c>
      <c r="T82" s="49">
        <v>10</v>
      </c>
      <c r="U82" s="50">
        <v>16.038946</v>
      </c>
      <c r="V82" s="50">
        <v>0.005587</v>
      </c>
      <c r="W82" s="50">
        <v>0.016082</v>
      </c>
      <c r="X82" s="50">
        <v>1.327933</v>
      </c>
      <c r="Y82" s="50">
        <v>0.34444444444444444</v>
      </c>
      <c r="Z82" s="50">
        <v>0</v>
      </c>
      <c r="AA82" s="73">
        <v>82</v>
      </c>
      <c r="AB82" s="73"/>
      <c r="AC82" s="74"/>
      <c r="AD82" s="90" t="s">
        <v>633</v>
      </c>
      <c r="AE82" s="99" t="s">
        <v>713</v>
      </c>
      <c r="AF82" s="90">
        <v>1598</v>
      </c>
      <c r="AG82" s="90">
        <v>2843</v>
      </c>
      <c r="AH82" s="90">
        <v>4367</v>
      </c>
      <c r="AI82" s="90">
        <v>2762</v>
      </c>
      <c r="AJ82" s="90"/>
      <c r="AK82" s="90" t="s">
        <v>791</v>
      </c>
      <c r="AL82" s="90" t="s">
        <v>807</v>
      </c>
      <c r="AM82" s="96" t="str">
        <f>HYPERLINK("https://t.co/MfLC38XN2Q")</f>
        <v>https://t.co/MfLC38XN2Q</v>
      </c>
      <c r="AN82" s="90"/>
      <c r="AO82" s="93">
        <v>41670.5268287037</v>
      </c>
      <c r="AP82" s="96" t="str">
        <f>HYPERLINK("https://pbs.twimg.com/profile_banners/2320734500/1617193351")</f>
        <v>https://pbs.twimg.com/profile_banners/2320734500/1617193351</v>
      </c>
      <c r="AQ82" s="90" t="b">
        <v>0</v>
      </c>
      <c r="AR82" s="90" t="b">
        <v>0</v>
      </c>
      <c r="AS82" s="90" t="b">
        <v>1</v>
      </c>
      <c r="AT82" s="90"/>
      <c r="AU82" s="90">
        <v>66</v>
      </c>
      <c r="AV82" s="96" t="str">
        <f>HYPERLINK("https://abs.twimg.com/images/themes/theme1/bg.png")</f>
        <v>https://abs.twimg.com/images/themes/theme1/bg.png</v>
      </c>
      <c r="AW82" s="90" t="b">
        <v>0</v>
      </c>
      <c r="AX82" s="90" t="s">
        <v>827</v>
      </c>
      <c r="AY82" s="96" t="str">
        <f>HYPERLINK("https://twitter.com/aaltobiz")</f>
        <v>https://twitter.com/aaltobiz</v>
      </c>
      <c r="AZ82" s="90" t="s">
        <v>66</v>
      </c>
      <c r="BA82" s="89" t="str">
        <f>REPLACE(INDEX(GroupVertices[Group],MATCH(Vertices[[#This Row],[Vertex]],GroupVertices[Vertex],0)),1,1,"")</f>
        <v>2</v>
      </c>
      <c r="BB82" s="49">
        <v>0</v>
      </c>
      <c r="BC82" s="50">
        <v>0</v>
      </c>
      <c r="BD82" s="49">
        <v>0</v>
      </c>
      <c r="BE82" s="50">
        <v>0</v>
      </c>
      <c r="BF82" s="49">
        <v>0</v>
      </c>
      <c r="BG82" s="50">
        <v>0</v>
      </c>
      <c r="BH82" s="49">
        <v>133</v>
      </c>
      <c r="BI82" s="50">
        <v>100</v>
      </c>
      <c r="BJ82" s="49">
        <v>133</v>
      </c>
      <c r="BK82" s="49" t="s">
        <v>2562</v>
      </c>
      <c r="BL82" s="49" t="s">
        <v>2562</v>
      </c>
      <c r="BM82" s="49" t="s">
        <v>335</v>
      </c>
      <c r="BN82" s="49" t="s">
        <v>2572</v>
      </c>
      <c r="BO82" s="49" t="s">
        <v>338</v>
      </c>
      <c r="BP82" s="49" t="s">
        <v>338</v>
      </c>
      <c r="BQ82" s="116" t="s">
        <v>2597</v>
      </c>
      <c r="BR82" s="116" t="s">
        <v>2613</v>
      </c>
      <c r="BS82" s="116" t="s">
        <v>2628</v>
      </c>
      <c r="BT82" s="116" t="s">
        <v>2628</v>
      </c>
      <c r="BU82" s="2"/>
      <c r="BV82" s="3"/>
      <c r="BW82" s="3"/>
      <c r="BX82" s="3"/>
      <c r="BY82" s="3"/>
    </row>
    <row r="83" spans="1:72" ht="15">
      <c r="A83" s="66" t="s">
        <v>285</v>
      </c>
      <c r="B83" s="67"/>
      <c r="C83" s="67" t="s">
        <v>46</v>
      </c>
      <c r="D83" s="68"/>
      <c r="E83" s="117"/>
      <c r="F83" s="105" t="str">
        <f>HYPERLINK("https://pbs.twimg.com/profile_images/1210703612491583489/QeEIodR2_normal.jpg")</f>
        <v>https://pbs.twimg.com/profile_images/1210703612491583489/QeEIodR2_normal.jpg</v>
      </c>
      <c r="G83" s="118"/>
      <c r="H83" s="71" t="s">
        <v>285</v>
      </c>
      <c r="I83" s="72" t="s">
        <v>2109</v>
      </c>
      <c r="J83" s="119" t="s">
        <v>73</v>
      </c>
      <c r="K83" s="71" t="s">
        <v>888</v>
      </c>
      <c r="L83" s="120">
        <v>1</v>
      </c>
      <c r="M83" s="76">
        <v>2415.317138671875</v>
      </c>
      <c r="N83" s="76">
        <v>667.00439453125</v>
      </c>
      <c r="O83" s="77"/>
      <c r="P83" s="78"/>
      <c r="Q83" s="78"/>
      <c r="R83" s="121"/>
      <c r="S83" s="49">
        <v>0</v>
      </c>
      <c r="T83" s="49">
        <v>3</v>
      </c>
      <c r="U83" s="50">
        <v>0</v>
      </c>
      <c r="V83" s="50">
        <v>0.005376</v>
      </c>
      <c r="W83" s="50">
        <v>0.009884</v>
      </c>
      <c r="X83" s="50">
        <v>0.519233</v>
      </c>
      <c r="Y83" s="50">
        <v>0.6666666666666666</v>
      </c>
      <c r="Z83" s="50">
        <v>0</v>
      </c>
      <c r="AA83" s="73">
        <v>83</v>
      </c>
      <c r="AB83" s="73"/>
      <c r="AC83" s="74"/>
      <c r="AD83" s="90" t="s">
        <v>634</v>
      </c>
      <c r="AE83" s="99" t="s">
        <v>714</v>
      </c>
      <c r="AF83" s="90">
        <v>2102</v>
      </c>
      <c r="AG83" s="90">
        <v>1337</v>
      </c>
      <c r="AH83" s="90">
        <v>1866</v>
      </c>
      <c r="AI83" s="90">
        <v>9607</v>
      </c>
      <c r="AJ83" s="90"/>
      <c r="AK83" s="90" t="s">
        <v>792</v>
      </c>
      <c r="AL83" s="90" t="s">
        <v>824</v>
      </c>
      <c r="AM83" s="96" t="str">
        <f>HYPERLINK("https://t.co/jRLSXMGXro")</f>
        <v>https://t.co/jRLSXMGXro</v>
      </c>
      <c r="AN83" s="90"/>
      <c r="AO83" s="93">
        <v>40197.845046296294</v>
      </c>
      <c r="AP83" s="96" t="str">
        <f>HYPERLINK("https://pbs.twimg.com/profile_banners/106511778/1563385871")</f>
        <v>https://pbs.twimg.com/profile_banners/106511778/1563385871</v>
      </c>
      <c r="AQ83" s="90" t="b">
        <v>0</v>
      </c>
      <c r="AR83" s="90" t="b">
        <v>0</v>
      </c>
      <c r="AS83" s="90" t="b">
        <v>1</v>
      </c>
      <c r="AT83" s="90"/>
      <c r="AU83" s="90">
        <v>7</v>
      </c>
      <c r="AV83" s="96" t="str">
        <f>HYPERLINK("https://abs.twimg.com/images/themes/theme1/bg.png")</f>
        <v>https://abs.twimg.com/images/themes/theme1/bg.png</v>
      </c>
      <c r="AW83" s="90" t="b">
        <v>0</v>
      </c>
      <c r="AX83" s="90" t="s">
        <v>827</v>
      </c>
      <c r="AY83" s="96" t="str">
        <f>HYPERLINK("https://twitter.com/jmerilainen")</f>
        <v>https://twitter.com/jmerilainen</v>
      </c>
      <c r="AZ83" s="90" t="s">
        <v>66</v>
      </c>
      <c r="BA83" s="89" t="str">
        <f>REPLACE(INDEX(GroupVertices[Group],MATCH(Vertices[[#This Row],[Vertex]],GroupVertices[Vertex],0)),1,1,"")</f>
        <v>1</v>
      </c>
      <c r="BB83" s="49">
        <v>0</v>
      </c>
      <c r="BC83" s="50">
        <v>0</v>
      </c>
      <c r="BD83" s="49">
        <v>0</v>
      </c>
      <c r="BE83" s="50">
        <v>0</v>
      </c>
      <c r="BF83" s="49">
        <v>0</v>
      </c>
      <c r="BG83" s="50">
        <v>0</v>
      </c>
      <c r="BH83" s="49">
        <v>28</v>
      </c>
      <c r="BI83" s="50">
        <v>100</v>
      </c>
      <c r="BJ83" s="49">
        <v>28</v>
      </c>
      <c r="BK83" s="49" t="s">
        <v>1981</v>
      </c>
      <c r="BL83" s="49" t="s">
        <v>1981</v>
      </c>
      <c r="BM83" s="49" t="s">
        <v>334</v>
      </c>
      <c r="BN83" s="49" t="s">
        <v>334</v>
      </c>
      <c r="BO83" s="49" t="s">
        <v>338</v>
      </c>
      <c r="BP83" s="49" t="s">
        <v>338</v>
      </c>
      <c r="BQ83" s="116" t="s">
        <v>2079</v>
      </c>
      <c r="BR83" s="116" t="s">
        <v>2079</v>
      </c>
      <c r="BS83" s="116" t="s">
        <v>2092</v>
      </c>
      <c r="BT83" s="116" t="s">
        <v>2092</v>
      </c>
    </row>
    <row r="84" spans="1:72" ht="15">
      <c r="A84" s="66" t="s">
        <v>286</v>
      </c>
      <c r="B84" s="67"/>
      <c r="C84" s="67" t="s">
        <v>46</v>
      </c>
      <c r="D84" s="68"/>
      <c r="E84" s="117"/>
      <c r="F84" s="105" t="str">
        <f>HYPERLINK("https://pbs.twimg.com/profile_images/744862752699727872/OXPEJg2M_normal.jpg")</f>
        <v>https://pbs.twimg.com/profile_images/744862752699727872/OXPEJg2M_normal.jpg</v>
      </c>
      <c r="G84" s="118"/>
      <c r="H84" s="71" t="s">
        <v>286</v>
      </c>
      <c r="I84" s="72" t="s">
        <v>2637</v>
      </c>
      <c r="J84" s="119" t="s">
        <v>73</v>
      </c>
      <c r="K84" s="71" t="s">
        <v>2349</v>
      </c>
      <c r="L84" s="120">
        <v>1</v>
      </c>
      <c r="M84" s="76">
        <v>7747.5126953125</v>
      </c>
      <c r="N84" s="76">
        <v>6110.40478515625</v>
      </c>
      <c r="O84" s="77"/>
      <c r="P84" s="78"/>
      <c r="Q84" s="78"/>
      <c r="R84" s="121"/>
      <c r="S84" s="49">
        <v>0</v>
      </c>
      <c r="T84" s="49">
        <v>7</v>
      </c>
      <c r="U84" s="50">
        <v>3.466667</v>
      </c>
      <c r="V84" s="50">
        <v>0.005291</v>
      </c>
      <c r="W84" s="50">
        <v>0.008598</v>
      </c>
      <c r="X84" s="50">
        <v>0.958508</v>
      </c>
      <c r="Y84" s="50">
        <v>0.47619047619047616</v>
      </c>
      <c r="Z84" s="50">
        <v>0</v>
      </c>
      <c r="AA84" s="73">
        <v>84</v>
      </c>
      <c r="AB84" s="73"/>
      <c r="AC84" s="74"/>
      <c r="AD84" s="90" t="s">
        <v>635</v>
      </c>
      <c r="AE84" s="99" t="s">
        <v>715</v>
      </c>
      <c r="AF84" s="90">
        <v>1196</v>
      </c>
      <c r="AG84" s="90">
        <v>1417</v>
      </c>
      <c r="AH84" s="90">
        <v>4764</v>
      </c>
      <c r="AI84" s="90">
        <v>9049</v>
      </c>
      <c r="AJ84" s="90"/>
      <c r="AK84" s="90" t="s">
        <v>793</v>
      </c>
      <c r="AL84" s="90" t="s">
        <v>808</v>
      </c>
      <c r="AM84" s="90"/>
      <c r="AN84" s="90"/>
      <c r="AO84" s="93">
        <v>41615.72109953704</v>
      </c>
      <c r="AP84" s="96" t="str">
        <f>HYPERLINK("https://pbs.twimg.com/profile_banners/2212509561/1565980028")</f>
        <v>https://pbs.twimg.com/profile_banners/2212509561/1565980028</v>
      </c>
      <c r="AQ84" s="90" t="b">
        <v>1</v>
      </c>
      <c r="AR84" s="90" t="b">
        <v>0</v>
      </c>
      <c r="AS84" s="90" t="b">
        <v>1</v>
      </c>
      <c r="AT84" s="90"/>
      <c r="AU84" s="90">
        <v>12</v>
      </c>
      <c r="AV84" s="96" t="str">
        <f>HYPERLINK("https://abs.twimg.com/images/themes/theme1/bg.png")</f>
        <v>https://abs.twimg.com/images/themes/theme1/bg.png</v>
      </c>
      <c r="AW84" s="90" t="b">
        <v>1</v>
      </c>
      <c r="AX84" s="90" t="s">
        <v>827</v>
      </c>
      <c r="AY84" s="96" t="str">
        <f>HYPERLINK("https://twitter.com/mikaparkkari")</f>
        <v>https://twitter.com/mikaparkkari</v>
      </c>
      <c r="AZ84" s="90" t="s">
        <v>66</v>
      </c>
      <c r="BA84" s="89" t="str">
        <f>REPLACE(INDEX(GroupVertices[Group],MATCH(Vertices[[#This Row],[Vertex]],GroupVertices[Vertex],0)),1,1,"")</f>
        <v>2</v>
      </c>
      <c r="BB84" s="49">
        <v>0</v>
      </c>
      <c r="BC84" s="50">
        <v>0</v>
      </c>
      <c r="BD84" s="49">
        <v>0</v>
      </c>
      <c r="BE84" s="50">
        <v>0</v>
      </c>
      <c r="BF84" s="49">
        <v>0</v>
      </c>
      <c r="BG84" s="50">
        <v>0</v>
      </c>
      <c r="BH84" s="49">
        <v>57</v>
      </c>
      <c r="BI84" s="50">
        <v>100</v>
      </c>
      <c r="BJ84" s="49">
        <v>57</v>
      </c>
      <c r="BK84" s="49" t="s">
        <v>2563</v>
      </c>
      <c r="BL84" s="49" t="s">
        <v>2563</v>
      </c>
      <c r="BM84" s="49" t="s">
        <v>2569</v>
      </c>
      <c r="BN84" s="49" t="s">
        <v>2569</v>
      </c>
      <c r="BO84" s="49" t="s">
        <v>343</v>
      </c>
      <c r="BP84" s="49" t="s">
        <v>343</v>
      </c>
      <c r="BQ84" s="116" t="s">
        <v>2598</v>
      </c>
      <c r="BR84" s="116" t="s">
        <v>2614</v>
      </c>
      <c r="BS84" s="116" t="s">
        <v>2103</v>
      </c>
      <c r="BT84" s="116" t="s">
        <v>2103</v>
      </c>
    </row>
    <row r="85" spans="1:72" ht="15">
      <c r="A85" s="66" t="s">
        <v>297</v>
      </c>
      <c r="B85" s="67"/>
      <c r="C85" s="67" t="s">
        <v>64</v>
      </c>
      <c r="D85" s="68">
        <v>393.8843156881052</v>
      </c>
      <c r="E85" s="117"/>
      <c r="F85" s="105" t="str">
        <f>HYPERLINK("https://pbs.twimg.com/profile_images/420850254418694144/-VQXHOvT_normal.jpeg")</f>
        <v>https://pbs.twimg.com/profile_images/420850254418694144/-VQXHOvT_normal.jpeg</v>
      </c>
      <c r="G85" s="118"/>
      <c r="H85" s="71" t="s">
        <v>297</v>
      </c>
      <c r="I85" s="72" t="s">
        <v>2637</v>
      </c>
      <c r="J85" s="119" t="s">
        <v>73</v>
      </c>
      <c r="K85" s="71" t="s">
        <v>889</v>
      </c>
      <c r="L85" s="120">
        <v>385.53846153846155</v>
      </c>
      <c r="M85" s="76">
        <v>8563.4267578125</v>
      </c>
      <c r="N85" s="76">
        <v>6579.2685546875</v>
      </c>
      <c r="O85" s="77"/>
      <c r="P85" s="78"/>
      <c r="Q85" s="78"/>
      <c r="R85" s="121"/>
      <c r="S85" s="49">
        <v>3</v>
      </c>
      <c r="T85" s="49">
        <v>3</v>
      </c>
      <c r="U85" s="50">
        <v>0.535714</v>
      </c>
      <c r="V85" s="50">
        <v>0.005263</v>
      </c>
      <c r="W85" s="50">
        <v>0.006695</v>
      </c>
      <c r="X85" s="50">
        <v>0.737093</v>
      </c>
      <c r="Y85" s="50">
        <v>0.5</v>
      </c>
      <c r="Z85" s="50">
        <v>0.2</v>
      </c>
      <c r="AA85" s="73">
        <v>85</v>
      </c>
      <c r="AB85" s="73"/>
      <c r="AC85" s="74"/>
      <c r="AD85" s="90" t="s">
        <v>636</v>
      </c>
      <c r="AE85" s="99" t="s">
        <v>716</v>
      </c>
      <c r="AF85" s="90">
        <v>560</v>
      </c>
      <c r="AG85" s="90">
        <v>2614</v>
      </c>
      <c r="AH85" s="90">
        <v>1004</v>
      </c>
      <c r="AI85" s="90">
        <v>2806</v>
      </c>
      <c r="AJ85" s="90"/>
      <c r="AK85" s="90" t="s">
        <v>794</v>
      </c>
      <c r="AL85" s="90"/>
      <c r="AM85" s="96" t="str">
        <f>HYPERLINK("https://t.co/wFvkugpSr7")</f>
        <v>https://t.co/wFvkugpSr7</v>
      </c>
      <c r="AN85" s="90"/>
      <c r="AO85" s="93">
        <v>40014.41978009259</v>
      </c>
      <c r="AP85" s="96" t="str">
        <f>HYPERLINK("https://pbs.twimg.com/profile_banners/58438271/1355653742")</f>
        <v>https://pbs.twimg.com/profile_banners/58438271/1355653742</v>
      </c>
      <c r="AQ85" s="90" t="b">
        <v>1</v>
      </c>
      <c r="AR85" s="90" t="b">
        <v>0</v>
      </c>
      <c r="AS85" s="90" t="b">
        <v>0</v>
      </c>
      <c r="AT85" s="90"/>
      <c r="AU85" s="90">
        <v>10</v>
      </c>
      <c r="AV85" s="96" t="str">
        <f>HYPERLINK("https://abs.twimg.com/images/themes/theme1/bg.png")</f>
        <v>https://abs.twimg.com/images/themes/theme1/bg.png</v>
      </c>
      <c r="AW85" s="90" t="b">
        <v>0</v>
      </c>
      <c r="AX85" s="90" t="s">
        <v>827</v>
      </c>
      <c r="AY85" s="96" t="str">
        <f>HYPERLINK("https://twitter.com/juliathuren")</f>
        <v>https://twitter.com/juliathuren</v>
      </c>
      <c r="AZ85" s="90" t="s">
        <v>66</v>
      </c>
      <c r="BA85" s="89" t="str">
        <f>REPLACE(INDEX(GroupVertices[Group],MATCH(Vertices[[#This Row],[Vertex]],GroupVertices[Vertex],0)),1,1,"")</f>
        <v>2</v>
      </c>
      <c r="BB85" s="49">
        <v>0</v>
      </c>
      <c r="BC85" s="50">
        <v>0</v>
      </c>
      <c r="BD85" s="49">
        <v>0</v>
      </c>
      <c r="BE85" s="50">
        <v>0</v>
      </c>
      <c r="BF85" s="49">
        <v>0</v>
      </c>
      <c r="BG85" s="50">
        <v>0</v>
      </c>
      <c r="BH85" s="49">
        <v>25</v>
      </c>
      <c r="BI85" s="50">
        <v>100</v>
      </c>
      <c r="BJ85" s="49">
        <v>25</v>
      </c>
      <c r="BK85" s="49" t="s">
        <v>332</v>
      </c>
      <c r="BL85" s="49" t="s">
        <v>332</v>
      </c>
      <c r="BM85" s="49" t="s">
        <v>336</v>
      </c>
      <c r="BN85" s="49" t="s">
        <v>336</v>
      </c>
      <c r="BO85" s="49" t="s">
        <v>343</v>
      </c>
      <c r="BP85" s="49" t="s">
        <v>343</v>
      </c>
      <c r="BQ85" s="116" t="s">
        <v>2085</v>
      </c>
      <c r="BR85" s="116" t="s">
        <v>2085</v>
      </c>
      <c r="BS85" s="116" t="s">
        <v>2103</v>
      </c>
      <c r="BT85" s="116" t="s">
        <v>2103</v>
      </c>
    </row>
    <row r="86" spans="1:72" ht="15">
      <c r="A86" s="66" t="s">
        <v>296</v>
      </c>
      <c r="B86" s="67"/>
      <c r="C86" s="67" t="s">
        <v>64</v>
      </c>
      <c r="D86" s="68">
        <v>572.3803575019956</v>
      </c>
      <c r="E86" s="117"/>
      <c r="F86" s="105" t="str">
        <f>HYPERLINK("https://pbs.twimg.com/profile_images/1417012640627535874/IT_mQUIh_normal.jpg")</f>
        <v>https://pbs.twimg.com/profile_images/1417012640627535874/IT_mQUIh_normal.jpg</v>
      </c>
      <c r="G86" s="118"/>
      <c r="H86" s="71" t="s">
        <v>296</v>
      </c>
      <c r="I86" s="72" t="s">
        <v>2637</v>
      </c>
      <c r="J86" s="119" t="s">
        <v>73</v>
      </c>
      <c r="K86" s="71" t="s">
        <v>891</v>
      </c>
      <c r="L86" s="120">
        <v>641.8974358974359</v>
      </c>
      <c r="M86" s="76">
        <v>8255.0009765625</v>
      </c>
      <c r="N86" s="76">
        <v>6191.5009765625</v>
      </c>
      <c r="O86" s="77"/>
      <c r="P86" s="78"/>
      <c r="Q86" s="78"/>
      <c r="R86" s="121"/>
      <c r="S86" s="49">
        <v>5</v>
      </c>
      <c r="T86" s="49">
        <v>4</v>
      </c>
      <c r="U86" s="50">
        <v>0.535714</v>
      </c>
      <c r="V86" s="50">
        <v>0.005263</v>
      </c>
      <c r="W86" s="50">
        <v>0.007111</v>
      </c>
      <c r="X86" s="50">
        <v>0.862399</v>
      </c>
      <c r="Y86" s="50">
        <v>0.45</v>
      </c>
      <c r="Z86" s="50">
        <v>0.4</v>
      </c>
      <c r="AA86" s="73">
        <v>86</v>
      </c>
      <c r="AB86" s="73"/>
      <c r="AC86" s="74"/>
      <c r="AD86" s="90" t="s">
        <v>638</v>
      </c>
      <c r="AE86" s="99" t="s">
        <v>718</v>
      </c>
      <c r="AF86" s="90">
        <v>637</v>
      </c>
      <c r="AG86" s="90">
        <v>554</v>
      </c>
      <c r="AH86" s="90">
        <v>1141</v>
      </c>
      <c r="AI86" s="90">
        <v>1870</v>
      </c>
      <c r="AJ86" s="90"/>
      <c r="AK86" s="90" t="s">
        <v>796</v>
      </c>
      <c r="AL86" s="90" t="s">
        <v>811</v>
      </c>
      <c r="AM86" s="96" t="str">
        <f>HYPERLINK("https://t.co/dJPzaOXPmC")</f>
        <v>https://t.co/dJPzaOXPmC</v>
      </c>
      <c r="AN86" s="90"/>
      <c r="AO86" s="93">
        <v>42474.505057870374</v>
      </c>
      <c r="AP86" s="96" t="str">
        <f>HYPERLINK("https://pbs.twimg.com/profile_banners/720584205571387392/1614244107")</f>
        <v>https://pbs.twimg.com/profile_banners/720584205571387392/1614244107</v>
      </c>
      <c r="AQ86" s="90" t="b">
        <v>0</v>
      </c>
      <c r="AR86" s="90" t="b">
        <v>0</v>
      </c>
      <c r="AS86" s="90" t="b">
        <v>0</v>
      </c>
      <c r="AT86" s="90"/>
      <c r="AU86" s="90">
        <v>5</v>
      </c>
      <c r="AV86" s="96" t="str">
        <f>HYPERLINK("https://abs.twimg.com/images/themes/theme1/bg.png")</f>
        <v>https://abs.twimg.com/images/themes/theme1/bg.png</v>
      </c>
      <c r="AW86" s="90" t="b">
        <v>0</v>
      </c>
      <c r="AX86" s="90" t="s">
        <v>827</v>
      </c>
      <c r="AY86" s="96" t="str">
        <f>HYPERLINK("https://twitter.com/idalevanen")</f>
        <v>https://twitter.com/idalevanen</v>
      </c>
      <c r="AZ86" s="90" t="s">
        <v>66</v>
      </c>
      <c r="BA86" s="89" t="str">
        <f>REPLACE(INDEX(GroupVertices[Group],MATCH(Vertices[[#This Row],[Vertex]],GroupVertices[Vertex],0)),1,1,"")</f>
        <v>2</v>
      </c>
      <c r="BB86" s="49">
        <v>0</v>
      </c>
      <c r="BC86" s="50">
        <v>0</v>
      </c>
      <c r="BD86" s="49">
        <v>0</v>
      </c>
      <c r="BE86" s="50">
        <v>0</v>
      </c>
      <c r="BF86" s="49">
        <v>0</v>
      </c>
      <c r="BG86" s="50">
        <v>0</v>
      </c>
      <c r="BH86" s="49">
        <v>50</v>
      </c>
      <c r="BI86" s="50">
        <v>100</v>
      </c>
      <c r="BJ86" s="49">
        <v>50</v>
      </c>
      <c r="BK86" s="49" t="s">
        <v>2068</v>
      </c>
      <c r="BL86" s="49" t="s">
        <v>2068</v>
      </c>
      <c r="BM86" s="49" t="s">
        <v>2071</v>
      </c>
      <c r="BN86" s="49" t="s">
        <v>336</v>
      </c>
      <c r="BO86" s="49" t="s">
        <v>2074</v>
      </c>
      <c r="BP86" s="49" t="s">
        <v>2076</v>
      </c>
      <c r="BQ86" s="116" t="s">
        <v>2599</v>
      </c>
      <c r="BR86" s="116" t="s">
        <v>2089</v>
      </c>
      <c r="BS86" s="116" t="s">
        <v>2103</v>
      </c>
      <c r="BT86" s="116" t="s">
        <v>2103</v>
      </c>
    </row>
    <row r="87" spans="1:72" ht="15">
      <c r="A87" s="66" t="s">
        <v>2127</v>
      </c>
      <c r="B87" s="67"/>
      <c r="C87" s="67" t="s">
        <v>46</v>
      </c>
      <c r="D87" s="68"/>
      <c r="E87" s="117"/>
      <c r="F87" s="105" t="str">
        <f>HYPERLINK("https://pbs.twimg.com/profile_images/1262980310427480070/J_GbE7VL_normal.jpg")</f>
        <v>https://pbs.twimg.com/profile_images/1262980310427480070/J_GbE7VL_normal.jpg</v>
      </c>
      <c r="G87" s="118"/>
      <c r="H87" s="71" t="s">
        <v>2127</v>
      </c>
      <c r="I87" s="72" t="s">
        <v>2637</v>
      </c>
      <c r="J87" s="119" t="s">
        <v>73</v>
      </c>
      <c r="K87" s="71" t="s">
        <v>2350</v>
      </c>
      <c r="L87" s="120">
        <v>1</v>
      </c>
      <c r="M87" s="76">
        <v>9692.3076171875</v>
      </c>
      <c r="N87" s="76">
        <v>9774.8076171875</v>
      </c>
      <c r="O87" s="77"/>
      <c r="P87" s="78"/>
      <c r="Q87" s="78"/>
      <c r="R87" s="121"/>
      <c r="S87" s="49">
        <v>0</v>
      </c>
      <c r="T87" s="49">
        <v>2</v>
      </c>
      <c r="U87" s="50">
        <v>0</v>
      </c>
      <c r="V87" s="50">
        <v>0.005181</v>
      </c>
      <c r="W87" s="50">
        <v>0.004391</v>
      </c>
      <c r="X87" s="50">
        <v>0.41245</v>
      </c>
      <c r="Y87" s="50">
        <v>1</v>
      </c>
      <c r="Z87" s="50">
        <v>0</v>
      </c>
      <c r="AA87" s="73">
        <v>87</v>
      </c>
      <c r="AB87" s="73"/>
      <c r="AC87" s="74"/>
      <c r="AD87" s="90" t="s">
        <v>2269</v>
      </c>
      <c r="AE87" s="99" t="s">
        <v>2293</v>
      </c>
      <c r="AF87" s="90">
        <v>3377</v>
      </c>
      <c r="AG87" s="90">
        <v>1966</v>
      </c>
      <c r="AH87" s="90">
        <v>1645</v>
      </c>
      <c r="AI87" s="90">
        <v>12049</v>
      </c>
      <c r="AJ87" s="90"/>
      <c r="AK87" s="90" t="s">
        <v>2317</v>
      </c>
      <c r="AL87" s="90" t="s">
        <v>2328</v>
      </c>
      <c r="AM87" s="96" t="str">
        <f>HYPERLINK("https://t.co/njeszQGEw8")</f>
        <v>https://t.co/njeszQGEw8</v>
      </c>
      <c r="AN87" s="90"/>
      <c r="AO87" s="93">
        <v>40264.88773148148</v>
      </c>
      <c r="AP87" s="96" t="str">
        <f>HYPERLINK("https://pbs.twimg.com/profile_banners/127041774/1589952946")</f>
        <v>https://pbs.twimg.com/profile_banners/127041774/1589952946</v>
      </c>
      <c r="AQ87" s="90" t="b">
        <v>0</v>
      </c>
      <c r="AR87" s="90" t="b">
        <v>0</v>
      </c>
      <c r="AS87" s="90" t="b">
        <v>1</v>
      </c>
      <c r="AT87" s="90"/>
      <c r="AU87" s="90">
        <v>34</v>
      </c>
      <c r="AV87" s="96" t="str">
        <f>HYPERLINK("https://abs.twimg.com/images/themes/theme1/bg.png")</f>
        <v>https://abs.twimg.com/images/themes/theme1/bg.png</v>
      </c>
      <c r="AW87" s="90" t="b">
        <v>0</v>
      </c>
      <c r="AX87" s="90" t="s">
        <v>827</v>
      </c>
      <c r="AY87" s="96" t="str">
        <f>HYPERLINK("https://twitter.com/susa_makinen")</f>
        <v>https://twitter.com/susa_makinen</v>
      </c>
      <c r="AZ87" s="90" t="s">
        <v>66</v>
      </c>
      <c r="BA87" s="89" t="str">
        <f>REPLACE(INDEX(GroupVertices[Group],MATCH(Vertices[[#This Row],[Vertex]],GroupVertices[Vertex],0)),1,1,"")</f>
        <v>2</v>
      </c>
      <c r="BB87" s="49">
        <v>0</v>
      </c>
      <c r="BC87" s="50">
        <v>0</v>
      </c>
      <c r="BD87" s="49">
        <v>0</v>
      </c>
      <c r="BE87" s="50">
        <v>0</v>
      </c>
      <c r="BF87" s="49">
        <v>0</v>
      </c>
      <c r="BG87" s="50">
        <v>0</v>
      </c>
      <c r="BH87" s="49">
        <v>31</v>
      </c>
      <c r="BI87" s="50">
        <v>100</v>
      </c>
      <c r="BJ87" s="49">
        <v>31</v>
      </c>
      <c r="BK87" s="49" t="s">
        <v>2484</v>
      </c>
      <c r="BL87" s="49" t="s">
        <v>2484</v>
      </c>
      <c r="BM87" s="49" t="s">
        <v>2153</v>
      </c>
      <c r="BN87" s="49" t="s">
        <v>2153</v>
      </c>
      <c r="BO87" s="49" t="s">
        <v>1127</v>
      </c>
      <c r="BP87" s="49" t="s">
        <v>1127</v>
      </c>
      <c r="BQ87" s="116" t="s">
        <v>2600</v>
      </c>
      <c r="BR87" s="116" t="s">
        <v>2600</v>
      </c>
      <c r="BS87" s="116" t="s">
        <v>2629</v>
      </c>
      <c r="BT87" s="116" t="s">
        <v>2629</v>
      </c>
    </row>
    <row r="88" spans="1:72" ht="15">
      <c r="A88" s="66" t="s">
        <v>289</v>
      </c>
      <c r="B88" s="67"/>
      <c r="C88" s="67" t="s">
        <v>64</v>
      </c>
      <c r="D88" s="68">
        <v>393.8843156881052</v>
      </c>
      <c r="E88" s="117"/>
      <c r="F88" s="105" t="str">
        <f>HYPERLINK("https://pbs.twimg.com/profile_images/550208070584786944/XIkH6cRe_normal.png")</f>
        <v>https://pbs.twimg.com/profile_images/550208070584786944/XIkH6cRe_normal.png</v>
      </c>
      <c r="G88" s="118"/>
      <c r="H88" s="71" t="s">
        <v>289</v>
      </c>
      <c r="I88" s="72" t="s">
        <v>2637</v>
      </c>
      <c r="J88" s="119" t="s">
        <v>73</v>
      </c>
      <c r="K88" s="71" t="s">
        <v>894</v>
      </c>
      <c r="L88" s="120">
        <v>385.53846153846155</v>
      </c>
      <c r="M88" s="76">
        <v>8621.2783203125</v>
      </c>
      <c r="N88" s="76">
        <v>8577.376953125</v>
      </c>
      <c r="O88" s="77"/>
      <c r="P88" s="78"/>
      <c r="Q88" s="78"/>
      <c r="R88" s="121"/>
      <c r="S88" s="49">
        <v>3</v>
      </c>
      <c r="T88" s="49">
        <v>4</v>
      </c>
      <c r="U88" s="50">
        <v>85.381169</v>
      </c>
      <c r="V88" s="50">
        <v>0.005495</v>
      </c>
      <c r="W88" s="50">
        <v>0.011363</v>
      </c>
      <c r="X88" s="50">
        <v>0.984283</v>
      </c>
      <c r="Y88" s="50">
        <v>0.3</v>
      </c>
      <c r="Z88" s="50">
        <v>0.16666666666666666</v>
      </c>
      <c r="AA88" s="73">
        <v>88</v>
      </c>
      <c r="AB88" s="73"/>
      <c r="AC88" s="74"/>
      <c r="AD88" s="90" t="s">
        <v>641</v>
      </c>
      <c r="AE88" s="99" t="s">
        <v>536</v>
      </c>
      <c r="AF88" s="90">
        <v>3017</v>
      </c>
      <c r="AG88" s="90">
        <v>32417</v>
      </c>
      <c r="AH88" s="90">
        <v>12954</v>
      </c>
      <c r="AI88" s="90">
        <v>5071</v>
      </c>
      <c r="AJ88" s="90"/>
      <c r="AK88" s="90" t="s">
        <v>799</v>
      </c>
      <c r="AL88" s="90" t="s">
        <v>807</v>
      </c>
      <c r="AM88" s="96" t="str">
        <f>HYPERLINK("https://t.co/njeszQGEw8")</f>
        <v>https://t.co/njeszQGEw8</v>
      </c>
      <c r="AN88" s="90"/>
      <c r="AO88" s="93">
        <v>40350.44534722222</v>
      </c>
      <c r="AP88" s="96" t="str">
        <f>HYPERLINK("https://pbs.twimg.com/profile_banners/157958595/1613979038")</f>
        <v>https://pbs.twimg.com/profile_banners/157958595/1613979038</v>
      </c>
      <c r="AQ88" s="90" t="b">
        <v>0</v>
      </c>
      <c r="AR88" s="90" t="b">
        <v>0</v>
      </c>
      <c r="AS88" s="90" t="b">
        <v>1</v>
      </c>
      <c r="AT88" s="90"/>
      <c r="AU88" s="90">
        <v>175</v>
      </c>
      <c r="AV88" s="96" t="str">
        <f>HYPERLINK("https://abs.twimg.com/images/themes/theme1/bg.png")</f>
        <v>https://abs.twimg.com/images/themes/theme1/bg.png</v>
      </c>
      <c r="AW88" s="90" t="b">
        <v>1</v>
      </c>
      <c r="AX88" s="90" t="s">
        <v>827</v>
      </c>
      <c r="AY88" s="96" t="str">
        <f>HYPERLINK("https://twitter.com/op_ryhma")</f>
        <v>https://twitter.com/op_ryhma</v>
      </c>
      <c r="AZ88" s="90" t="s">
        <v>66</v>
      </c>
      <c r="BA88" s="89" t="str">
        <f>REPLACE(INDEX(GroupVertices[Group],MATCH(Vertices[[#This Row],[Vertex]],GroupVertices[Vertex],0)),1,1,"")</f>
        <v>2</v>
      </c>
      <c r="BB88" s="49">
        <v>0</v>
      </c>
      <c r="BC88" s="50">
        <v>0</v>
      </c>
      <c r="BD88" s="49">
        <v>0</v>
      </c>
      <c r="BE88" s="50">
        <v>0</v>
      </c>
      <c r="BF88" s="49">
        <v>0</v>
      </c>
      <c r="BG88" s="50">
        <v>0</v>
      </c>
      <c r="BH88" s="49">
        <v>57</v>
      </c>
      <c r="BI88" s="50">
        <v>100</v>
      </c>
      <c r="BJ88" s="49">
        <v>57</v>
      </c>
      <c r="BK88" s="49" t="s">
        <v>2484</v>
      </c>
      <c r="BL88" s="49" t="s">
        <v>2484</v>
      </c>
      <c r="BM88" s="49" t="s">
        <v>2153</v>
      </c>
      <c r="BN88" s="49" t="s">
        <v>2153</v>
      </c>
      <c r="BO88" s="49" t="s">
        <v>2575</v>
      </c>
      <c r="BP88" s="49" t="s">
        <v>2575</v>
      </c>
      <c r="BQ88" s="116" t="s">
        <v>2601</v>
      </c>
      <c r="BR88" s="116" t="s">
        <v>2615</v>
      </c>
      <c r="BS88" s="116" t="s">
        <v>2105</v>
      </c>
      <c r="BT88" s="116" t="s">
        <v>2105</v>
      </c>
    </row>
    <row r="89" spans="1:72" ht="15">
      <c r="A89" s="66" t="s">
        <v>287</v>
      </c>
      <c r="B89" s="67"/>
      <c r="C89" s="67" t="s">
        <v>46</v>
      </c>
      <c r="D89" s="68"/>
      <c r="E89" s="117"/>
      <c r="F89" s="105" t="str">
        <f>HYPERLINK("https://pbs.twimg.com/profile_images/1215378711706587137/1gfKjtXG_normal.jpg")</f>
        <v>https://pbs.twimg.com/profile_images/1215378711706587137/1gfKjtXG_normal.jpg</v>
      </c>
      <c r="G89" s="118"/>
      <c r="H89" s="71" t="s">
        <v>287</v>
      </c>
      <c r="I89" s="72" t="s">
        <v>2109</v>
      </c>
      <c r="J89" s="119" t="s">
        <v>73</v>
      </c>
      <c r="K89" s="71" t="s">
        <v>892</v>
      </c>
      <c r="L89" s="120">
        <v>1</v>
      </c>
      <c r="M89" s="76">
        <v>1168.5589599609375</v>
      </c>
      <c r="N89" s="76">
        <v>6820.98046875</v>
      </c>
      <c r="O89" s="77"/>
      <c r="P89" s="78"/>
      <c r="Q89" s="78"/>
      <c r="R89" s="121"/>
      <c r="S89" s="49">
        <v>0</v>
      </c>
      <c r="T89" s="49">
        <v>3</v>
      </c>
      <c r="U89" s="50">
        <v>0</v>
      </c>
      <c r="V89" s="50">
        <v>0.005376</v>
      </c>
      <c r="W89" s="50">
        <v>0.009884</v>
      </c>
      <c r="X89" s="50">
        <v>0.519233</v>
      </c>
      <c r="Y89" s="50">
        <v>0.6666666666666666</v>
      </c>
      <c r="Z89" s="50">
        <v>0</v>
      </c>
      <c r="AA89" s="73">
        <v>89</v>
      </c>
      <c r="AB89" s="73"/>
      <c r="AC89" s="74"/>
      <c r="AD89" s="90" t="s">
        <v>639</v>
      </c>
      <c r="AE89" s="99" t="s">
        <v>719</v>
      </c>
      <c r="AF89" s="90">
        <v>97</v>
      </c>
      <c r="AG89" s="90">
        <v>73</v>
      </c>
      <c r="AH89" s="90">
        <v>3049</v>
      </c>
      <c r="AI89" s="90">
        <v>6081</v>
      </c>
      <c r="AJ89" s="90"/>
      <c r="AK89" s="90" t="s">
        <v>797</v>
      </c>
      <c r="AL89" s="90"/>
      <c r="AM89" s="90"/>
      <c r="AN89" s="90"/>
      <c r="AO89" s="93">
        <v>41142.37886574074</v>
      </c>
      <c r="AP89" s="96" t="str">
        <f>HYPERLINK("https://pbs.twimg.com/profile_banners/771149623/1438945551")</f>
        <v>https://pbs.twimg.com/profile_banners/771149623/1438945551</v>
      </c>
      <c r="AQ89" s="90" t="b">
        <v>1</v>
      </c>
      <c r="AR89" s="90" t="b">
        <v>0</v>
      </c>
      <c r="AS89" s="90" t="b">
        <v>0</v>
      </c>
      <c r="AT89" s="90"/>
      <c r="AU89" s="90">
        <v>0</v>
      </c>
      <c r="AV89" s="96" t="str">
        <f>HYPERLINK("https://abs.twimg.com/images/themes/theme1/bg.png")</f>
        <v>https://abs.twimg.com/images/themes/theme1/bg.png</v>
      </c>
      <c r="AW89" s="90" t="b">
        <v>0</v>
      </c>
      <c r="AX89" s="90" t="s">
        <v>827</v>
      </c>
      <c r="AY89" s="96" t="str">
        <f>HYPERLINK("https://twitter.com/heikkio")</f>
        <v>https://twitter.com/heikkio</v>
      </c>
      <c r="AZ89" s="90" t="s">
        <v>66</v>
      </c>
      <c r="BA89" s="89" t="str">
        <f>REPLACE(INDEX(GroupVertices[Group],MATCH(Vertices[[#This Row],[Vertex]],GroupVertices[Vertex],0)),1,1,"")</f>
        <v>1</v>
      </c>
      <c r="BB89" s="49">
        <v>0</v>
      </c>
      <c r="BC89" s="50">
        <v>0</v>
      </c>
      <c r="BD89" s="49">
        <v>0</v>
      </c>
      <c r="BE89" s="50">
        <v>0</v>
      </c>
      <c r="BF89" s="49">
        <v>0</v>
      </c>
      <c r="BG89" s="50">
        <v>0</v>
      </c>
      <c r="BH89" s="49">
        <v>28</v>
      </c>
      <c r="BI89" s="50">
        <v>100</v>
      </c>
      <c r="BJ89" s="49">
        <v>28</v>
      </c>
      <c r="BK89" s="49" t="s">
        <v>1981</v>
      </c>
      <c r="BL89" s="49" t="s">
        <v>1981</v>
      </c>
      <c r="BM89" s="49" t="s">
        <v>334</v>
      </c>
      <c r="BN89" s="49" t="s">
        <v>334</v>
      </c>
      <c r="BO89" s="49" t="s">
        <v>338</v>
      </c>
      <c r="BP89" s="49" t="s">
        <v>338</v>
      </c>
      <c r="BQ89" s="116" t="s">
        <v>2079</v>
      </c>
      <c r="BR89" s="116" t="s">
        <v>2079</v>
      </c>
      <c r="BS89" s="116" t="s">
        <v>2092</v>
      </c>
      <c r="BT89" s="116" t="s">
        <v>2092</v>
      </c>
    </row>
    <row r="90" spans="1:72" ht="15">
      <c r="A90" s="66" t="s">
        <v>288</v>
      </c>
      <c r="B90" s="67"/>
      <c r="C90" s="67" t="s">
        <v>46</v>
      </c>
      <c r="D90" s="68"/>
      <c r="E90" s="117"/>
      <c r="F90" s="105" t="str">
        <f>HYPERLINK("https://pbs.twimg.com/profile_images/1404466230531080193/kTZLFUKc_normal.jpg")</f>
        <v>https://pbs.twimg.com/profile_images/1404466230531080193/kTZLFUKc_normal.jpg</v>
      </c>
      <c r="G90" s="118"/>
      <c r="H90" s="71" t="s">
        <v>288</v>
      </c>
      <c r="I90" s="72" t="s">
        <v>2109</v>
      </c>
      <c r="J90" s="119" t="s">
        <v>73</v>
      </c>
      <c r="K90" s="71" t="s">
        <v>893</v>
      </c>
      <c r="L90" s="120">
        <v>1</v>
      </c>
      <c r="M90" s="76">
        <v>1228.779052734375</v>
      </c>
      <c r="N90" s="76">
        <v>3043.50732421875</v>
      </c>
      <c r="O90" s="77"/>
      <c r="P90" s="78"/>
      <c r="Q90" s="78"/>
      <c r="R90" s="121"/>
      <c r="S90" s="49">
        <v>0</v>
      </c>
      <c r="T90" s="49">
        <v>3</v>
      </c>
      <c r="U90" s="50">
        <v>0</v>
      </c>
      <c r="V90" s="50">
        <v>0.005376</v>
      </c>
      <c r="W90" s="50">
        <v>0.009884</v>
      </c>
      <c r="X90" s="50">
        <v>0.519233</v>
      </c>
      <c r="Y90" s="50">
        <v>0.6666666666666666</v>
      </c>
      <c r="Z90" s="50">
        <v>0</v>
      </c>
      <c r="AA90" s="73">
        <v>90</v>
      </c>
      <c r="AB90" s="73"/>
      <c r="AC90" s="74"/>
      <c r="AD90" s="90" t="s">
        <v>640</v>
      </c>
      <c r="AE90" s="99" t="s">
        <v>720</v>
      </c>
      <c r="AF90" s="90">
        <v>818</v>
      </c>
      <c r="AG90" s="90">
        <v>184</v>
      </c>
      <c r="AH90" s="90">
        <v>1556</v>
      </c>
      <c r="AI90" s="90">
        <v>10826</v>
      </c>
      <c r="AJ90" s="90"/>
      <c r="AK90" s="90" t="s">
        <v>798</v>
      </c>
      <c r="AL90" s="90" t="s">
        <v>826</v>
      </c>
      <c r="AM90" s="96" t="str">
        <f>HYPERLINK("https://t.co/sCHf1eKx6o")</f>
        <v>https://t.co/sCHf1eKx6o</v>
      </c>
      <c r="AN90" s="90"/>
      <c r="AO90" s="93">
        <v>40793.611759259256</v>
      </c>
      <c r="AP90" s="96" t="str">
        <f>HYPERLINK("https://pbs.twimg.com/profile_banners/369536119/1623686303")</f>
        <v>https://pbs.twimg.com/profile_banners/369536119/1623686303</v>
      </c>
      <c r="AQ90" s="90" t="b">
        <v>0</v>
      </c>
      <c r="AR90" s="90" t="b">
        <v>0</v>
      </c>
      <c r="AS90" s="90" t="b">
        <v>1</v>
      </c>
      <c r="AT90" s="90"/>
      <c r="AU90" s="90">
        <v>7</v>
      </c>
      <c r="AV90" s="96" t="str">
        <f>HYPERLINK("https://abs.twimg.com/images/themes/theme4/bg.gif")</f>
        <v>https://abs.twimg.com/images/themes/theme4/bg.gif</v>
      </c>
      <c r="AW90" s="90" t="b">
        <v>0</v>
      </c>
      <c r="AX90" s="90" t="s">
        <v>827</v>
      </c>
      <c r="AY90" s="96" t="str">
        <f>HYPERLINK("https://twitter.com/fysman")</f>
        <v>https://twitter.com/fysman</v>
      </c>
      <c r="AZ90" s="90" t="s">
        <v>66</v>
      </c>
      <c r="BA90" s="89" t="str">
        <f>REPLACE(INDEX(GroupVertices[Group],MATCH(Vertices[[#This Row],[Vertex]],GroupVertices[Vertex],0)),1,1,"")</f>
        <v>1</v>
      </c>
      <c r="BB90" s="49">
        <v>0</v>
      </c>
      <c r="BC90" s="50">
        <v>0</v>
      </c>
      <c r="BD90" s="49">
        <v>0</v>
      </c>
      <c r="BE90" s="50">
        <v>0</v>
      </c>
      <c r="BF90" s="49">
        <v>0</v>
      </c>
      <c r="BG90" s="50">
        <v>0</v>
      </c>
      <c r="BH90" s="49">
        <v>28</v>
      </c>
      <c r="BI90" s="50">
        <v>100</v>
      </c>
      <c r="BJ90" s="49">
        <v>28</v>
      </c>
      <c r="BK90" s="49" t="s">
        <v>1981</v>
      </c>
      <c r="BL90" s="49" t="s">
        <v>1981</v>
      </c>
      <c r="BM90" s="49" t="s">
        <v>334</v>
      </c>
      <c r="BN90" s="49" t="s">
        <v>334</v>
      </c>
      <c r="BO90" s="49" t="s">
        <v>338</v>
      </c>
      <c r="BP90" s="49" t="s">
        <v>338</v>
      </c>
      <c r="BQ90" s="116" t="s">
        <v>2079</v>
      </c>
      <c r="BR90" s="116" t="s">
        <v>2079</v>
      </c>
      <c r="BS90" s="116" t="s">
        <v>2092</v>
      </c>
      <c r="BT90" s="116" t="s">
        <v>2092</v>
      </c>
    </row>
    <row r="91" spans="1:72" ht="15">
      <c r="A91" s="66" t="s">
        <v>2128</v>
      </c>
      <c r="B91" s="67"/>
      <c r="C91" s="67" t="s">
        <v>64</v>
      </c>
      <c r="D91" s="68">
        <v>252.20403669704376</v>
      </c>
      <c r="E91" s="117"/>
      <c r="F91" s="105" t="str">
        <f>HYPERLINK("https://pbs.twimg.com/profile_images/1351780178343690241/UUHBnryO_normal.jpg")</f>
        <v>https://pbs.twimg.com/profile_images/1351780178343690241/UUHBnryO_normal.jpg</v>
      </c>
      <c r="G91" s="118"/>
      <c r="H91" s="71" t="s">
        <v>2128</v>
      </c>
      <c r="I91" s="72" t="s">
        <v>2638</v>
      </c>
      <c r="J91" s="119" t="s">
        <v>73</v>
      </c>
      <c r="K91" s="71" t="s">
        <v>2351</v>
      </c>
      <c r="L91" s="120">
        <v>257.35897435897436</v>
      </c>
      <c r="M91" s="76">
        <v>9420.6005859375</v>
      </c>
      <c r="N91" s="76">
        <v>1608.58349609375</v>
      </c>
      <c r="O91" s="77"/>
      <c r="P91" s="78"/>
      <c r="Q91" s="78"/>
      <c r="R91" s="121"/>
      <c r="S91" s="49">
        <v>2</v>
      </c>
      <c r="T91" s="49">
        <v>1</v>
      </c>
      <c r="U91" s="50">
        <v>0</v>
      </c>
      <c r="V91" s="50">
        <v>1</v>
      </c>
      <c r="W91" s="50">
        <v>0</v>
      </c>
      <c r="X91" s="50">
        <v>1.298239</v>
      </c>
      <c r="Y91" s="50">
        <v>0</v>
      </c>
      <c r="Z91" s="50">
        <v>0</v>
      </c>
      <c r="AA91" s="73">
        <v>91</v>
      </c>
      <c r="AB91" s="73"/>
      <c r="AC91" s="74"/>
      <c r="AD91" s="90" t="s">
        <v>2270</v>
      </c>
      <c r="AE91" s="99" t="s">
        <v>2294</v>
      </c>
      <c r="AF91" s="90">
        <v>3060</v>
      </c>
      <c r="AG91" s="90">
        <v>2496</v>
      </c>
      <c r="AH91" s="90">
        <v>7537</v>
      </c>
      <c r="AI91" s="90">
        <v>19217</v>
      </c>
      <c r="AJ91" s="90"/>
      <c r="AK91" s="90" t="s">
        <v>2318</v>
      </c>
      <c r="AL91" s="90" t="s">
        <v>808</v>
      </c>
      <c r="AM91" s="96" t="str">
        <f>HYPERLINK("https://t.co/uXo2Bnnct7")</f>
        <v>https://t.co/uXo2Bnnct7</v>
      </c>
      <c r="AN91" s="90"/>
      <c r="AO91" s="93">
        <v>40860.730671296296</v>
      </c>
      <c r="AP91" s="96" t="str">
        <f>HYPERLINK("https://pbs.twimg.com/profile_banners/411630138/1623649592")</f>
        <v>https://pbs.twimg.com/profile_banners/411630138/1623649592</v>
      </c>
      <c r="AQ91" s="90" t="b">
        <v>0</v>
      </c>
      <c r="AR91" s="90" t="b">
        <v>0</v>
      </c>
      <c r="AS91" s="90" t="b">
        <v>1</v>
      </c>
      <c r="AT91" s="90"/>
      <c r="AU91" s="90">
        <v>44</v>
      </c>
      <c r="AV91" s="96" t="str">
        <f>HYPERLINK("https://abs.twimg.com/images/themes/theme1/bg.png")</f>
        <v>https://abs.twimg.com/images/themes/theme1/bg.png</v>
      </c>
      <c r="AW91" s="90" t="b">
        <v>0</v>
      </c>
      <c r="AX91" s="90" t="s">
        <v>827</v>
      </c>
      <c r="AY91" s="96" t="str">
        <f>HYPERLINK("https://twitter.com/tedapter")</f>
        <v>https://twitter.com/tedapter</v>
      </c>
      <c r="AZ91" s="90" t="s">
        <v>66</v>
      </c>
      <c r="BA91" s="89" t="str">
        <f>REPLACE(INDEX(GroupVertices[Group],MATCH(Vertices[[#This Row],[Vertex]],GroupVertices[Vertex],0)),1,1,"")</f>
        <v>5</v>
      </c>
      <c r="BB91" s="49">
        <v>0</v>
      </c>
      <c r="BC91" s="50">
        <v>0</v>
      </c>
      <c r="BD91" s="49">
        <v>0</v>
      </c>
      <c r="BE91" s="50">
        <v>0</v>
      </c>
      <c r="BF91" s="49">
        <v>0</v>
      </c>
      <c r="BG91" s="50">
        <v>0</v>
      </c>
      <c r="BH91" s="49">
        <v>26</v>
      </c>
      <c r="BI91" s="50">
        <v>100</v>
      </c>
      <c r="BJ91" s="49">
        <v>26</v>
      </c>
      <c r="BK91" s="49" t="s">
        <v>331</v>
      </c>
      <c r="BL91" s="49" t="s">
        <v>331</v>
      </c>
      <c r="BM91" s="49" t="s">
        <v>335</v>
      </c>
      <c r="BN91" s="49" t="s">
        <v>335</v>
      </c>
      <c r="BO91" s="49" t="s">
        <v>2154</v>
      </c>
      <c r="BP91" s="49" t="s">
        <v>2154</v>
      </c>
      <c r="BQ91" s="116" t="s">
        <v>2602</v>
      </c>
      <c r="BR91" s="116" t="s">
        <v>2602</v>
      </c>
      <c r="BS91" s="116" t="s">
        <v>2630</v>
      </c>
      <c r="BT91" s="116" t="s">
        <v>2630</v>
      </c>
    </row>
    <row r="92" spans="1:72" ht="15">
      <c r="A92" s="66" t="s">
        <v>2129</v>
      </c>
      <c r="B92" s="67"/>
      <c r="C92" s="67" t="s">
        <v>46</v>
      </c>
      <c r="D92" s="68"/>
      <c r="E92" s="117"/>
      <c r="F92" s="105" t="str">
        <f>HYPERLINK("https://pbs.twimg.com/profile_images/1218154636990930945/iJmmaRxR_normal.jpg")</f>
        <v>https://pbs.twimg.com/profile_images/1218154636990930945/iJmmaRxR_normal.jpg</v>
      </c>
      <c r="G92" s="118"/>
      <c r="H92" s="71" t="s">
        <v>2129</v>
      </c>
      <c r="I92" s="72" t="s">
        <v>2638</v>
      </c>
      <c r="J92" s="119" t="s">
        <v>73</v>
      </c>
      <c r="K92" s="71" t="s">
        <v>2352</v>
      </c>
      <c r="L92" s="120">
        <v>1</v>
      </c>
      <c r="M92" s="76">
        <v>9420.6005859375</v>
      </c>
      <c r="N92" s="76">
        <v>2449.306640625</v>
      </c>
      <c r="O92" s="77"/>
      <c r="P92" s="78"/>
      <c r="Q92" s="78"/>
      <c r="R92" s="121"/>
      <c r="S92" s="49">
        <v>0</v>
      </c>
      <c r="T92" s="49">
        <v>1</v>
      </c>
      <c r="U92" s="50">
        <v>0</v>
      </c>
      <c r="V92" s="50">
        <v>1</v>
      </c>
      <c r="W92" s="50">
        <v>0</v>
      </c>
      <c r="X92" s="50">
        <v>0.701751</v>
      </c>
      <c r="Y92" s="50">
        <v>0</v>
      </c>
      <c r="Z92" s="50">
        <v>0</v>
      </c>
      <c r="AA92" s="73">
        <v>92</v>
      </c>
      <c r="AB92" s="73"/>
      <c r="AC92" s="74"/>
      <c r="AD92" s="90" t="s">
        <v>2271</v>
      </c>
      <c r="AE92" s="99" t="s">
        <v>2295</v>
      </c>
      <c r="AF92" s="90">
        <v>2906</v>
      </c>
      <c r="AG92" s="90">
        <v>18544</v>
      </c>
      <c r="AH92" s="90">
        <v>18056</v>
      </c>
      <c r="AI92" s="90">
        <v>24709</v>
      </c>
      <c r="AJ92" s="90"/>
      <c r="AK92" s="90" t="s">
        <v>2319</v>
      </c>
      <c r="AL92" s="90"/>
      <c r="AM92" s="96" t="str">
        <f>HYPERLINK("https://t.co/0MwDlKWsuq")</f>
        <v>https://t.co/0MwDlKWsuq</v>
      </c>
      <c r="AN92" s="90"/>
      <c r="AO92" s="93">
        <v>40472.485289351855</v>
      </c>
      <c r="AP92" s="96" t="str">
        <f>HYPERLINK("https://pbs.twimg.com/profile_banners/205680994/1579266181")</f>
        <v>https://pbs.twimg.com/profile_banners/205680994/1579266181</v>
      </c>
      <c r="AQ92" s="90" t="b">
        <v>0</v>
      </c>
      <c r="AR92" s="90" t="b">
        <v>0</v>
      </c>
      <c r="AS92" s="90" t="b">
        <v>1</v>
      </c>
      <c r="AT92" s="90"/>
      <c r="AU92" s="90">
        <v>92</v>
      </c>
      <c r="AV92" s="96" t="str">
        <f>HYPERLINK("https://abs.twimg.com/images/themes/theme1/bg.png")</f>
        <v>https://abs.twimg.com/images/themes/theme1/bg.png</v>
      </c>
      <c r="AW92" s="90" t="b">
        <v>0</v>
      </c>
      <c r="AX92" s="90" t="s">
        <v>827</v>
      </c>
      <c r="AY92" s="96" t="str">
        <f>HYPERLINK("https://twitter.com/martinpaasi")</f>
        <v>https://twitter.com/martinpaasi</v>
      </c>
      <c r="AZ92" s="90" t="s">
        <v>66</v>
      </c>
      <c r="BA92" s="89" t="str">
        <f>REPLACE(INDEX(GroupVertices[Group],MATCH(Vertices[[#This Row],[Vertex]],GroupVertices[Vertex],0)),1,1,"")</f>
        <v>5</v>
      </c>
      <c r="BB92" s="49">
        <v>0</v>
      </c>
      <c r="BC92" s="50">
        <v>0</v>
      </c>
      <c r="BD92" s="49">
        <v>0</v>
      </c>
      <c r="BE92" s="50">
        <v>0</v>
      </c>
      <c r="BF92" s="49">
        <v>0</v>
      </c>
      <c r="BG92" s="50">
        <v>0</v>
      </c>
      <c r="BH92" s="49">
        <v>26</v>
      </c>
      <c r="BI92" s="50">
        <v>100</v>
      </c>
      <c r="BJ92" s="49">
        <v>26</v>
      </c>
      <c r="BK92" s="49" t="s">
        <v>331</v>
      </c>
      <c r="BL92" s="49" t="s">
        <v>331</v>
      </c>
      <c r="BM92" s="49" t="s">
        <v>335</v>
      </c>
      <c r="BN92" s="49" t="s">
        <v>335</v>
      </c>
      <c r="BO92" s="49" t="s">
        <v>2154</v>
      </c>
      <c r="BP92" s="49" t="s">
        <v>2154</v>
      </c>
      <c r="BQ92" s="116" t="s">
        <v>2602</v>
      </c>
      <c r="BR92" s="116" t="s">
        <v>2602</v>
      </c>
      <c r="BS92" s="116" t="s">
        <v>2630</v>
      </c>
      <c r="BT92" s="116" t="s">
        <v>2630</v>
      </c>
    </row>
    <row r="93" spans="1:72" ht="15">
      <c r="A93" s="66" t="s">
        <v>2130</v>
      </c>
      <c r="B93" s="67"/>
      <c r="C93" s="67" t="s">
        <v>46</v>
      </c>
      <c r="D93" s="68"/>
      <c r="E93" s="117"/>
      <c r="F93" s="105" t="str">
        <f>HYPERLINK("https://pbs.twimg.com/profile_images/930108726853455874/R5eJ-Hdm_normal.jpg")</f>
        <v>https://pbs.twimg.com/profile_images/930108726853455874/R5eJ-Hdm_normal.jpg</v>
      </c>
      <c r="G93" s="118"/>
      <c r="H93" s="71" t="s">
        <v>2130</v>
      </c>
      <c r="I93" s="72" t="s">
        <v>2637</v>
      </c>
      <c r="J93" s="119" t="s">
        <v>73</v>
      </c>
      <c r="K93" s="71" t="s">
        <v>2353</v>
      </c>
      <c r="L93" s="120">
        <v>1</v>
      </c>
      <c r="M93" s="76">
        <v>6934.97021484375</v>
      </c>
      <c r="N93" s="76">
        <v>7880.33837890625</v>
      </c>
      <c r="O93" s="77"/>
      <c r="P93" s="78"/>
      <c r="Q93" s="78"/>
      <c r="R93" s="121"/>
      <c r="S93" s="49">
        <v>0</v>
      </c>
      <c r="T93" s="49">
        <v>5</v>
      </c>
      <c r="U93" s="50">
        <v>0.133333</v>
      </c>
      <c r="V93" s="50">
        <v>0.005236</v>
      </c>
      <c r="W93" s="50">
        <v>0.00774</v>
      </c>
      <c r="X93" s="50">
        <v>0.711029</v>
      </c>
      <c r="Y93" s="50">
        <v>0.65</v>
      </c>
      <c r="Z93" s="50">
        <v>0</v>
      </c>
      <c r="AA93" s="73">
        <v>93</v>
      </c>
      <c r="AB93" s="73"/>
      <c r="AC93" s="74"/>
      <c r="AD93" s="90" t="s">
        <v>2272</v>
      </c>
      <c r="AE93" s="99" t="s">
        <v>2296</v>
      </c>
      <c r="AF93" s="90">
        <v>200</v>
      </c>
      <c r="AG93" s="90">
        <v>259</v>
      </c>
      <c r="AH93" s="90">
        <v>1035</v>
      </c>
      <c r="AI93" s="90">
        <v>1545</v>
      </c>
      <c r="AJ93" s="90"/>
      <c r="AK93" s="90" t="s">
        <v>2320</v>
      </c>
      <c r="AL93" s="90" t="s">
        <v>2329</v>
      </c>
      <c r="AM93" s="96" t="str">
        <f>HYPERLINK("https://t.co/Bx5xz11dQr")</f>
        <v>https://t.co/Bx5xz11dQr</v>
      </c>
      <c r="AN93" s="90"/>
      <c r="AO93" s="93">
        <v>42086.78766203704</v>
      </c>
      <c r="AP93" s="96" t="str">
        <f>HYPERLINK("https://pbs.twimg.com/profile_banners/3105291764/1510590551")</f>
        <v>https://pbs.twimg.com/profile_banners/3105291764/1510590551</v>
      </c>
      <c r="AQ93" s="90" t="b">
        <v>0</v>
      </c>
      <c r="AR93" s="90" t="b">
        <v>0</v>
      </c>
      <c r="AS93" s="90" t="b">
        <v>1</v>
      </c>
      <c r="AT93" s="90"/>
      <c r="AU93" s="90">
        <v>2</v>
      </c>
      <c r="AV93" s="96" t="str">
        <f>HYPERLINK("https://abs.twimg.com/images/themes/theme1/bg.png")</f>
        <v>https://abs.twimg.com/images/themes/theme1/bg.png</v>
      </c>
      <c r="AW93" s="90" t="b">
        <v>0</v>
      </c>
      <c r="AX93" s="90" t="s">
        <v>827</v>
      </c>
      <c r="AY93" s="96" t="str">
        <f>HYPERLINK("https://twitter.com/visafin")</f>
        <v>https://twitter.com/visafin</v>
      </c>
      <c r="AZ93" s="90" t="s">
        <v>66</v>
      </c>
      <c r="BA93" s="89" t="str">
        <f>REPLACE(INDEX(GroupVertices[Group],MATCH(Vertices[[#This Row],[Vertex]],GroupVertices[Vertex],0)),1,1,"")</f>
        <v>2</v>
      </c>
      <c r="BB93" s="49">
        <v>0</v>
      </c>
      <c r="BC93" s="50">
        <v>0</v>
      </c>
      <c r="BD93" s="49">
        <v>0</v>
      </c>
      <c r="BE93" s="50">
        <v>0</v>
      </c>
      <c r="BF93" s="49">
        <v>0</v>
      </c>
      <c r="BG93" s="50">
        <v>0</v>
      </c>
      <c r="BH93" s="49">
        <v>32</v>
      </c>
      <c r="BI93" s="50">
        <v>100</v>
      </c>
      <c r="BJ93" s="49">
        <v>32</v>
      </c>
      <c r="BK93" s="49" t="s">
        <v>2482</v>
      </c>
      <c r="BL93" s="49" t="s">
        <v>2482</v>
      </c>
      <c r="BM93" s="49" t="s">
        <v>334</v>
      </c>
      <c r="BN93" s="49" t="s">
        <v>334</v>
      </c>
      <c r="BO93" s="49"/>
      <c r="BP93" s="49"/>
      <c r="BQ93" s="116" t="s">
        <v>2582</v>
      </c>
      <c r="BR93" s="116" t="s">
        <v>2582</v>
      </c>
      <c r="BS93" s="116" t="s">
        <v>2621</v>
      </c>
      <c r="BT93" s="116" t="s">
        <v>2621</v>
      </c>
    </row>
    <row r="94" spans="1:72" ht="15">
      <c r="A94" s="66" t="s">
        <v>304</v>
      </c>
      <c r="B94" s="67"/>
      <c r="C94" s="67" t="s">
        <v>64</v>
      </c>
      <c r="D94" s="68">
        <v>252.20403669704376</v>
      </c>
      <c r="E94" s="117"/>
      <c r="F94" s="105" t="str">
        <f>HYPERLINK("https://pbs.twimg.com/profile_images/1196682313502986240/fFg4mF4d_normal.jpg")</f>
        <v>https://pbs.twimg.com/profile_images/1196682313502986240/fFg4mF4d_normal.jpg</v>
      </c>
      <c r="G94" s="118"/>
      <c r="H94" s="71" t="s">
        <v>304</v>
      </c>
      <c r="I94" s="72" t="s">
        <v>2637</v>
      </c>
      <c r="J94" s="119" t="s">
        <v>75</v>
      </c>
      <c r="K94" s="71" t="s">
        <v>895</v>
      </c>
      <c r="L94" s="120">
        <v>257.35897435897436</v>
      </c>
      <c r="M94" s="76">
        <v>8406.599609375</v>
      </c>
      <c r="N94" s="76">
        <v>9638.9462890625</v>
      </c>
      <c r="O94" s="77"/>
      <c r="P94" s="78"/>
      <c r="Q94" s="78"/>
      <c r="R94" s="121"/>
      <c r="S94" s="49">
        <v>2</v>
      </c>
      <c r="T94" s="49">
        <v>0</v>
      </c>
      <c r="U94" s="50">
        <v>0</v>
      </c>
      <c r="V94" s="50">
        <v>0.003802</v>
      </c>
      <c r="W94" s="50">
        <v>0.001801</v>
      </c>
      <c r="X94" s="50">
        <v>0.406456</v>
      </c>
      <c r="Y94" s="50">
        <v>0.5</v>
      </c>
      <c r="Z94" s="50">
        <v>0</v>
      </c>
      <c r="AA94" s="73">
        <v>94</v>
      </c>
      <c r="AB94" s="73"/>
      <c r="AC94" s="74"/>
      <c r="AD94" s="90" t="s">
        <v>642</v>
      </c>
      <c r="AE94" s="99" t="s">
        <v>721</v>
      </c>
      <c r="AF94" s="90">
        <v>126</v>
      </c>
      <c r="AG94" s="90">
        <v>289</v>
      </c>
      <c r="AH94" s="90">
        <v>368</v>
      </c>
      <c r="AI94" s="90">
        <v>262</v>
      </c>
      <c r="AJ94" s="90"/>
      <c r="AK94" s="90" t="s">
        <v>800</v>
      </c>
      <c r="AL94" s="90" t="s">
        <v>815</v>
      </c>
      <c r="AM94" s="96" t="str">
        <f>HYPERLINK("https://t.co/EPSDXhsZ3P")</f>
        <v>https://t.co/EPSDXhsZ3P</v>
      </c>
      <c r="AN94" s="90"/>
      <c r="AO94" s="93">
        <v>43788.276400462964</v>
      </c>
      <c r="AP94" s="96" t="str">
        <f>HYPERLINK("https://pbs.twimg.com/profile_banners/1196678697627070464/1582277231")</f>
        <v>https://pbs.twimg.com/profile_banners/1196678697627070464/1582277231</v>
      </c>
      <c r="AQ94" s="90" t="b">
        <v>1</v>
      </c>
      <c r="AR94" s="90" t="b">
        <v>0</v>
      </c>
      <c r="AS94" s="90" t="b">
        <v>1</v>
      </c>
      <c r="AT94" s="90"/>
      <c r="AU94" s="90">
        <v>1</v>
      </c>
      <c r="AV94" s="90"/>
      <c r="AW94" s="90" t="b">
        <v>0</v>
      </c>
      <c r="AX94" s="90" t="s">
        <v>827</v>
      </c>
      <c r="AY94" s="96" t="str">
        <f>HYPERLINK("https://twitter.com/ophelsinki")</f>
        <v>https://twitter.com/ophelsinki</v>
      </c>
      <c r="AZ94" s="90" t="s">
        <v>65</v>
      </c>
      <c r="BA94" s="8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row>
    <row r="95" spans="1:72" ht="15">
      <c r="A95" s="66" t="s">
        <v>290</v>
      </c>
      <c r="B95" s="67"/>
      <c r="C95" s="67" t="s">
        <v>46</v>
      </c>
      <c r="D95" s="68"/>
      <c r="E95" s="117"/>
      <c r="F95" s="105" t="str">
        <f>HYPERLINK("https://pbs.twimg.com/profile_images/1227613933382590464/r3aMcZGM_normal.jpg")</f>
        <v>https://pbs.twimg.com/profile_images/1227613933382590464/r3aMcZGM_normal.jpg</v>
      </c>
      <c r="G95" s="118"/>
      <c r="H95" s="71" t="s">
        <v>290</v>
      </c>
      <c r="I95" s="72" t="s">
        <v>2637</v>
      </c>
      <c r="J95" s="119" t="s">
        <v>73</v>
      </c>
      <c r="K95" s="71" t="s">
        <v>896</v>
      </c>
      <c r="L95" s="120">
        <v>1</v>
      </c>
      <c r="M95" s="76">
        <v>7748.095703125</v>
      </c>
      <c r="N95" s="76">
        <v>7521.40185546875</v>
      </c>
      <c r="O95" s="77"/>
      <c r="P95" s="78"/>
      <c r="Q95" s="78"/>
      <c r="R95" s="121"/>
      <c r="S95" s="49">
        <v>0</v>
      </c>
      <c r="T95" s="49">
        <v>15</v>
      </c>
      <c r="U95" s="50">
        <v>180.968888</v>
      </c>
      <c r="V95" s="50">
        <v>0.00578</v>
      </c>
      <c r="W95" s="50">
        <v>0.017614</v>
      </c>
      <c r="X95" s="50">
        <v>2.064988</v>
      </c>
      <c r="Y95" s="50">
        <v>0.19523809523809524</v>
      </c>
      <c r="Z95" s="50">
        <v>0</v>
      </c>
      <c r="AA95" s="73">
        <v>95</v>
      </c>
      <c r="AB95" s="73"/>
      <c r="AC95" s="74"/>
      <c r="AD95" s="90" t="s">
        <v>643</v>
      </c>
      <c r="AE95" s="99" t="s">
        <v>722</v>
      </c>
      <c r="AF95" s="90">
        <v>479</v>
      </c>
      <c r="AG95" s="90">
        <v>498</v>
      </c>
      <c r="AH95" s="90">
        <v>443</v>
      </c>
      <c r="AI95" s="90">
        <v>350</v>
      </c>
      <c r="AJ95" s="90"/>
      <c r="AK95" s="90"/>
      <c r="AL95" s="90"/>
      <c r="AM95" s="90"/>
      <c r="AN95" s="90"/>
      <c r="AO95" s="93">
        <v>41715.38010416667</v>
      </c>
      <c r="AP95" s="90"/>
      <c r="AQ95" s="90" t="b">
        <v>1</v>
      </c>
      <c r="AR95" s="90" t="b">
        <v>0</v>
      </c>
      <c r="AS95" s="90" t="b">
        <v>0</v>
      </c>
      <c r="AT95" s="90"/>
      <c r="AU95" s="90">
        <v>11</v>
      </c>
      <c r="AV95" s="96" t="str">
        <f>HYPERLINK("https://abs.twimg.com/images/themes/theme1/bg.png")</f>
        <v>https://abs.twimg.com/images/themes/theme1/bg.png</v>
      </c>
      <c r="AW95" s="90" t="b">
        <v>0</v>
      </c>
      <c r="AX95" s="90" t="s">
        <v>827</v>
      </c>
      <c r="AY95" s="96" t="str">
        <f>HYPERLINK("https://twitter.com/oskarinokso")</f>
        <v>https://twitter.com/oskarinokso</v>
      </c>
      <c r="AZ95" s="90" t="s">
        <v>66</v>
      </c>
      <c r="BA95" s="89" t="str">
        <f>REPLACE(INDEX(GroupVertices[Group],MATCH(Vertices[[#This Row],[Vertex]],GroupVertices[Vertex],0)),1,1,"")</f>
        <v>2</v>
      </c>
      <c r="BB95" s="49">
        <v>0</v>
      </c>
      <c r="BC95" s="50">
        <v>0</v>
      </c>
      <c r="BD95" s="49">
        <v>0</v>
      </c>
      <c r="BE95" s="50">
        <v>0</v>
      </c>
      <c r="BF95" s="49">
        <v>0</v>
      </c>
      <c r="BG95" s="50">
        <v>0</v>
      </c>
      <c r="BH95" s="49">
        <v>246</v>
      </c>
      <c r="BI95" s="50">
        <v>100</v>
      </c>
      <c r="BJ95" s="49">
        <v>246</v>
      </c>
      <c r="BK95" s="49" t="s">
        <v>2564</v>
      </c>
      <c r="BL95" s="49" t="s">
        <v>2564</v>
      </c>
      <c r="BM95" s="49" t="s">
        <v>2570</v>
      </c>
      <c r="BN95" s="49" t="s">
        <v>2573</v>
      </c>
      <c r="BO95" s="49" t="s">
        <v>2019</v>
      </c>
      <c r="BP95" s="49" t="s">
        <v>2577</v>
      </c>
      <c r="BQ95" s="116" t="s">
        <v>2603</v>
      </c>
      <c r="BR95" s="116" t="s">
        <v>2616</v>
      </c>
      <c r="BS95" s="116" t="s">
        <v>2631</v>
      </c>
      <c r="BT95" s="116" t="s">
        <v>2631</v>
      </c>
    </row>
    <row r="96" spans="1:72" ht="15">
      <c r="A96" s="66" t="s">
        <v>291</v>
      </c>
      <c r="B96" s="67"/>
      <c r="C96" s="67" t="s">
        <v>64</v>
      </c>
      <c r="D96" s="68">
        <v>10</v>
      </c>
      <c r="E96" s="117"/>
      <c r="F96" s="105" t="str">
        <f>HYPERLINK("https://pbs.twimg.com/profile_images/1027451411058106368/m3cLNfQh_normal.jpg")</f>
        <v>https://pbs.twimg.com/profile_images/1027451411058106368/m3cLNfQh_normal.jpg</v>
      </c>
      <c r="G96" s="118"/>
      <c r="H96" s="71" t="s">
        <v>291</v>
      </c>
      <c r="I96" s="72" t="s">
        <v>2635</v>
      </c>
      <c r="J96" s="119" t="s">
        <v>73</v>
      </c>
      <c r="K96" s="71" t="s">
        <v>897</v>
      </c>
      <c r="L96" s="120">
        <v>129.17948717948718</v>
      </c>
      <c r="M96" s="76">
        <v>8842.19921875</v>
      </c>
      <c r="N96" s="76">
        <v>1974.159912109375</v>
      </c>
      <c r="O96" s="77"/>
      <c r="P96" s="78"/>
      <c r="Q96" s="78"/>
      <c r="R96" s="121"/>
      <c r="S96" s="49">
        <v>1</v>
      </c>
      <c r="T96" s="49">
        <v>1</v>
      </c>
      <c r="U96" s="50">
        <v>0</v>
      </c>
      <c r="V96" s="50">
        <v>0.005181</v>
      </c>
      <c r="W96" s="50">
        <v>0.004779</v>
      </c>
      <c r="X96" s="50">
        <v>0.390026</v>
      </c>
      <c r="Y96" s="50">
        <v>0.5</v>
      </c>
      <c r="Z96" s="50">
        <v>0</v>
      </c>
      <c r="AA96" s="73">
        <v>96</v>
      </c>
      <c r="AB96" s="73"/>
      <c r="AC96" s="74"/>
      <c r="AD96" s="90" t="s">
        <v>644</v>
      </c>
      <c r="AE96" s="99" t="s">
        <v>723</v>
      </c>
      <c r="AF96" s="90">
        <v>745</v>
      </c>
      <c r="AG96" s="90">
        <v>2932</v>
      </c>
      <c r="AH96" s="90">
        <v>1331</v>
      </c>
      <c r="AI96" s="90">
        <v>1558</v>
      </c>
      <c r="AJ96" s="90"/>
      <c r="AK96" s="90" t="s">
        <v>801</v>
      </c>
      <c r="AL96" s="90" t="s">
        <v>808</v>
      </c>
      <c r="AM96" s="96" t="str">
        <f>HYPERLINK("https://t.co/vmUr4NOIXc")</f>
        <v>https://t.co/vmUr4NOIXc</v>
      </c>
      <c r="AN96" s="90"/>
      <c r="AO96" s="93">
        <v>43320.604537037034</v>
      </c>
      <c r="AP96" s="96" t="str">
        <f>HYPERLINK("https://pbs.twimg.com/profile_banners/1027200392202014721/1533799055")</f>
        <v>https://pbs.twimg.com/profile_banners/1027200392202014721/1533799055</v>
      </c>
      <c r="AQ96" s="90" t="b">
        <v>0</v>
      </c>
      <c r="AR96" s="90" t="b">
        <v>0</v>
      </c>
      <c r="AS96" s="90" t="b">
        <v>0</v>
      </c>
      <c r="AT96" s="90"/>
      <c r="AU96" s="90">
        <v>11</v>
      </c>
      <c r="AV96" s="96" t="str">
        <f>HYPERLINK("https://abs.twimg.com/images/themes/theme1/bg.png")</f>
        <v>https://abs.twimg.com/images/themes/theme1/bg.png</v>
      </c>
      <c r="AW96" s="90" t="b">
        <v>0</v>
      </c>
      <c r="AX96" s="90" t="s">
        <v>827</v>
      </c>
      <c r="AY96" s="96" t="str">
        <f>HYPERLINK("https://twitter.com/socscihelsinki")</f>
        <v>https://twitter.com/socscihelsinki</v>
      </c>
      <c r="AZ96" s="90" t="s">
        <v>66</v>
      </c>
      <c r="BA96" s="89" t="str">
        <f>REPLACE(INDEX(GroupVertices[Group],MATCH(Vertices[[#This Row],[Vertex]],GroupVertices[Vertex],0)),1,1,"")</f>
        <v>3</v>
      </c>
      <c r="BB96" s="49">
        <v>0</v>
      </c>
      <c r="BC96" s="50">
        <v>0</v>
      </c>
      <c r="BD96" s="49">
        <v>0</v>
      </c>
      <c r="BE96" s="50">
        <v>0</v>
      </c>
      <c r="BF96" s="49">
        <v>0</v>
      </c>
      <c r="BG96" s="50">
        <v>0</v>
      </c>
      <c r="BH96" s="49">
        <v>26</v>
      </c>
      <c r="BI96" s="50">
        <v>100</v>
      </c>
      <c r="BJ96" s="49">
        <v>26</v>
      </c>
      <c r="BK96" s="49" t="s">
        <v>1981</v>
      </c>
      <c r="BL96" s="49" t="s">
        <v>1981</v>
      </c>
      <c r="BM96" s="49" t="s">
        <v>334</v>
      </c>
      <c r="BN96" s="49" t="s">
        <v>334</v>
      </c>
      <c r="BO96" s="49" t="s">
        <v>338</v>
      </c>
      <c r="BP96" s="49" t="s">
        <v>338</v>
      </c>
      <c r="BQ96" s="116" t="s">
        <v>2087</v>
      </c>
      <c r="BR96" s="116" t="s">
        <v>2087</v>
      </c>
      <c r="BS96" s="116" t="s">
        <v>2106</v>
      </c>
      <c r="BT96" s="116" t="s">
        <v>2106</v>
      </c>
    </row>
    <row r="97" spans="1:72" ht="15">
      <c r="A97" s="66" t="s">
        <v>2131</v>
      </c>
      <c r="B97" s="67"/>
      <c r="C97" s="67" t="s">
        <v>64</v>
      </c>
      <c r="D97" s="68">
        <v>10</v>
      </c>
      <c r="E97" s="117"/>
      <c r="F97" s="105" t="str">
        <f>HYPERLINK("https://pbs.twimg.com/profile_images/1399547504430096386/vXZay0HV_normal.jpg")</f>
        <v>https://pbs.twimg.com/profile_images/1399547504430096386/vXZay0HV_normal.jpg</v>
      </c>
      <c r="G97" s="118"/>
      <c r="H97" s="71" t="s">
        <v>2131</v>
      </c>
      <c r="I97" s="72" t="s">
        <v>2636</v>
      </c>
      <c r="J97" s="119" t="s">
        <v>73</v>
      </c>
      <c r="K97" s="71" t="s">
        <v>2354</v>
      </c>
      <c r="L97" s="120">
        <v>129.17948717948718</v>
      </c>
      <c r="M97" s="76"/>
      <c r="N97" s="76"/>
      <c r="O97" s="77"/>
      <c r="P97" s="78"/>
      <c r="Q97" s="78"/>
      <c r="R97" s="121"/>
      <c r="S97" s="49">
        <v>1</v>
      </c>
      <c r="T97" s="49">
        <v>1</v>
      </c>
      <c r="U97" s="50">
        <v>0</v>
      </c>
      <c r="V97" s="50">
        <v>0</v>
      </c>
      <c r="W97" s="50">
        <v>0</v>
      </c>
      <c r="X97" s="50">
        <v>0.999995</v>
      </c>
      <c r="Y97" s="50">
        <v>0</v>
      </c>
      <c r="Z97" s="50">
        <v>0</v>
      </c>
      <c r="AA97" s="73">
        <v>97</v>
      </c>
      <c r="AB97" s="73"/>
      <c r="AC97" s="74"/>
      <c r="AD97" s="90" t="s">
        <v>2273</v>
      </c>
      <c r="AE97" s="99" t="s">
        <v>2297</v>
      </c>
      <c r="AF97" s="90">
        <v>1731</v>
      </c>
      <c r="AG97" s="90">
        <v>476</v>
      </c>
      <c r="AH97" s="90">
        <v>2617</v>
      </c>
      <c r="AI97" s="90">
        <v>3864</v>
      </c>
      <c r="AJ97" s="90"/>
      <c r="AK97" s="90" t="s">
        <v>2321</v>
      </c>
      <c r="AL97" s="90" t="s">
        <v>2330</v>
      </c>
      <c r="AM97" s="90"/>
      <c r="AN97" s="90"/>
      <c r="AO97" s="93">
        <v>42398.45547453704</v>
      </c>
      <c r="AP97" s="96" t="str">
        <f>HYPERLINK("https://pbs.twimg.com/profile_banners/4859946952/1592675751")</f>
        <v>https://pbs.twimg.com/profile_banners/4859946952/1592675751</v>
      </c>
      <c r="AQ97" s="90" t="b">
        <v>1</v>
      </c>
      <c r="AR97" s="90" t="b">
        <v>0</v>
      </c>
      <c r="AS97" s="90" t="b">
        <v>0</v>
      </c>
      <c r="AT97" s="90"/>
      <c r="AU97" s="90">
        <v>2</v>
      </c>
      <c r="AV97" s="90"/>
      <c r="AW97" s="90" t="b">
        <v>0</v>
      </c>
      <c r="AX97" s="90" t="s">
        <v>827</v>
      </c>
      <c r="AY97" s="96" t="str">
        <f>HYPERLINK("https://twitter.com/jouni_linna")</f>
        <v>https://twitter.com/jouni_linna</v>
      </c>
      <c r="AZ97" s="90" t="s">
        <v>66</v>
      </c>
      <c r="BA97" s="89" t="str">
        <f>REPLACE(INDEX(GroupVertices[Group],MATCH(Vertices[[#This Row],[Vertex]],GroupVertices[Vertex],0)),1,1,"")</f>
        <v>4</v>
      </c>
      <c r="BB97" s="49">
        <v>0</v>
      </c>
      <c r="BC97" s="50">
        <v>0</v>
      </c>
      <c r="BD97" s="49">
        <v>0</v>
      </c>
      <c r="BE97" s="50">
        <v>0</v>
      </c>
      <c r="BF97" s="49">
        <v>0</v>
      </c>
      <c r="BG97" s="50">
        <v>0</v>
      </c>
      <c r="BH97" s="49">
        <v>0</v>
      </c>
      <c r="BI97" s="50">
        <v>0</v>
      </c>
      <c r="BJ97" s="49">
        <v>0</v>
      </c>
      <c r="BK97" s="49" t="s">
        <v>2484</v>
      </c>
      <c r="BL97" s="49" t="s">
        <v>2484</v>
      </c>
      <c r="BM97" s="49" t="s">
        <v>2153</v>
      </c>
      <c r="BN97" s="49" t="s">
        <v>2153</v>
      </c>
      <c r="BO97" s="49"/>
      <c r="BP97" s="49"/>
      <c r="BQ97" s="116" t="s">
        <v>535</v>
      </c>
      <c r="BR97" s="116" t="s">
        <v>535</v>
      </c>
      <c r="BS97" s="116" t="s">
        <v>535</v>
      </c>
      <c r="BT97" s="116" t="s">
        <v>535</v>
      </c>
    </row>
    <row r="98" spans="1:72" ht="15">
      <c r="A98" s="66" t="s">
        <v>292</v>
      </c>
      <c r="B98" s="67"/>
      <c r="C98" s="67" t="s">
        <v>46</v>
      </c>
      <c r="D98" s="68"/>
      <c r="E98" s="117"/>
      <c r="F98" s="105" t="str">
        <f>HYPERLINK("https://pbs.twimg.com/profile_images/1310620032733511681/xyuf_OWV_normal.jpg")</f>
        <v>https://pbs.twimg.com/profile_images/1310620032733511681/xyuf_OWV_normal.jpg</v>
      </c>
      <c r="G98" s="118"/>
      <c r="H98" s="71" t="s">
        <v>292</v>
      </c>
      <c r="I98" s="72" t="s">
        <v>2635</v>
      </c>
      <c r="J98" s="119" t="s">
        <v>73</v>
      </c>
      <c r="K98" s="71" t="s">
        <v>898</v>
      </c>
      <c r="L98" s="120">
        <v>1</v>
      </c>
      <c r="M98" s="76">
        <v>7568.57763671875</v>
      </c>
      <c r="N98" s="76">
        <v>4015.232666015625</v>
      </c>
      <c r="O98" s="77"/>
      <c r="P98" s="78"/>
      <c r="Q98" s="78"/>
      <c r="R98" s="121"/>
      <c r="S98" s="49">
        <v>0</v>
      </c>
      <c r="T98" s="49">
        <v>4</v>
      </c>
      <c r="U98" s="50">
        <v>4.444444</v>
      </c>
      <c r="V98" s="50">
        <v>0.005405</v>
      </c>
      <c r="W98" s="50">
        <v>0.010285</v>
      </c>
      <c r="X98" s="50">
        <v>0.656242</v>
      </c>
      <c r="Y98" s="50">
        <v>0.4166666666666667</v>
      </c>
      <c r="Z98" s="50">
        <v>0</v>
      </c>
      <c r="AA98" s="73">
        <v>98</v>
      </c>
      <c r="AB98" s="73"/>
      <c r="AC98" s="74"/>
      <c r="AD98" s="90" t="s">
        <v>645</v>
      </c>
      <c r="AE98" s="99" t="s">
        <v>724</v>
      </c>
      <c r="AF98" s="90">
        <v>1063</v>
      </c>
      <c r="AG98" s="90">
        <v>2307</v>
      </c>
      <c r="AH98" s="90">
        <v>15004</v>
      </c>
      <c r="AI98" s="90">
        <v>6242</v>
      </c>
      <c r="AJ98" s="90"/>
      <c r="AK98" s="90" t="s">
        <v>802</v>
      </c>
      <c r="AL98" s="90" t="s">
        <v>808</v>
      </c>
      <c r="AM98" s="96" t="str">
        <f>HYPERLINK("https://t.co/zJT8xBdQNd")</f>
        <v>https://t.co/zJT8xBdQNd</v>
      </c>
      <c r="AN98" s="90"/>
      <c r="AO98" s="93">
        <v>41129.63743055556</v>
      </c>
      <c r="AP98" s="96" t="str">
        <f>HYPERLINK("https://pbs.twimg.com/profile_banners/745386888/1601312193")</f>
        <v>https://pbs.twimg.com/profile_banners/745386888/1601312193</v>
      </c>
      <c r="AQ98" s="90" t="b">
        <v>0</v>
      </c>
      <c r="AR98" s="90" t="b">
        <v>0</v>
      </c>
      <c r="AS98" s="90" t="b">
        <v>1</v>
      </c>
      <c r="AT98" s="90"/>
      <c r="AU98" s="90">
        <v>41</v>
      </c>
      <c r="AV98" s="96" t="str">
        <f>HYPERLINK("https://abs.twimg.com/images/themes/theme9/bg.gif")</f>
        <v>https://abs.twimg.com/images/themes/theme9/bg.gif</v>
      </c>
      <c r="AW98" s="90" t="b">
        <v>0</v>
      </c>
      <c r="AX98" s="90" t="s">
        <v>827</v>
      </c>
      <c r="AY98" s="96" t="str">
        <f>HYPERLINK("https://twitter.com/wiscoosi")</f>
        <v>https://twitter.com/wiscoosi</v>
      </c>
      <c r="AZ98" s="90" t="s">
        <v>66</v>
      </c>
      <c r="BA98" s="89" t="str">
        <f>REPLACE(INDEX(GroupVertices[Group],MATCH(Vertices[[#This Row],[Vertex]],GroupVertices[Vertex],0)),1,1,"")</f>
        <v>3</v>
      </c>
      <c r="BB98" s="49">
        <v>0</v>
      </c>
      <c r="BC98" s="50">
        <v>0</v>
      </c>
      <c r="BD98" s="49">
        <v>0</v>
      </c>
      <c r="BE98" s="50">
        <v>0</v>
      </c>
      <c r="BF98" s="49">
        <v>0</v>
      </c>
      <c r="BG98" s="50">
        <v>0</v>
      </c>
      <c r="BH98" s="49">
        <v>59</v>
      </c>
      <c r="BI98" s="50">
        <v>100</v>
      </c>
      <c r="BJ98" s="49">
        <v>59</v>
      </c>
      <c r="BK98" s="49" t="s">
        <v>2565</v>
      </c>
      <c r="BL98" s="49" t="s">
        <v>2565</v>
      </c>
      <c r="BM98" s="49" t="s">
        <v>2568</v>
      </c>
      <c r="BN98" s="49" t="s">
        <v>2568</v>
      </c>
      <c r="BO98" s="49" t="s">
        <v>338</v>
      </c>
      <c r="BP98" s="49" t="s">
        <v>338</v>
      </c>
      <c r="BQ98" s="116" t="s">
        <v>2604</v>
      </c>
      <c r="BR98" s="116" t="s">
        <v>2617</v>
      </c>
      <c r="BS98" s="116" t="s">
        <v>2632</v>
      </c>
      <c r="BT98" s="116" t="s">
        <v>2092</v>
      </c>
    </row>
    <row r="99" spans="1:72" ht="15">
      <c r="A99" s="66" t="s">
        <v>2132</v>
      </c>
      <c r="B99" s="67"/>
      <c r="C99" s="67" t="s">
        <v>64</v>
      </c>
      <c r="D99" s="68">
        <v>10</v>
      </c>
      <c r="E99" s="117"/>
      <c r="F99" s="105" t="str">
        <f>HYPERLINK("https://pbs.twimg.com/profile_images/1118236440754819073/Qf8AXOpn_normal.png")</f>
        <v>https://pbs.twimg.com/profile_images/1118236440754819073/Qf8AXOpn_normal.png</v>
      </c>
      <c r="G99" s="118"/>
      <c r="H99" s="71" t="s">
        <v>2132</v>
      </c>
      <c r="I99" s="72" t="s">
        <v>2636</v>
      </c>
      <c r="J99" s="119" t="s">
        <v>73</v>
      </c>
      <c r="K99" s="71" t="s">
        <v>2355</v>
      </c>
      <c r="L99" s="120">
        <v>129.17948717948718</v>
      </c>
      <c r="M99" s="76"/>
      <c r="N99" s="76"/>
      <c r="O99" s="77"/>
      <c r="P99" s="78"/>
      <c r="Q99" s="78"/>
      <c r="R99" s="121"/>
      <c r="S99" s="49">
        <v>1</v>
      </c>
      <c r="T99" s="49">
        <v>1</v>
      </c>
      <c r="U99" s="50">
        <v>0</v>
      </c>
      <c r="V99" s="50">
        <v>0</v>
      </c>
      <c r="W99" s="50">
        <v>0</v>
      </c>
      <c r="X99" s="50">
        <v>0.999995</v>
      </c>
      <c r="Y99" s="50">
        <v>0</v>
      </c>
      <c r="Z99" s="50">
        <v>0</v>
      </c>
      <c r="AA99" s="73">
        <v>99</v>
      </c>
      <c r="AB99" s="73"/>
      <c r="AC99" s="74"/>
      <c r="AD99" s="90" t="s">
        <v>2274</v>
      </c>
      <c r="AE99" s="99" t="s">
        <v>2298</v>
      </c>
      <c r="AF99" s="90">
        <v>408</v>
      </c>
      <c r="AG99" s="90">
        <v>246</v>
      </c>
      <c r="AH99" s="90">
        <v>639</v>
      </c>
      <c r="AI99" s="90">
        <v>1628</v>
      </c>
      <c r="AJ99" s="90"/>
      <c r="AK99" s="90" t="s">
        <v>2322</v>
      </c>
      <c r="AL99" s="90"/>
      <c r="AM99" s="90"/>
      <c r="AN99" s="90"/>
      <c r="AO99" s="93">
        <v>42491.583657407406</v>
      </c>
      <c r="AP99" s="90"/>
      <c r="AQ99" s="90" t="b">
        <v>1</v>
      </c>
      <c r="AR99" s="90" t="b">
        <v>0</v>
      </c>
      <c r="AS99" s="90" t="b">
        <v>1</v>
      </c>
      <c r="AT99" s="90"/>
      <c r="AU99" s="90">
        <v>1</v>
      </c>
      <c r="AV99" s="90"/>
      <c r="AW99" s="90" t="b">
        <v>0</v>
      </c>
      <c r="AX99" s="90" t="s">
        <v>827</v>
      </c>
      <c r="AY99" s="96" t="str">
        <f>HYPERLINK("https://twitter.com/jukka_klemetti")</f>
        <v>https://twitter.com/jukka_klemetti</v>
      </c>
      <c r="AZ99" s="90" t="s">
        <v>66</v>
      </c>
      <c r="BA99" s="89" t="str">
        <f>REPLACE(INDEX(GroupVertices[Group],MATCH(Vertices[[#This Row],[Vertex]],GroupVertices[Vertex],0)),1,1,"")</f>
        <v>4</v>
      </c>
      <c r="BB99" s="49">
        <v>0</v>
      </c>
      <c r="BC99" s="50">
        <v>0</v>
      </c>
      <c r="BD99" s="49">
        <v>0</v>
      </c>
      <c r="BE99" s="50">
        <v>0</v>
      </c>
      <c r="BF99" s="49">
        <v>0</v>
      </c>
      <c r="BG99" s="50">
        <v>0</v>
      </c>
      <c r="BH99" s="49">
        <v>18</v>
      </c>
      <c r="BI99" s="50">
        <v>100</v>
      </c>
      <c r="BJ99" s="49">
        <v>18</v>
      </c>
      <c r="BK99" s="49" t="s">
        <v>2484</v>
      </c>
      <c r="BL99" s="49" t="s">
        <v>2484</v>
      </c>
      <c r="BM99" s="49" t="s">
        <v>2153</v>
      </c>
      <c r="BN99" s="49" t="s">
        <v>2153</v>
      </c>
      <c r="BO99" s="49"/>
      <c r="BP99" s="49"/>
      <c r="BQ99" s="116" t="s">
        <v>2605</v>
      </c>
      <c r="BR99" s="116" t="s">
        <v>2605</v>
      </c>
      <c r="BS99" s="116" t="s">
        <v>2633</v>
      </c>
      <c r="BT99" s="116" t="s">
        <v>2633</v>
      </c>
    </row>
    <row r="100" spans="1:72" ht="15">
      <c r="A100" s="66" t="s">
        <v>298</v>
      </c>
      <c r="B100" s="67"/>
      <c r="C100" s="67" t="s">
        <v>46</v>
      </c>
      <c r="D100" s="68"/>
      <c r="E100" s="117"/>
      <c r="F100" s="105" t="str">
        <f>HYPERLINK("https://pbs.twimg.com/profile_images/1354109926856155137/LodgreDu_normal.jpg")</f>
        <v>https://pbs.twimg.com/profile_images/1354109926856155137/LodgreDu_normal.jpg</v>
      </c>
      <c r="G100" s="118"/>
      <c r="H100" s="71" t="s">
        <v>298</v>
      </c>
      <c r="I100" s="72" t="s">
        <v>2109</v>
      </c>
      <c r="J100" s="119" t="s">
        <v>73</v>
      </c>
      <c r="K100" s="71" t="s">
        <v>899</v>
      </c>
      <c r="L100" s="120">
        <v>1</v>
      </c>
      <c r="M100" s="76">
        <v>2955.056396484375</v>
      </c>
      <c r="N100" s="76">
        <v>393.3548278808594</v>
      </c>
      <c r="O100" s="77"/>
      <c r="P100" s="78"/>
      <c r="Q100" s="78"/>
      <c r="R100" s="121"/>
      <c r="S100" s="49">
        <v>0</v>
      </c>
      <c r="T100" s="49">
        <v>3</v>
      </c>
      <c r="U100" s="50">
        <v>0</v>
      </c>
      <c r="V100" s="50">
        <v>0.005376</v>
      </c>
      <c r="W100" s="50">
        <v>0.009884</v>
      </c>
      <c r="X100" s="50">
        <v>0.519233</v>
      </c>
      <c r="Y100" s="50">
        <v>0.6666666666666666</v>
      </c>
      <c r="Z100" s="50">
        <v>0</v>
      </c>
      <c r="AA100" s="73">
        <v>100</v>
      </c>
      <c r="AB100" s="73"/>
      <c r="AC100" s="74"/>
      <c r="AD100" s="90" t="s">
        <v>646</v>
      </c>
      <c r="AE100" s="99" t="s">
        <v>725</v>
      </c>
      <c r="AF100" s="90">
        <v>1384</v>
      </c>
      <c r="AG100" s="90">
        <v>1200</v>
      </c>
      <c r="AH100" s="90">
        <v>5243</v>
      </c>
      <c r="AI100" s="90">
        <v>13799</v>
      </c>
      <c r="AJ100" s="90"/>
      <c r="AK100" s="90" t="s">
        <v>803</v>
      </c>
      <c r="AL100" s="90"/>
      <c r="AM100" s="90"/>
      <c r="AN100" s="90"/>
      <c r="AO100" s="93">
        <v>41047.308969907404</v>
      </c>
      <c r="AP100" s="90"/>
      <c r="AQ100" s="90" t="b">
        <v>0</v>
      </c>
      <c r="AR100" s="90" t="b">
        <v>0</v>
      </c>
      <c r="AS100" s="90" t="b">
        <v>0</v>
      </c>
      <c r="AT100" s="90"/>
      <c r="AU100" s="90">
        <v>12</v>
      </c>
      <c r="AV100" s="96" t="str">
        <f>HYPERLINK("https://abs.twimg.com/images/themes/theme19/bg.gif")</f>
        <v>https://abs.twimg.com/images/themes/theme19/bg.gif</v>
      </c>
      <c r="AW100" s="90" t="b">
        <v>0</v>
      </c>
      <c r="AX100" s="90" t="s">
        <v>827</v>
      </c>
      <c r="AY100" s="96" t="str">
        <f>HYPERLINK("https://twitter.com/tanjaremes")</f>
        <v>https://twitter.com/tanjaremes</v>
      </c>
      <c r="AZ100" s="90" t="s">
        <v>66</v>
      </c>
      <c r="BA100" s="89" t="str">
        <f>REPLACE(INDEX(GroupVertices[Group],MATCH(Vertices[[#This Row],[Vertex]],GroupVertices[Vertex],0)),1,1,"")</f>
        <v>1</v>
      </c>
      <c r="BB100" s="49">
        <v>0</v>
      </c>
      <c r="BC100" s="50">
        <v>0</v>
      </c>
      <c r="BD100" s="49">
        <v>0</v>
      </c>
      <c r="BE100" s="50">
        <v>0</v>
      </c>
      <c r="BF100" s="49">
        <v>0</v>
      </c>
      <c r="BG100" s="50">
        <v>0</v>
      </c>
      <c r="BH100" s="49">
        <v>28</v>
      </c>
      <c r="BI100" s="50">
        <v>100</v>
      </c>
      <c r="BJ100" s="49">
        <v>28</v>
      </c>
      <c r="BK100" s="49" t="s">
        <v>1981</v>
      </c>
      <c r="BL100" s="49" t="s">
        <v>1981</v>
      </c>
      <c r="BM100" s="49" t="s">
        <v>334</v>
      </c>
      <c r="BN100" s="49" t="s">
        <v>334</v>
      </c>
      <c r="BO100" s="49" t="s">
        <v>338</v>
      </c>
      <c r="BP100" s="49" t="s">
        <v>338</v>
      </c>
      <c r="BQ100" s="116" t="s">
        <v>2079</v>
      </c>
      <c r="BR100" s="116" t="s">
        <v>2079</v>
      </c>
      <c r="BS100" s="116" t="s">
        <v>2092</v>
      </c>
      <c r="BT100" s="116" t="s">
        <v>2092</v>
      </c>
    </row>
    <row r="101" spans="1:72" ht="15">
      <c r="A101" s="66" t="s">
        <v>249</v>
      </c>
      <c r="B101" s="67"/>
      <c r="C101" s="67" t="s">
        <v>64</v>
      </c>
      <c r="D101" s="68">
        <v>10</v>
      </c>
      <c r="E101" s="117"/>
      <c r="F101" s="105" t="str">
        <f>HYPERLINK("https://pbs.twimg.com/profile_images/1134360485736984576/KAKDXRpX_normal.png")</f>
        <v>https://pbs.twimg.com/profile_images/1134360485736984576/KAKDXRpX_normal.png</v>
      </c>
      <c r="G101" s="118"/>
      <c r="H101" s="71" t="s">
        <v>249</v>
      </c>
      <c r="I101" s="72" t="s">
        <v>2635</v>
      </c>
      <c r="J101" s="119" t="s">
        <v>73</v>
      </c>
      <c r="K101" s="71" t="s">
        <v>2356</v>
      </c>
      <c r="L101" s="120">
        <v>129.17948717948718</v>
      </c>
      <c r="M101" s="76">
        <v>5916.9609375</v>
      </c>
      <c r="N101" s="76">
        <v>1737.5826416015625</v>
      </c>
      <c r="O101" s="77"/>
      <c r="P101" s="78"/>
      <c r="Q101" s="78"/>
      <c r="R101" s="121"/>
      <c r="S101" s="49">
        <v>1</v>
      </c>
      <c r="T101" s="49">
        <v>2</v>
      </c>
      <c r="U101" s="50">
        <v>0</v>
      </c>
      <c r="V101" s="50">
        <v>0.003534</v>
      </c>
      <c r="W101" s="50">
        <v>0.000263</v>
      </c>
      <c r="X101" s="50">
        <v>0.68102</v>
      </c>
      <c r="Y101" s="50">
        <v>0</v>
      </c>
      <c r="Z101" s="50">
        <v>0</v>
      </c>
      <c r="AA101" s="73">
        <v>101</v>
      </c>
      <c r="AB101" s="73"/>
      <c r="AC101" s="74"/>
      <c r="AD101" s="90" t="s">
        <v>597</v>
      </c>
      <c r="AE101" s="99" t="s">
        <v>677</v>
      </c>
      <c r="AF101" s="90">
        <v>2826</v>
      </c>
      <c r="AG101" s="90">
        <v>3459</v>
      </c>
      <c r="AH101" s="90">
        <v>16335</v>
      </c>
      <c r="AI101" s="90">
        <v>27215</v>
      </c>
      <c r="AJ101" s="90"/>
      <c r="AK101" s="90" t="s">
        <v>755</v>
      </c>
      <c r="AL101" s="90" t="s">
        <v>815</v>
      </c>
      <c r="AM101" s="96" t="str">
        <f>HYPERLINK("https://t.co/6AkS9ib8i1")</f>
        <v>https://t.co/6AkS9ib8i1</v>
      </c>
      <c r="AN101" s="90"/>
      <c r="AO101" s="93">
        <v>39711.42628472222</v>
      </c>
      <c r="AP101" s="96" t="str">
        <f>HYPERLINK("https://pbs.twimg.com/profile_banners/16376520/1561722486")</f>
        <v>https://pbs.twimg.com/profile_banners/16376520/1561722486</v>
      </c>
      <c r="AQ101" s="90" t="b">
        <v>1</v>
      </c>
      <c r="AR101" s="90" t="b">
        <v>0</v>
      </c>
      <c r="AS101" s="90" t="b">
        <v>1</v>
      </c>
      <c r="AT101" s="90"/>
      <c r="AU101" s="90">
        <v>35</v>
      </c>
      <c r="AV101" s="96" t="str">
        <f>HYPERLINK("https://abs.twimg.com/images/themes/theme1/bg.png")</f>
        <v>https://abs.twimg.com/images/themes/theme1/bg.png</v>
      </c>
      <c r="AW101" s="90" t="b">
        <v>0</v>
      </c>
      <c r="AX101" s="90" t="s">
        <v>827</v>
      </c>
      <c r="AY101" s="96" t="str">
        <f>HYPERLINK("https://twitter.com/jarijarvenpaa")</f>
        <v>https://twitter.com/jarijarvenpaa</v>
      </c>
      <c r="AZ101" s="90" t="s">
        <v>66</v>
      </c>
      <c r="BA101" s="89" t="str">
        <f>REPLACE(INDEX(GroupVertices[Group],MATCH(Vertices[[#This Row],[Vertex]],GroupVertices[Vertex],0)),1,1,"")</f>
        <v>3</v>
      </c>
      <c r="BB101" s="49">
        <v>0</v>
      </c>
      <c r="BC101" s="50">
        <v>0</v>
      </c>
      <c r="BD101" s="49">
        <v>0</v>
      </c>
      <c r="BE101" s="50">
        <v>0</v>
      </c>
      <c r="BF101" s="49">
        <v>0</v>
      </c>
      <c r="BG101" s="50">
        <v>0</v>
      </c>
      <c r="BH101" s="49">
        <v>27</v>
      </c>
      <c r="BI101" s="50">
        <v>100</v>
      </c>
      <c r="BJ101" s="49">
        <v>27</v>
      </c>
      <c r="BK101" s="49" t="s">
        <v>2566</v>
      </c>
      <c r="BL101" s="49" t="s">
        <v>2566</v>
      </c>
      <c r="BM101" s="49" t="s">
        <v>335</v>
      </c>
      <c r="BN101" s="49" t="s">
        <v>335</v>
      </c>
      <c r="BO101" s="49" t="s">
        <v>338</v>
      </c>
      <c r="BP101" s="49" t="s">
        <v>338</v>
      </c>
      <c r="BQ101" s="116" t="s">
        <v>2606</v>
      </c>
      <c r="BR101" s="116" t="s">
        <v>2606</v>
      </c>
      <c r="BS101" s="116" t="s">
        <v>2634</v>
      </c>
      <c r="BT101" s="116" t="s">
        <v>2634</v>
      </c>
    </row>
    <row r="102" spans="1:72" ht="15">
      <c r="A102" s="66" t="s">
        <v>2137</v>
      </c>
      <c r="B102" s="67"/>
      <c r="C102" s="67" t="s">
        <v>64</v>
      </c>
      <c r="D102" s="68">
        <v>494.4080733940875</v>
      </c>
      <c r="E102" s="117"/>
      <c r="F102" s="105" t="str">
        <f>HYPERLINK("https://pbs.twimg.com/profile_images/1166315081543626752/mlmcJ4Hw_normal.jpg")</f>
        <v>https://pbs.twimg.com/profile_images/1166315081543626752/mlmcJ4Hw_normal.jpg</v>
      </c>
      <c r="G102" s="118"/>
      <c r="H102" s="71" t="s">
        <v>2137</v>
      </c>
      <c r="I102" s="72" t="s">
        <v>2635</v>
      </c>
      <c r="J102" s="119" t="s">
        <v>73</v>
      </c>
      <c r="K102" s="71" t="s">
        <v>2357</v>
      </c>
      <c r="L102" s="120">
        <v>513.7179487179487</v>
      </c>
      <c r="M102" s="76">
        <v>6578.18408203125</v>
      </c>
      <c r="N102" s="76">
        <v>2993.861083984375</v>
      </c>
      <c r="O102" s="77"/>
      <c r="P102" s="78"/>
      <c r="Q102" s="78"/>
      <c r="R102" s="121"/>
      <c r="S102" s="49">
        <v>4</v>
      </c>
      <c r="T102" s="49">
        <v>1</v>
      </c>
      <c r="U102" s="50">
        <v>366</v>
      </c>
      <c r="V102" s="50">
        <v>0.005236</v>
      </c>
      <c r="W102" s="50">
        <v>0.003963</v>
      </c>
      <c r="X102" s="50">
        <v>1.136878</v>
      </c>
      <c r="Y102" s="50">
        <v>0</v>
      </c>
      <c r="Z102" s="50">
        <v>0</v>
      </c>
      <c r="AA102" s="73">
        <v>102</v>
      </c>
      <c r="AB102" s="73"/>
      <c r="AC102" s="74"/>
      <c r="AD102" s="90" t="s">
        <v>2275</v>
      </c>
      <c r="AE102" s="99" t="s">
        <v>2299</v>
      </c>
      <c r="AF102" s="90">
        <v>1508</v>
      </c>
      <c r="AG102" s="90">
        <v>6618</v>
      </c>
      <c r="AH102" s="90">
        <v>14311</v>
      </c>
      <c r="AI102" s="90">
        <v>15948</v>
      </c>
      <c r="AJ102" s="90"/>
      <c r="AK102" s="90" t="s">
        <v>2323</v>
      </c>
      <c r="AL102" s="90"/>
      <c r="AM102" s="96" t="str">
        <f>HYPERLINK("https://t.co/iCpbK3FIhL")</f>
        <v>https://t.co/iCpbK3FIhL</v>
      </c>
      <c r="AN102" s="90"/>
      <c r="AO102" s="93">
        <v>42861.83671296296</v>
      </c>
      <c r="AP102" s="96" t="str">
        <f>HYPERLINK("https://pbs.twimg.com/profile_banners/860948498778382337/1566907394")</f>
        <v>https://pbs.twimg.com/profile_banners/860948498778382337/1566907394</v>
      </c>
      <c r="AQ102" s="90" t="b">
        <v>0</v>
      </c>
      <c r="AR102" s="90" t="b">
        <v>0</v>
      </c>
      <c r="AS102" s="90" t="b">
        <v>0</v>
      </c>
      <c r="AT102" s="90"/>
      <c r="AU102" s="90">
        <v>30</v>
      </c>
      <c r="AV102" s="96" t="str">
        <f>HYPERLINK("https://abs.twimg.com/images/themes/theme1/bg.png")</f>
        <v>https://abs.twimg.com/images/themes/theme1/bg.png</v>
      </c>
      <c r="AW102" s="90" t="b">
        <v>0</v>
      </c>
      <c r="AX102" s="90" t="s">
        <v>827</v>
      </c>
      <c r="AY102" s="96" t="str">
        <f>HYPERLINK("https://twitter.com/patriziolaina")</f>
        <v>https://twitter.com/patriziolaina</v>
      </c>
      <c r="AZ102" s="90" t="s">
        <v>66</v>
      </c>
      <c r="BA102" s="89" t="str">
        <f>REPLACE(INDEX(GroupVertices[Group],MATCH(Vertices[[#This Row],[Vertex]],GroupVertices[Vertex],0)),1,1,"")</f>
        <v>3</v>
      </c>
      <c r="BB102" s="49">
        <v>0</v>
      </c>
      <c r="BC102" s="50">
        <v>0</v>
      </c>
      <c r="BD102" s="49">
        <v>0</v>
      </c>
      <c r="BE102" s="50">
        <v>0</v>
      </c>
      <c r="BF102" s="49">
        <v>0</v>
      </c>
      <c r="BG102" s="50">
        <v>0</v>
      </c>
      <c r="BH102" s="49">
        <v>21</v>
      </c>
      <c r="BI102" s="50">
        <v>100</v>
      </c>
      <c r="BJ102" s="49">
        <v>21</v>
      </c>
      <c r="BK102" s="49" t="s">
        <v>1981</v>
      </c>
      <c r="BL102" s="49" t="s">
        <v>1981</v>
      </c>
      <c r="BM102" s="49" t="s">
        <v>334</v>
      </c>
      <c r="BN102" s="49" t="s">
        <v>334</v>
      </c>
      <c r="BO102" s="49"/>
      <c r="BP102" s="49"/>
      <c r="BQ102" s="116" t="s">
        <v>2606</v>
      </c>
      <c r="BR102" s="116" t="s">
        <v>2606</v>
      </c>
      <c r="BS102" s="116" t="s">
        <v>2634</v>
      </c>
      <c r="BT102" s="116" t="s">
        <v>2634</v>
      </c>
    </row>
    <row r="103" spans="1:72" ht="15">
      <c r="A103" s="66" t="s">
        <v>300</v>
      </c>
      <c r="B103" s="67"/>
      <c r="C103" s="67" t="s">
        <v>46</v>
      </c>
      <c r="D103" s="68"/>
      <c r="E103" s="117"/>
      <c r="F103" s="105" t="str">
        <f>HYPERLINK("https://pbs.twimg.com/profile_images/938016996935000065/aN4Lk21b_normal.jpg")</f>
        <v>https://pbs.twimg.com/profile_images/938016996935000065/aN4Lk21b_normal.jpg</v>
      </c>
      <c r="G103" s="118"/>
      <c r="H103" s="71" t="s">
        <v>300</v>
      </c>
      <c r="I103" s="72" t="s">
        <v>2109</v>
      </c>
      <c r="J103" s="119" t="s">
        <v>73</v>
      </c>
      <c r="K103" s="71" t="s">
        <v>900</v>
      </c>
      <c r="L103" s="120">
        <v>1</v>
      </c>
      <c r="M103" s="76">
        <v>5193.46435546875</v>
      </c>
      <c r="N103" s="76">
        <v>4450.390625</v>
      </c>
      <c r="O103" s="77"/>
      <c r="P103" s="78"/>
      <c r="Q103" s="78"/>
      <c r="R103" s="121"/>
      <c r="S103" s="49">
        <v>0</v>
      </c>
      <c r="T103" s="49">
        <v>3</v>
      </c>
      <c r="U103" s="50">
        <v>0</v>
      </c>
      <c r="V103" s="50">
        <v>0.005376</v>
      </c>
      <c r="W103" s="50">
        <v>0.009884</v>
      </c>
      <c r="X103" s="50">
        <v>0.519233</v>
      </c>
      <c r="Y103" s="50">
        <v>0.6666666666666666</v>
      </c>
      <c r="Z103" s="50">
        <v>0</v>
      </c>
      <c r="AA103" s="73">
        <v>103</v>
      </c>
      <c r="AB103" s="73"/>
      <c r="AC103" s="74"/>
      <c r="AD103" s="90" t="s">
        <v>647</v>
      </c>
      <c r="AE103" s="99" t="s">
        <v>726</v>
      </c>
      <c r="AF103" s="90">
        <v>277</v>
      </c>
      <c r="AG103" s="90">
        <v>461</v>
      </c>
      <c r="AH103" s="90">
        <v>426</v>
      </c>
      <c r="AI103" s="90">
        <v>2816</v>
      </c>
      <c r="AJ103" s="90"/>
      <c r="AK103" s="90" t="s">
        <v>804</v>
      </c>
      <c r="AL103" s="90" t="s">
        <v>806</v>
      </c>
      <c r="AM103" s="96" t="str">
        <f>HYPERLINK("https://t.co/d2DSo04EEo")</f>
        <v>https://t.co/d2DSo04EEo</v>
      </c>
      <c r="AN103" s="90"/>
      <c r="AO103" s="93">
        <v>41499.48572916666</v>
      </c>
      <c r="AP103" s="96" t="str">
        <f>HYPERLINK("https://pbs.twimg.com/profile_banners/1667581850/1512475736")</f>
        <v>https://pbs.twimg.com/profile_banners/1667581850/1512475736</v>
      </c>
      <c r="AQ103" s="90" t="b">
        <v>0</v>
      </c>
      <c r="AR103" s="90" t="b">
        <v>0</v>
      </c>
      <c r="AS103" s="90" t="b">
        <v>1</v>
      </c>
      <c r="AT103" s="90"/>
      <c r="AU103" s="90">
        <v>8</v>
      </c>
      <c r="AV103" s="96" t="str">
        <f>HYPERLINK("https://abs.twimg.com/images/themes/theme1/bg.png")</f>
        <v>https://abs.twimg.com/images/themes/theme1/bg.png</v>
      </c>
      <c r="AW103" s="90" t="b">
        <v>0</v>
      </c>
      <c r="AX103" s="90" t="s">
        <v>827</v>
      </c>
      <c r="AY103" s="96" t="str">
        <f>HYPERLINK("https://twitter.com/krista_ri_")</f>
        <v>https://twitter.com/krista_ri_</v>
      </c>
      <c r="AZ103" s="90" t="s">
        <v>66</v>
      </c>
      <c r="BA103" s="89" t="str">
        <f>REPLACE(INDEX(GroupVertices[Group],MATCH(Vertices[[#This Row],[Vertex]],GroupVertices[Vertex],0)),1,1,"")</f>
        <v>1</v>
      </c>
      <c r="BB103" s="49">
        <v>0</v>
      </c>
      <c r="BC103" s="50">
        <v>0</v>
      </c>
      <c r="BD103" s="49">
        <v>0</v>
      </c>
      <c r="BE103" s="50">
        <v>0</v>
      </c>
      <c r="BF103" s="49">
        <v>0</v>
      </c>
      <c r="BG103" s="50">
        <v>0</v>
      </c>
      <c r="BH103" s="49">
        <v>28</v>
      </c>
      <c r="BI103" s="50">
        <v>100</v>
      </c>
      <c r="BJ103" s="49">
        <v>28</v>
      </c>
      <c r="BK103" s="49" t="s">
        <v>1981</v>
      </c>
      <c r="BL103" s="49" t="s">
        <v>1981</v>
      </c>
      <c r="BM103" s="49" t="s">
        <v>334</v>
      </c>
      <c r="BN103" s="49" t="s">
        <v>334</v>
      </c>
      <c r="BO103" s="49" t="s">
        <v>338</v>
      </c>
      <c r="BP103" s="49" t="s">
        <v>338</v>
      </c>
      <c r="BQ103" s="116" t="s">
        <v>2079</v>
      </c>
      <c r="BR103" s="116" t="s">
        <v>2079</v>
      </c>
      <c r="BS103" s="116" t="s">
        <v>2092</v>
      </c>
      <c r="BT103" s="116" t="s">
        <v>2092</v>
      </c>
    </row>
    <row r="104" spans="1:72" ht="15">
      <c r="A104" s="66" t="s">
        <v>273</v>
      </c>
      <c r="B104" s="67"/>
      <c r="C104" s="67" t="s">
        <v>46</v>
      </c>
      <c r="D104" s="68"/>
      <c r="E104" s="117"/>
      <c r="F104" s="105" t="str">
        <f>HYPERLINK("https://pbs.twimg.com/profile_images/1429453762146488323/O8WSZlIy_normal.jpg")</f>
        <v>https://pbs.twimg.com/profile_images/1429453762146488323/O8WSZlIy_normal.jpg</v>
      </c>
      <c r="G104" s="118"/>
      <c r="H104" s="71" t="s">
        <v>273</v>
      </c>
      <c r="I104" s="72" t="s">
        <v>2637</v>
      </c>
      <c r="J104" s="119" t="s">
        <v>73</v>
      </c>
      <c r="K104" s="71" t="s">
        <v>2358</v>
      </c>
      <c r="L104" s="120">
        <v>1</v>
      </c>
      <c r="M104" s="76">
        <v>6321.3330078125</v>
      </c>
      <c r="N104" s="76">
        <v>5302.166015625</v>
      </c>
      <c r="O104" s="77"/>
      <c r="P104" s="78"/>
      <c r="Q104" s="78"/>
      <c r="R104" s="121"/>
      <c r="S104" s="49">
        <v>0</v>
      </c>
      <c r="T104" s="49">
        <v>8</v>
      </c>
      <c r="U104" s="50">
        <v>9.638946</v>
      </c>
      <c r="V104" s="50">
        <v>0.005525</v>
      </c>
      <c r="W104" s="50">
        <v>0.014409</v>
      </c>
      <c r="X104" s="50">
        <v>1.088838</v>
      </c>
      <c r="Y104" s="50">
        <v>0.39285714285714285</v>
      </c>
      <c r="Z104" s="50">
        <v>0</v>
      </c>
      <c r="AA104" s="73">
        <v>104</v>
      </c>
      <c r="AB104" s="73"/>
      <c r="AC104" s="74"/>
      <c r="AD104" s="90" t="s">
        <v>622</v>
      </c>
      <c r="AE104" s="99" t="s">
        <v>702</v>
      </c>
      <c r="AF104" s="90">
        <v>2192</v>
      </c>
      <c r="AG104" s="90">
        <v>3920</v>
      </c>
      <c r="AH104" s="90">
        <v>37029</v>
      </c>
      <c r="AI104" s="90">
        <v>117822</v>
      </c>
      <c r="AJ104" s="90"/>
      <c r="AK104" s="90" t="s">
        <v>780</v>
      </c>
      <c r="AL104" s="90" t="s">
        <v>806</v>
      </c>
      <c r="AM104" s="96" t="str">
        <f>HYPERLINK("https://t.co/mkMbPj3U8m")</f>
        <v>https://t.co/mkMbPj3U8m</v>
      </c>
      <c r="AN104" s="90"/>
      <c r="AO104" s="93">
        <v>40001.56072916667</v>
      </c>
      <c r="AP104" s="96" t="str">
        <f>HYPERLINK("https://pbs.twimg.com/profile_banners/54544774/1512556627")</f>
        <v>https://pbs.twimg.com/profile_banners/54544774/1512556627</v>
      </c>
      <c r="AQ104" s="90" t="b">
        <v>0</v>
      </c>
      <c r="AR104" s="90" t="b">
        <v>0</v>
      </c>
      <c r="AS104" s="90" t="b">
        <v>1</v>
      </c>
      <c r="AT104" s="90"/>
      <c r="AU104" s="90">
        <v>23</v>
      </c>
      <c r="AV104" s="96" t="str">
        <f>HYPERLINK("https://abs.twimg.com/images/themes/theme1/bg.png")</f>
        <v>https://abs.twimg.com/images/themes/theme1/bg.png</v>
      </c>
      <c r="AW104" s="90" t="b">
        <v>0</v>
      </c>
      <c r="AX104" s="90" t="s">
        <v>827</v>
      </c>
      <c r="AY104" s="96" t="str">
        <f>HYPERLINK("https://twitter.com/markkuilmari")</f>
        <v>https://twitter.com/markkuilmari</v>
      </c>
      <c r="AZ104" s="90" t="s">
        <v>66</v>
      </c>
      <c r="BA104" s="89" t="str">
        <f>REPLACE(INDEX(GroupVertices[Group],MATCH(Vertices[[#This Row],[Vertex]],GroupVertices[Vertex],0)),1,1,"")</f>
        <v>2</v>
      </c>
      <c r="BB104" s="49">
        <v>0</v>
      </c>
      <c r="BC104" s="50">
        <v>0</v>
      </c>
      <c r="BD104" s="49">
        <v>0</v>
      </c>
      <c r="BE104" s="50">
        <v>0</v>
      </c>
      <c r="BF104" s="49">
        <v>0</v>
      </c>
      <c r="BG104" s="50">
        <v>0</v>
      </c>
      <c r="BH104" s="49">
        <v>77</v>
      </c>
      <c r="BI104" s="50">
        <v>100</v>
      </c>
      <c r="BJ104" s="49">
        <v>77</v>
      </c>
      <c r="BK104" s="49" t="s">
        <v>2559</v>
      </c>
      <c r="BL104" s="49" t="s">
        <v>2559</v>
      </c>
      <c r="BM104" s="49" t="s">
        <v>334</v>
      </c>
      <c r="BN104" s="49" t="s">
        <v>334</v>
      </c>
      <c r="BO104" s="49" t="s">
        <v>338</v>
      </c>
      <c r="BP104" s="49" t="s">
        <v>338</v>
      </c>
      <c r="BQ104" s="116" t="s">
        <v>2607</v>
      </c>
      <c r="BR104" s="116" t="s">
        <v>2618</v>
      </c>
      <c r="BS104" s="116" t="s">
        <v>2621</v>
      </c>
      <c r="BT104" s="116" t="s">
        <v>2621</v>
      </c>
    </row>
    <row r="105" spans="1:72" ht="15">
      <c r="A105" s="66" t="s">
        <v>2136</v>
      </c>
      <c r="B105" s="67"/>
      <c r="C105" s="67" t="s">
        <v>46</v>
      </c>
      <c r="D105" s="68"/>
      <c r="E105" s="117"/>
      <c r="F105" s="105" t="str">
        <f>HYPERLINK("https://pbs.twimg.com/profile_images/1173585256689147912/iH8ef8Bl_normal.jpg")</f>
        <v>https://pbs.twimg.com/profile_images/1173585256689147912/iH8ef8Bl_normal.jpg</v>
      </c>
      <c r="G105" s="118"/>
      <c r="H105" s="71" t="s">
        <v>2136</v>
      </c>
      <c r="I105" s="72" t="s">
        <v>2637</v>
      </c>
      <c r="J105" s="119" t="s">
        <v>73</v>
      </c>
      <c r="K105" s="71" t="s">
        <v>2359</v>
      </c>
      <c r="L105" s="120">
        <v>1</v>
      </c>
      <c r="M105" s="76">
        <v>5916.9599609375</v>
      </c>
      <c r="N105" s="76">
        <v>7507.20556640625</v>
      </c>
      <c r="O105" s="77"/>
      <c r="P105" s="78"/>
      <c r="Q105" s="78"/>
      <c r="R105" s="121"/>
      <c r="S105" s="49">
        <v>0</v>
      </c>
      <c r="T105" s="49">
        <v>5</v>
      </c>
      <c r="U105" s="50">
        <v>2.182243</v>
      </c>
      <c r="V105" s="50">
        <v>0.005435</v>
      </c>
      <c r="W105" s="50">
        <v>0.009539</v>
      </c>
      <c r="X105" s="50">
        <v>0.729109</v>
      </c>
      <c r="Y105" s="50">
        <v>0.5</v>
      </c>
      <c r="Z105" s="50">
        <v>0</v>
      </c>
      <c r="AA105" s="73">
        <v>105</v>
      </c>
      <c r="AB105" s="73"/>
      <c r="AC105" s="74"/>
      <c r="AD105" s="90" t="s">
        <v>2276</v>
      </c>
      <c r="AE105" s="99" t="s">
        <v>2300</v>
      </c>
      <c r="AF105" s="90">
        <v>2586</v>
      </c>
      <c r="AG105" s="90">
        <v>2195</v>
      </c>
      <c r="AH105" s="90">
        <v>5825</v>
      </c>
      <c r="AI105" s="90">
        <v>20987</v>
      </c>
      <c r="AJ105" s="90"/>
      <c r="AK105" s="90" t="s">
        <v>2324</v>
      </c>
      <c r="AL105" s="90" t="s">
        <v>2328</v>
      </c>
      <c r="AM105" s="96" t="str">
        <f>HYPERLINK("https://t.co/c7WWjwDcLv")</f>
        <v>https://t.co/c7WWjwDcLv</v>
      </c>
      <c r="AN105" s="90"/>
      <c r="AO105" s="93">
        <v>40713.62119212963</v>
      </c>
      <c r="AP105" s="96" t="str">
        <f>HYPERLINK("https://pbs.twimg.com/profile_banners/320226904/1610220413")</f>
        <v>https://pbs.twimg.com/profile_banners/320226904/1610220413</v>
      </c>
      <c r="AQ105" s="90" t="b">
        <v>0</v>
      </c>
      <c r="AR105" s="90" t="b">
        <v>0</v>
      </c>
      <c r="AS105" s="90" t="b">
        <v>1</v>
      </c>
      <c r="AT105" s="90"/>
      <c r="AU105" s="90">
        <v>60</v>
      </c>
      <c r="AV105" s="96" t="str">
        <f>HYPERLINK("https://abs.twimg.com/images/themes/theme14/bg.gif")</f>
        <v>https://abs.twimg.com/images/themes/theme14/bg.gif</v>
      </c>
      <c r="AW105" s="90" t="b">
        <v>0</v>
      </c>
      <c r="AX105" s="90" t="s">
        <v>827</v>
      </c>
      <c r="AY105" s="96" t="str">
        <f>HYPERLINK("https://twitter.com/msaariaho")</f>
        <v>https://twitter.com/msaariaho</v>
      </c>
      <c r="AZ105" s="90" t="s">
        <v>66</v>
      </c>
      <c r="BA105" s="89" t="str">
        <f>REPLACE(INDEX(GroupVertices[Group],MATCH(Vertices[[#This Row],[Vertex]],GroupVertices[Vertex],0)),1,1,"")</f>
        <v>2</v>
      </c>
      <c r="BB105" s="49">
        <v>0</v>
      </c>
      <c r="BC105" s="50">
        <v>0</v>
      </c>
      <c r="BD105" s="49">
        <v>0</v>
      </c>
      <c r="BE105" s="50">
        <v>0</v>
      </c>
      <c r="BF105" s="49">
        <v>0</v>
      </c>
      <c r="BG105" s="50">
        <v>0</v>
      </c>
      <c r="BH105" s="49">
        <v>22</v>
      </c>
      <c r="BI105" s="50">
        <v>100</v>
      </c>
      <c r="BJ105" s="49">
        <v>22</v>
      </c>
      <c r="BK105" s="49" t="s">
        <v>2483</v>
      </c>
      <c r="BL105" s="49" t="s">
        <v>2483</v>
      </c>
      <c r="BM105" s="49" t="s">
        <v>334</v>
      </c>
      <c r="BN105" s="49" t="s">
        <v>334</v>
      </c>
      <c r="BO105" s="49"/>
      <c r="BP105" s="49"/>
      <c r="BQ105" s="116" t="s">
        <v>2581</v>
      </c>
      <c r="BR105" s="116" t="s">
        <v>2581</v>
      </c>
      <c r="BS105" s="116" t="s">
        <v>2620</v>
      </c>
      <c r="BT105" s="116" t="s">
        <v>2620</v>
      </c>
    </row>
    <row r="106" spans="1:72" ht="15">
      <c r="A106" s="66" t="s">
        <v>2138</v>
      </c>
      <c r="B106" s="67"/>
      <c r="C106" s="67" t="s">
        <v>46</v>
      </c>
      <c r="D106" s="68"/>
      <c r="E106" s="117"/>
      <c r="F106" s="105" t="str">
        <f>HYPERLINK("https://pbs.twimg.com/profile_images/1288715735003475970/lLZT3WlP_normal.jpg")</f>
        <v>https://pbs.twimg.com/profile_images/1288715735003475970/lLZT3WlP_normal.jpg</v>
      </c>
      <c r="G106" s="118"/>
      <c r="H106" s="71" t="s">
        <v>2138</v>
      </c>
      <c r="I106" s="72" t="s">
        <v>2635</v>
      </c>
      <c r="J106" s="119" t="s">
        <v>73</v>
      </c>
      <c r="K106" s="71" t="s">
        <v>2360</v>
      </c>
      <c r="L106" s="120">
        <v>1</v>
      </c>
      <c r="M106" s="76">
        <v>6330.91552734375</v>
      </c>
      <c r="N106" s="76">
        <v>4775.30810546875</v>
      </c>
      <c r="O106" s="77"/>
      <c r="P106" s="78"/>
      <c r="Q106" s="78"/>
      <c r="R106" s="121"/>
      <c r="S106" s="49">
        <v>0</v>
      </c>
      <c r="T106" s="49">
        <v>1</v>
      </c>
      <c r="U106" s="50">
        <v>0</v>
      </c>
      <c r="V106" s="50">
        <v>0.003534</v>
      </c>
      <c r="W106" s="50">
        <v>0.000246</v>
      </c>
      <c r="X106" s="50">
        <v>0.391586</v>
      </c>
      <c r="Y106" s="50">
        <v>0</v>
      </c>
      <c r="Z106" s="50">
        <v>0</v>
      </c>
      <c r="AA106" s="73">
        <v>106</v>
      </c>
      <c r="AB106" s="73"/>
      <c r="AC106" s="74"/>
      <c r="AD106" s="90" t="s">
        <v>2277</v>
      </c>
      <c r="AE106" s="99" t="s">
        <v>2301</v>
      </c>
      <c r="AF106" s="90">
        <v>2149</v>
      </c>
      <c r="AG106" s="90">
        <v>1194</v>
      </c>
      <c r="AH106" s="90">
        <v>231058</v>
      </c>
      <c r="AI106" s="90">
        <v>203107</v>
      </c>
      <c r="AJ106" s="90"/>
      <c r="AK106" s="90" t="s">
        <v>2325</v>
      </c>
      <c r="AL106" s="90"/>
      <c r="AM106" s="90"/>
      <c r="AN106" s="90"/>
      <c r="AO106" s="93">
        <v>43026.52296296296</v>
      </c>
      <c r="AP106" s="96" t="str">
        <f>HYPERLINK("https://pbs.twimg.com/profile_banners/920628798130937857/1578157748")</f>
        <v>https://pbs.twimg.com/profile_banners/920628798130937857/1578157748</v>
      </c>
      <c r="AQ106" s="90" t="b">
        <v>1</v>
      </c>
      <c r="AR106" s="90" t="b">
        <v>0</v>
      </c>
      <c r="AS106" s="90" t="b">
        <v>1</v>
      </c>
      <c r="AT106" s="90"/>
      <c r="AU106" s="90">
        <v>4</v>
      </c>
      <c r="AV106" s="90"/>
      <c r="AW106" s="90" t="b">
        <v>0</v>
      </c>
      <c r="AX106" s="90" t="s">
        <v>827</v>
      </c>
      <c r="AY106" s="96" t="str">
        <f>HYPERLINK("https://twitter.com/eijaniskanen1")</f>
        <v>https://twitter.com/eijaniskanen1</v>
      </c>
      <c r="AZ106" s="90" t="s">
        <v>66</v>
      </c>
      <c r="BA106" s="89" t="str">
        <f>REPLACE(INDEX(GroupVertices[Group],MATCH(Vertices[[#This Row],[Vertex]],GroupVertices[Vertex],0)),1,1,"")</f>
        <v>3</v>
      </c>
      <c r="BB106" s="49">
        <v>0</v>
      </c>
      <c r="BC106" s="50">
        <v>0</v>
      </c>
      <c r="BD106" s="49">
        <v>0</v>
      </c>
      <c r="BE106" s="50">
        <v>0</v>
      </c>
      <c r="BF106" s="49">
        <v>0</v>
      </c>
      <c r="BG106" s="50">
        <v>0</v>
      </c>
      <c r="BH106" s="49">
        <v>21</v>
      </c>
      <c r="BI106" s="50">
        <v>100</v>
      </c>
      <c r="BJ106" s="49">
        <v>21</v>
      </c>
      <c r="BK106" s="49" t="s">
        <v>1981</v>
      </c>
      <c r="BL106" s="49" t="s">
        <v>1981</v>
      </c>
      <c r="BM106" s="49" t="s">
        <v>334</v>
      </c>
      <c r="BN106" s="49" t="s">
        <v>334</v>
      </c>
      <c r="BO106" s="49"/>
      <c r="BP106" s="49"/>
      <c r="BQ106" s="116" t="s">
        <v>2606</v>
      </c>
      <c r="BR106" s="116" t="s">
        <v>2606</v>
      </c>
      <c r="BS106" s="116" t="s">
        <v>2634</v>
      </c>
      <c r="BT106" s="116" t="s">
        <v>2634</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1068</v>
      </c>
      <c r="Z2" s="54" t="s">
        <v>1069</v>
      </c>
      <c r="AA2" s="54" t="s">
        <v>1070</v>
      </c>
      <c r="AB2" s="54" t="s">
        <v>1071</v>
      </c>
      <c r="AC2" s="54" t="s">
        <v>1072</v>
      </c>
      <c r="AD2" s="54" t="s">
        <v>1073</v>
      </c>
      <c r="AE2" s="54" t="s">
        <v>1074</v>
      </c>
      <c r="AF2" s="54" t="s">
        <v>1075</v>
      </c>
      <c r="AG2" s="54" t="s">
        <v>1078</v>
      </c>
      <c r="AH2" s="13" t="s">
        <v>2000</v>
      </c>
      <c r="AI2" s="13" t="s">
        <v>2008</v>
      </c>
      <c r="AJ2" s="13" t="s">
        <v>2017</v>
      </c>
      <c r="AK2" s="13" t="s">
        <v>2026</v>
      </c>
      <c r="AL2" s="13" t="s">
        <v>2044</v>
      </c>
      <c r="AM2" s="13" t="s">
        <v>2058</v>
      </c>
      <c r="AN2" s="13" t="s">
        <v>2059</v>
      </c>
      <c r="AO2" s="13" t="s">
        <v>2066</v>
      </c>
    </row>
    <row r="3" spans="1:41" ht="15">
      <c r="A3" s="66" t="s">
        <v>909</v>
      </c>
      <c r="B3" s="67" t="s">
        <v>913</v>
      </c>
      <c r="C3" s="67" t="s">
        <v>56</v>
      </c>
      <c r="D3" s="107"/>
      <c r="E3" s="14" t="s">
        <v>65</v>
      </c>
      <c r="F3" s="15" t="s">
        <v>2111</v>
      </c>
      <c r="G3" s="64"/>
      <c r="H3" s="64"/>
      <c r="I3" s="108">
        <v>3</v>
      </c>
      <c r="J3" s="51"/>
      <c r="K3" s="49">
        <v>58</v>
      </c>
      <c r="L3" s="49">
        <v>120</v>
      </c>
      <c r="M3" s="49">
        <v>0</v>
      </c>
      <c r="N3" s="49">
        <v>120</v>
      </c>
      <c r="O3" s="49">
        <v>0</v>
      </c>
      <c r="P3" s="50">
        <v>0</v>
      </c>
      <c r="Q3" s="50">
        <v>0</v>
      </c>
      <c r="R3" s="49">
        <v>1</v>
      </c>
      <c r="S3" s="49">
        <v>0</v>
      </c>
      <c r="T3" s="49">
        <v>58</v>
      </c>
      <c r="U3" s="49">
        <v>120</v>
      </c>
      <c r="V3" s="49">
        <v>2</v>
      </c>
      <c r="W3" s="50">
        <v>1.894174</v>
      </c>
      <c r="X3" s="50">
        <v>0.036297640653357534</v>
      </c>
      <c r="Y3" s="49">
        <v>1</v>
      </c>
      <c r="Z3" s="50">
        <v>0.06858710562414266</v>
      </c>
      <c r="AA3" s="49">
        <v>0</v>
      </c>
      <c r="AB3" s="50">
        <v>0</v>
      </c>
      <c r="AC3" s="49">
        <v>0</v>
      </c>
      <c r="AD3" s="50">
        <v>0</v>
      </c>
      <c r="AE3" s="49">
        <v>1457</v>
      </c>
      <c r="AF3" s="50">
        <v>99.93141289437585</v>
      </c>
      <c r="AG3" s="49">
        <v>1458</v>
      </c>
      <c r="AH3" s="89" t="s">
        <v>331</v>
      </c>
      <c r="AI3" s="89" t="s">
        <v>335</v>
      </c>
      <c r="AJ3" s="89" t="s">
        <v>2018</v>
      </c>
      <c r="AK3" s="98" t="s">
        <v>2503</v>
      </c>
      <c r="AL3" s="98" t="s">
        <v>2045</v>
      </c>
      <c r="AM3" s="98"/>
      <c r="AN3" s="98" t="s">
        <v>2547</v>
      </c>
      <c r="AO3" s="98" t="s">
        <v>2551</v>
      </c>
    </row>
    <row r="4" spans="1:41" ht="15">
      <c r="A4" s="122" t="s">
        <v>910</v>
      </c>
      <c r="B4" s="67" t="s">
        <v>914</v>
      </c>
      <c r="C4" s="67" t="s">
        <v>56</v>
      </c>
      <c r="D4" s="123"/>
      <c r="E4" s="14" t="s">
        <v>65</v>
      </c>
      <c r="F4" s="15" t="s">
        <v>2639</v>
      </c>
      <c r="G4" s="64"/>
      <c r="H4" s="64"/>
      <c r="I4" s="108">
        <v>4</v>
      </c>
      <c r="J4" s="124"/>
      <c r="K4" s="49">
        <v>21</v>
      </c>
      <c r="L4" s="49">
        <v>58</v>
      </c>
      <c r="M4" s="49">
        <v>13</v>
      </c>
      <c r="N4" s="49">
        <v>71</v>
      </c>
      <c r="O4" s="49">
        <v>1</v>
      </c>
      <c r="P4" s="50">
        <v>0.05</v>
      </c>
      <c r="Q4" s="50">
        <v>0.09523809523809523</v>
      </c>
      <c r="R4" s="49">
        <v>1</v>
      </c>
      <c r="S4" s="49">
        <v>0</v>
      </c>
      <c r="T4" s="49">
        <v>21</v>
      </c>
      <c r="U4" s="49">
        <v>71</v>
      </c>
      <c r="V4" s="49">
        <v>4</v>
      </c>
      <c r="W4" s="50">
        <v>1.845805</v>
      </c>
      <c r="X4" s="50">
        <v>0.15</v>
      </c>
      <c r="Y4" s="49">
        <v>0</v>
      </c>
      <c r="Z4" s="50">
        <v>0</v>
      </c>
      <c r="AA4" s="49">
        <v>0</v>
      </c>
      <c r="AB4" s="50">
        <v>0</v>
      </c>
      <c r="AC4" s="49">
        <v>0</v>
      </c>
      <c r="AD4" s="50">
        <v>0</v>
      </c>
      <c r="AE4" s="49">
        <v>1083</v>
      </c>
      <c r="AF4" s="50">
        <v>100</v>
      </c>
      <c r="AG4" s="49">
        <v>1083</v>
      </c>
      <c r="AH4" s="89" t="s">
        <v>2491</v>
      </c>
      <c r="AI4" s="89" t="s">
        <v>2496</v>
      </c>
      <c r="AJ4" s="89" t="s">
        <v>2500</v>
      </c>
      <c r="AK4" s="98" t="s">
        <v>2504</v>
      </c>
      <c r="AL4" s="98" t="s">
        <v>2541</v>
      </c>
      <c r="AM4" s="89" t="s">
        <v>293</v>
      </c>
      <c r="AN4" s="89" t="s">
        <v>2548</v>
      </c>
      <c r="AO4" s="89" t="s">
        <v>2552</v>
      </c>
    </row>
    <row r="5" spans="1:41" ht="15">
      <c r="A5" s="122" t="s">
        <v>911</v>
      </c>
      <c r="B5" s="67" t="s">
        <v>915</v>
      </c>
      <c r="C5" s="67" t="s">
        <v>56</v>
      </c>
      <c r="D5" s="123"/>
      <c r="E5" s="14" t="s">
        <v>65</v>
      </c>
      <c r="F5" s="15" t="s">
        <v>2640</v>
      </c>
      <c r="G5" s="64"/>
      <c r="H5" s="64"/>
      <c r="I5" s="108">
        <v>5</v>
      </c>
      <c r="J5" s="124"/>
      <c r="K5" s="49">
        <v>15</v>
      </c>
      <c r="L5" s="49">
        <v>21</v>
      </c>
      <c r="M5" s="49">
        <v>7</v>
      </c>
      <c r="N5" s="49">
        <v>28</v>
      </c>
      <c r="O5" s="49">
        <v>8</v>
      </c>
      <c r="P5" s="50">
        <v>0</v>
      </c>
      <c r="Q5" s="50">
        <v>0</v>
      </c>
      <c r="R5" s="49">
        <v>1</v>
      </c>
      <c r="S5" s="49">
        <v>0</v>
      </c>
      <c r="T5" s="49">
        <v>15</v>
      </c>
      <c r="U5" s="49">
        <v>28</v>
      </c>
      <c r="V5" s="49">
        <v>3</v>
      </c>
      <c r="W5" s="50">
        <v>1.893333</v>
      </c>
      <c r="X5" s="50">
        <v>0.09047619047619047</v>
      </c>
      <c r="Y5" s="49">
        <v>0</v>
      </c>
      <c r="Z5" s="50">
        <v>0</v>
      </c>
      <c r="AA5" s="49">
        <v>0</v>
      </c>
      <c r="AB5" s="50">
        <v>0</v>
      </c>
      <c r="AC5" s="49">
        <v>0</v>
      </c>
      <c r="AD5" s="50">
        <v>0</v>
      </c>
      <c r="AE5" s="49">
        <v>650</v>
      </c>
      <c r="AF5" s="50">
        <v>100</v>
      </c>
      <c r="AG5" s="49">
        <v>650</v>
      </c>
      <c r="AH5" s="89" t="s">
        <v>2492</v>
      </c>
      <c r="AI5" s="89" t="s">
        <v>2497</v>
      </c>
      <c r="AJ5" s="89" t="s">
        <v>2501</v>
      </c>
      <c r="AK5" s="98" t="s">
        <v>2505</v>
      </c>
      <c r="AL5" s="98" t="s">
        <v>2542</v>
      </c>
      <c r="AM5" s="89"/>
      <c r="AN5" s="89" t="s">
        <v>2549</v>
      </c>
      <c r="AO5" s="89" t="s">
        <v>2553</v>
      </c>
    </row>
    <row r="6" spans="1:41" ht="15">
      <c r="A6" s="122" t="s">
        <v>912</v>
      </c>
      <c r="B6" s="67" t="s">
        <v>916</v>
      </c>
      <c r="C6" s="67" t="s">
        <v>56</v>
      </c>
      <c r="D6" s="123"/>
      <c r="E6" s="14" t="s">
        <v>66</v>
      </c>
      <c r="F6" s="15" t="s">
        <v>2112</v>
      </c>
      <c r="G6" s="64">
        <v>9420.6005859375</v>
      </c>
      <c r="H6" s="64">
        <v>594.1109619140625</v>
      </c>
      <c r="I6" s="108">
        <v>6</v>
      </c>
      <c r="J6" s="124"/>
      <c r="K6" s="49">
        <v>6</v>
      </c>
      <c r="L6" s="49">
        <v>6</v>
      </c>
      <c r="M6" s="49">
        <v>0</v>
      </c>
      <c r="N6" s="49">
        <v>6</v>
      </c>
      <c r="O6" s="49">
        <v>6</v>
      </c>
      <c r="P6" s="50" t="s">
        <v>920</v>
      </c>
      <c r="Q6" s="50" t="s">
        <v>920</v>
      </c>
      <c r="R6" s="49">
        <v>6</v>
      </c>
      <c r="S6" s="49">
        <v>6</v>
      </c>
      <c r="T6" s="49">
        <v>1</v>
      </c>
      <c r="U6" s="49">
        <v>1</v>
      </c>
      <c r="V6" s="49">
        <v>0</v>
      </c>
      <c r="W6" s="50">
        <v>0</v>
      </c>
      <c r="X6" s="50">
        <v>0</v>
      </c>
      <c r="Y6" s="49">
        <v>1</v>
      </c>
      <c r="Z6" s="50">
        <v>1.1494252873563218</v>
      </c>
      <c r="AA6" s="49">
        <v>0</v>
      </c>
      <c r="AB6" s="50">
        <v>0</v>
      </c>
      <c r="AC6" s="49">
        <v>0</v>
      </c>
      <c r="AD6" s="50">
        <v>0</v>
      </c>
      <c r="AE6" s="49">
        <v>86</v>
      </c>
      <c r="AF6" s="50">
        <v>98.85057471264368</v>
      </c>
      <c r="AG6" s="49">
        <v>87</v>
      </c>
      <c r="AH6" s="89" t="s">
        <v>2493</v>
      </c>
      <c r="AI6" s="89" t="s">
        <v>2498</v>
      </c>
      <c r="AJ6" s="89" t="s">
        <v>340</v>
      </c>
      <c r="AK6" s="98" t="s">
        <v>2506</v>
      </c>
      <c r="AL6" s="98" t="s">
        <v>2028</v>
      </c>
      <c r="AM6" s="89"/>
      <c r="AN6" s="89"/>
      <c r="AO6" s="89" t="s">
        <v>2554</v>
      </c>
    </row>
    <row r="7" spans="1:41" ht="15">
      <c r="A7" s="122" t="s">
        <v>2361</v>
      </c>
      <c r="B7" s="67" t="s">
        <v>2363</v>
      </c>
      <c r="C7" s="67" t="s">
        <v>56</v>
      </c>
      <c r="D7" s="123"/>
      <c r="E7" s="14" t="s">
        <v>65</v>
      </c>
      <c r="F7" s="15" t="s">
        <v>2641</v>
      </c>
      <c r="G7" s="64"/>
      <c r="H7" s="64"/>
      <c r="I7" s="108">
        <v>7</v>
      </c>
      <c r="J7" s="124"/>
      <c r="K7" s="49">
        <v>2</v>
      </c>
      <c r="L7" s="49">
        <v>2</v>
      </c>
      <c r="M7" s="49">
        <v>0</v>
      </c>
      <c r="N7" s="49">
        <v>2</v>
      </c>
      <c r="O7" s="49">
        <v>1</v>
      </c>
      <c r="P7" s="50">
        <v>0</v>
      </c>
      <c r="Q7" s="50">
        <v>0</v>
      </c>
      <c r="R7" s="49">
        <v>1</v>
      </c>
      <c r="S7" s="49">
        <v>0</v>
      </c>
      <c r="T7" s="49">
        <v>2</v>
      </c>
      <c r="U7" s="49">
        <v>2</v>
      </c>
      <c r="V7" s="49">
        <v>1</v>
      </c>
      <c r="W7" s="50">
        <v>0.5</v>
      </c>
      <c r="X7" s="50">
        <v>0.5</v>
      </c>
      <c r="Y7" s="49">
        <v>0</v>
      </c>
      <c r="Z7" s="50">
        <v>0</v>
      </c>
      <c r="AA7" s="49">
        <v>0</v>
      </c>
      <c r="AB7" s="50">
        <v>0</v>
      </c>
      <c r="AC7" s="49">
        <v>0</v>
      </c>
      <c r="AD7" s="50">
        <v>0</v>
      </c>
      <c r="AE7" s="49">
        <v>52</v>
      </c>
      <c r="AF7" s="50">
        <v>100</v>
      </c>
      <c r="AG7" s="49">
        <v>52</v>
      </c>
      <c r="AH7" s="89" t="s">
        <v>331</v>
      </c>
      <c r="AI7" s="89" t="s">
        <v>335</v>
      </c>
      <c r="AJ7" s="89" t="s">
        <v>2154</v>
      </c>
      <c r="AK7" s="98" t="s">
        <v>2507</v>
      </c>
      <c r="AL7" s="98" t="s">
        <v>2543</v>
      </c>
      <c r="AM7" s="89"/>
      <c r="AN7" s="89"/>
      <c r="AO7" s="89" t="s">
        <v>2555</v>
      </c>
    </row>
    <row r="8" spans="1:41" ht="15">
      <c r="A8" s="122" t="s">
        <v>2362</v>
      </c>
      <c r="B8" s="67" t="s">
        <v>2364</v>
      </c>
      <c r="C8" s="67" t="s">
        <v>56</v>
      </c>
      <c r="D8" s="125"/>
      <c r="E8" s="126" t="s">
        <v>65</v>
      </c>
      <c r="F8" s="127" t="s">
        <v>2362</v>
      </c>
      <c r="G8" s="128"/>
      <c r="H8" s="128"/>
      <c r="I8" s="129">
        <v>8</v>
      </c>
      <c r="J8" s="130"/>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44</v>
      </c>
      <c r="AF8" s="50">
        <v>100</v>
      </c>
      <c r="AG8" s="49">
        <v>44</v>
      </c>
      <c r="AH8" s="89" t="s">
        <v>2484</v>
      </c>
      <c r="AI8" s="89" t="s">
        <v>2153</v>
      </c>
      <c r="AJ8" s="89"/>
      <c r="AK8" s="98" t="s">
        <v>2508</v>
      </c>
      <c r="AL8" s="98" t="s">
        <v>2544</v>
      </c>
      <c r="AM8" s="89"/>
      <c r="AN8" s="89"/>
      <c r="AO8" s="89" t="s">
        <v>2556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909</v>
      </c>
      <c r="B2" s="98" t="s">
        <v>299</v>
      </c>
      <c r="C2" s="89">
        <f>VLOOKUP(GroupVertices[[#This Row],[Vertex]],Vertices[],MATCH("ID",Vertices[[#Headers],[Vertex]:[Top Word Pairs in Tweet by Salience]],0),FALSE)</f>
        <v>7</v>
      </c>
    </row>
    <row r="3" spans="1:3" ht="15">
      <c r="A3" s="90" t="s">
        <v>909</v>
      </c>
      <c r="B3" s="98" t="s">
        <v>302</v>
      </c>
      <c r="C3" s="89">
        <f>VLOOKUP(GroupVertices[[#This Row],[Vertex]],Vertices[],MATCH("ID",Vertices[[#Headers],[Vertex]:[Top Word Pairs in Tweet by Salience]],0),FALSE)</f>
        <v>8</v>
      </c>
    </row>
    <row r="4" spans="1:3" ht="15">
      <c r="A4" s="90" t="s">
        <v>909</v>
      </c>
      <c r="B4" s="98" t="s">
        <v>300</v>
      </c>
      <c r="C4" s="89">
        <f>VLOOKUP(GroupVertices[[#This Row],[Vertex]],Vertices[],MATCH("ID",Vertices[[#Headers],[Vertex]:[Top Word Pairs in Tweet by Salience]],0),FALSE)</f>
        <v>103</v>
      </c>
    </row>
    <row r="5" spans="1:3" ht="15">
      <c r="A5" s="90" t="s">
        <v>909</v>
      </c>
      <c r="B5" s="98" t="s">
        <v>298</v>
      </c>
      <c r="C5" s="89">
        <f>VLOOKUP(GroupVertices[[#This Row],[Vertex]],Vertices[],MATCH("ID",Vertices[[#Headers],[Vertex]:[Top Word Pairs in Tweet by Salience]],0),FALSE)</f>
        <v>100</v>
      </c>
    </row>
    <row r="6" spans="1:3" ht="15">
      <c r="A6" s="90" t="s">
        <v>909</v>
      </c>
      <c r="B6" s="98" t="s">
        <v>288</v>
      </c>
      <c r="C6" s="89">
        <f>VLOOKUP(GroupVertices[[#This Row],[Vertex]],Vertices[],MATCH("ID",Vertices[[#Headers],[Vertex]:[Top Word Pairs in Tweet by Salience]],0),FALSE)</f>
        <v>90</v>
      </c>
    </row>
    <row r="7" spans="1:3" ht="15">
      <c r="A7" s="90" t="s">
        <v>909</v>
      </c>
      <c r="B7" s="98" t="s">
        <v>287</v>
      </c>
      <c r="C7" s="89">
        <f>VLOOKUP(GroupVertices[[#This Row],[Vertex]],Vertices[],MATCH("ID",Vertices[[#Headers],[Vertex]:[Top Word Pairs in Tweet by Salience]],0),FALSE)</f>
        <v>89</v>
      </c>
    </row>
    <row r="8" spans="1:3" ht="15">
      <c r="A8" s="90" t="s">
        <v>909</v>
      </c>
      <c r="B8" s="98" t="s">
        <v>285</v>
      </c>
      <c r="C8" s="89">
        <f>VLOOKUP(GroupVertices[[#This Row],[Vertex]],Vertices[],MATCH("ID",Vertices[[#Headers],[Vertex]:[Top Word Pairs in Tweet by Salience]],0),FALSE)</f>
        <v>83</v>
      </c>
    </row>
    <row r="9" spans="1:3" ht="15">
      <c r="A9" s="90" t="s">
        <v>909</v>
      </c>
      <c r="B9" s="98" t="s">
        <v>2134</v>
      </c>
      <c r="C9" s="89">
        <f>VLOOKUP(GroupVertices[[#This Row],[Vertex]],Vertices[],MATCH("ID",Vertices[[#Headers],[Vertex]:[Top Word Pairs in Tweet by Salience]],0),FALSE)</f>
        <v>44</v>
      </c>
    </row>
    <row r="10" spans="1:3" ht="15">
      <c r="A10" s="90" t="s">
        <v>909</v>
      </c>
      <c r="B10" s="98" t="s">
        <v>283</v>
      </c>
      <c r="C10" s="89">
        <f>VLOOKUP(GroupVertices[[#This Row],[Vertex]],Vertices[],MATCH("ID",Vertices[[#Headers],[Vertex]:[Top Word Pairs in Tweet by Salience]],0),FALSE)</f>
        <v>81</v>
      </c>
    </row>
    <row r="11" spans="1:3" ht="15">
      <c r="A11" s="90" t="s">
        <v>909</v>
      </c>
      <c r="B11" s="98" t="s">
        <v>281</v>
      </c>
      <c r="C11" s="89">
        <f>VLOOKUP(GroupVertices[[#This Row],[Vertex]],Vertices[],MATCH("ID",Vertices[[#Headers],[Vertex]:[Top Word Pairs in Tweet by Salience]],0),FALSE)</f>
        <v>77</v>
      </c>
    </row>
    <row r="12" spans="1:3" ht="15">
      <c r="A12" s="90" t="s">
        <v>909</v>
      </c>
      <c r="B12" s="98" t="s">
        <v>280</v>
      </c>
      <c r="C12" s="89">
        <f>VLOOKUP(GroupVertices[[#This Row],[Vertex]],Vertices[],MATCH("ID",Vertices[[#Headers],[Vertex]:[Top Word Pairs in Tweet by Salience]],0),FALSE)</f>
        <v>76</v>
      </c>
    </row>
    <row r="13" spans="1:3" ht="15">
      <c r="A13" s="90" t="s">
        <v>909</v>
      </c>
      <c r="B13" s="98" t="s">
        <v>279</v>
      </c>
      <c r="C13" s="89">
        <f>VLOOKUP(GroupVertices[[#This Row],[Vertex]],Vertices[],MATCH("ID",Vertices[[#Headers],[Vertex]:[Top Word Pairs in Tweet by Salience]],0),FALSE)</f>
        <v>75</v>
      </c>
    </row>
    <row r="14" spans="1:3" ht="15">
      <c r="A14" s="90" t="s">
        <v>909</v>
      </c>
      <c r="B14" s="98" t="s">
        <v>294</v>
      </c>
      <c r="C14" s="89">
        <f>VLOOKUP(GroupVertices[[#This Row],[Vertex]],Vertices[],MATCH("ID",Vertices[[#Headers],[Vertex]:[Top Word Pairs in Tweet by Salience]],0),FALSE)</f>
        <v>74</v>
      </c>
    </row>
    <row r="15" spans="1:3" ht="15">
      <c r="A15" s="90" t="s">
        <v>909</v>
      </c>
      <c r="B15" s="98" t="s">
        <v>278</v>
      </c>
      <c r="C15" s="89">
        <f>VLOOKUP(GroupVertices[[#This Row],[Vertex]],Vertices[],MATCH("ID",Vertices[[#Headers],[Vertex]:[Top Word Pairs in Tweet by Salience]],0),FALSE)</f>
        <v>73</v>
      </c>
    </row>
    <row r="16" spans="1:3" ht="15">
      <c r="A16" s="90" t="s">
        <v>909</v>
      </c>
      <c r="B16" s="98" t="s">
        <v>277</v>
      </c>
      <c r="C16" s="89">
        <f>VLOOKUP(GroupVertices[[#This Row],[Vertex]],Vertices[],MATCH("ID",Vertices[[#Headers],[Vertex]:[Top Word Pairs in Tweet by Salience]],0),FALSE)</f>
        <v>72</v>
      </c>
    </row>
    <row r="17" spans="1:3" ht="15">
      <c r="A17" s="90" t="s">
        <v>909</v>
      </c>
      <c r="B17" s="98" t="s">
        <v>276</v>
      </c>
      <c r="C17" s="89">
        <f>VLOOKUP(GroupVertices[[#This Row],[Vertex]],Vertices[],MATCH("ID",Vertices[[#Headers],[Vertex]:[Top Word Pairs in Tweet by Salience]],0),FALSE)</f>
        <v>71</v>
      </c>
    </row>
    <row r="18" spans="1:3" ht="15">
      <c r="A18" s="90" t="s">
        <v>909</v>
      </c>
      <c r="B18" s="98" t="s">
        <v>275</v>
      </c>
      <c r="C18" s="89">
        <f>VLOOKUP(GroupVertices[[#This Row],[Vertex]],Vertices[],MATCH("ID",Vertices[[#Headers],[Vertex]:[Top Word Pairs in Tweet by Salience]],0),FALSE)</f>
        <v>70</v>
      </c>
    </row>
    <row r="19" spans="1:3" ht="15">
      <c r="A19" s="90" t="s">
        <v>909</v>
      </c>
      <c r="B19" s="98" t="s">
        <v>274</v>
      </c>
      <c r="C19" s="89">
        <f>VLOOKUP(GroupVertices[[#This Row],[Vertex]],Vertices[],MATCH("ID",Vertices[[#Headers],[Vertex]:[Top Word Pairs in Tweet by Salience]],0),FALSE)</f>
        <v>57</v>
      </c>
    </row>
    <row r="20" spans="1:3" ht="15">
      <c r="A20" s="90" t="s">
        <v>909</v>
      </c>
      <c r="B20" s="98" t="s">
        <v>272</v>
      </c>
      <c r="C20" s="89">
        <f>VLOOKUP(GroupVertices[[#This Row],[Vertex]],Vertices[],MATCH("ID",Vertices[[#Headers],[Vertex]:[Top Word Pairs in Tweet by Salience]],0),FALSE)</f>
        <v>68</v>
      </c>
    </row>
    <row r="21" spans="1:3" ht="15">
      <c r="A21" s="90" t="s">
        <v>909</v>
      </c>
      <c r="B21" s="98" t="s">
        <v>271</v>
      </c>
      <c r="C21" s="89">
        <f>VLOOKUP(GroupVertices[[#This Row],[Vertex]],Vertices[],MATCH("ID",Vertices[[#Headers],[Vertex]:[Top Word Pairs in Tweet by Salience]],0),FALSE)</f>
        <v>66</v>
      </c>
    </row>
    <row r="22" spans="1:3" ht="15">
      <c r="A22" s="90" t="s">
        <v>909</v>
      </c>
      <c r="B22" s="98" t="s">
        <v>270</v>
      </c>
      <c r="C22" s="89">
        <f>VLOOKUP(GroupVertices[[#This Row],[Vertex]],Vertices[],MATCH("ID",Vertices[[#Headers],[Vertex]:[Top Word Pairs in Tweet by Salience]],0),FALSE)</f>
        <v>65</v>
      </c>
    </row>
    <row r="23" spans="1:3" ht="15">
      <c r="A23" s="90" t="s">
        <v>909</v>
      </c>
      <c r="B23" s="98" t="s">
        <v>269</v>
      </c>
      <c r="C23" s="89">
        <f>VLOOKUP(GroupVertices[[#This Row],[Vertex]],Vertices[],MATCH("ID",Vertices[[#Headers],[Vertex]:[Top Word Pairs in Tweet by Salience]],0),FALSE)</f>
        <v>64</v>
      </c>
    </row>
    <row r="24" spans="1:3" ht="15">
      <c r="A24" s="90" t="s">
        <v>909</v>
      </c>
      <c r="B24" s="98" t="s">
        <v>268</v>
      </c>
      <c r="C24" s="89">
        <f>VLOOKUP(GroupVertices[[#This Row],[Vertex]],Vertices[],MATCH("ID",Vertices[[#Headers],[Vertex]:[Top Word Pairs in Tweet by Salience]],0),FALSE)</f>
        <v>63</v>
      </c>
    </row>
    <row r="25" spans="1:3" ht="15">
      <c r="A25" s="90" t="s">
        <v>909</v>
      </c>
      <c r="B25" s="98" t="s">
        <v>2122</v>
      </c>
      <c r="C25" s="89">
        <f>VLOOKUP(GroupVertices[[#This Row],[Vertex]],Vertices[],MATCH("ID",Vertices[[#Headers],[Vertex]:[Top Word Pairs in Tweet by Salience]],0),FALSE)</f>
        <v>62</v>
      </c>
    </row>
    <row r="26" spans="1:3" ht="15">
      <c r="A26" s="90" t="s">
        <v>909</v>
      </c>
      <c r="B26" s="98" t="s">
        <v>2121</v>
      </c>
      <c r="C26" s="89">
        <f>VLOOKUP(GroupVertices[[#This Row],[Vertex]],Vertices[],MATCH("ID",Vertices[[#Headers],[Vertex]:[Top Word Pairs in Tweet by Salience]],0),FALSE)</f>
        <v>61</v>
      </c>
    </row>
    <row r="27" spans="1:3" ht="15">
      <c r="A27" s="90" t="s">
        <v>909</v>
      </c>
      <c r="B27" s="98" t="s">
        <v>267</v>
      </c>
      <c r="C27" s="89">
        <f>VLOOKUP(GroupVertices[[#This Row],[Vertex]],Vertices[],MATCH("ID",Vertices[[#Headers],[Vertex]:[Top Word Pairs in Tweet by Salience]],0),FALSE)</f>
        <v>60</v>
      </c>
    </row>
    <row r="28" spans="1:3" ht="15">
      <c r="A28" s="90" t="s">
        <v>909</v>
      </c>
      <c r="B28" s="98" t="s">
        <v>266</v>
      </c>
      <c r="C28" s="89">
        <f>VLOOKUP(GroupVertices[[#This Row],[Vertex]],Vertices[],MATCH("ID",Vertices[[#Headers],[Vertex]:[Top Word Pairs in Tweet by Salience]],0),FALSE)</f>
        <v>58</v>
      </c>
    </row>
    <row r="29" spans="1:3" ht="15">
      <c r="A29" s="90" t="s">
        <v>909</v>
      </c>
      <c r="B29" s="98" t="s">
        <v>265</v>
      </c>
      <c r="C29" s="89">
        <f>VLOOKUP(GroupVertices[[#This Row],[Vertex]],Vertices[],MATCH("ID",Vertices[[#Headers],[Vertex]:[Top Word Pairs in Tweet by Salience]],0),FALSE)</f>
        <v>56</v>
      </c>
    </row>
    <row r="30" spans="1:3" ht="15">
      <c r="A30" s="90" t="s">
        <v>909</v>
      </c>
      <c r="B30" s="98" t="s">
        <v>264</v>
      </c>
      <c r="C30" s="89">
        <f>VLOOKUP(GroupVertices[[#This Row],[Vertex]],Vertices[],MATCH("ID",Vertices[[#Headers],[Vertex]:[Top Word Pairs in Tweet by Salience]],0),FALSE)</f>
        <v>55</v>
      </c>
    </row>
    <row r="31" spans="1:3" ht="15">
      <c r="A31" s="90" t="s">
        <v>909</v>
      </c>
      <c r="B31" s="98" t="s">
        <v>263</v>
      </c>
      <c r="C31" s="89">
        <f>VLOOKUP(GroupVertices[[#This Row],[Vertex]],Vertices[],MATCH("ID",Vertices[[#Headers],[Vertex]:[Top Word Pairs in Tweet by Salience]],0),FALSE)</f>
        <v>54</v>
      </c>
    </row>
    <row r="32" spans="1:3" ht="15">
      <c r="A32" s="90" t="s">
        <v>909</v>
      </c>
      <c r="B32" s="98" t="s">
        <v>262</v>
      </c>
      <c r="C32" s="89">
        <f>VLOOKUP(GroupVertices[[#This Row],[Vertex]],Vertices[],MATCH("ID",Vertices[[#Headers],[Vertex]:[Top Word Pairs in Tweet by Salience]],0),FALSE)</f>
        <v>53</v>
      </c>
    </row>
    <row r="33" spans="1:3" ht="15">
      <c r="A33" s="90" t="s">
        <v>909</v>
      </c>
      <c r="B33" s="98" t="s">
        <v>259</v>
      </c>
      <c r="C33" s="89">
        <f>VLOOKUP(GroupVertices[[#This Row],[Vertex]],Vertices[],MATCH("ID",Vertices[[#Headers],[Vertex]:[Top Word Pairs in Tweet by Salience]],0),FALSE)</f>
        <v>51</v>
      </c>
    </row>
    <row r="34" spans="1:3" ht="15">
      <c r="A34" s="90" t="s">
        <v>909</v>
      </c>
      <c r="B34" s="98" t="s">
        <v>258</v>
      </c>
      <c r="C34" s="89">
        <f>VLOOKUP(GroupVertices[[#This Row],[Vertex]],Vertices[],MATCH("ID",Vertices[[#Headers],[Vertex]:[Top Word Pairs in Tweet by Salience]],0),FALSE)</f>
        <v>50</v>
      </c>
    </row>
    <row r="35" spans="1:3" ht="15">
      <c r="A35" s="90" t="s">
        <v>909</v>
      </c>
      <c r="B35" s="98" t="s">
        <v>257</v>
      </c>
      <c r="C35" s="89">
        <f>VLOOKUP(GroupVertices[[#This Row],[Vertex]],Vertices[],MATCH("ID",Vertices[[#Headers],[Vertex]:[Top Word Pairs in Tweet by Salience]],0),FALSE)</f>
        <v>49</v>
      </c>
    </row>
    <row r="36" spans="1:3" ht="15">
      <c r="A36" s="90" t="s">
        <v>909</v>
      </c>
      <c r="B36" s="98" t="s">
        <v>256</v>
      </c>
      <c r="C36" s="89">
        <f>VLOOKUP(GroupVertices[[#This Row],[Vertex]],Vertices[],MATCH("ID",Vertices[[#Headers],[Vertex]:[Top Word Pairs in Tweet by Salience]],0),FALSE)</f>
        <v>48</v>
      </c>
    </row>
    <row r="37" spans="1:3" ht="15">
      <c r="A37" s="90" t="s">
        <v>909</v>
      </c>
      <c r="B37" s="98" t="s">
        <v>2118</v>
      </c>
      <c r="C37" s="89">
        <f>VLOOKUP(GroupVertices[[#This Row],[Vertex]],Vertices[],MATCH("ID",Vertices[[#Headers],[Vertex]:[Top Word Pairs in Tweet by Salience]],0),FALSE)</f>
        <v>46</v>
      </c>
    </row>
    <row r="38" spans="1:3" ht="15">
      <c r="A38" s="90" t="s">
        <v>909</v>
      </c>
      <c r="B38" s="98" t="s">
        <v>255</v>
      </c>
      <c r="C38" s="89">
        <f>VLOOKUP(GroupVertices[[#This Row],[Vertex]],Vertices[],MATCH("ID",Vertices[[#Headers],[Vertex]:[Top Word Pairs in Tweet by Salience]],0),FALSE)</f>
        <v>45</v>
      </c>
    </row>
    <row r="39" spans="1:3" ht="15">
      <c r="A39" s="90" t="s">
        <v>909</v>
      </c>
      <c r="B39" s="98" t="s">
        <v>2117</v>
      </c>
      <c r="C39" s="89">
        <f>VLOOKUP(GroupVertices[[#This Row],[Vertex]],Vertices[],MATCH("ID",Vertices[[#Headers],[Vertex]:[Top Word Pairs in Tweet by Salience]],0),FALSE)</f>
        <v>43</v>
      </c>
    </row>
    <row r="40" spans="1:3" ht="15">
      <c r="A40" s="90" t="s">
        <v>909</v>
      </c>
      <c r="B40" s="98" t="s">
        <v>251</v>
      </c>
      <c r="C40" s="89">
        <f>VLOOKUP(GroupVertices[[#This Row],[Vertex]],Vertices[],MATCH("ID",Vertices[[#Headers],[Vertex]:[Top Word Pairs in Tweet by Salience]],0),FALSE)</f>
        <v>39</v>
      </c>
    </row>
    <row r="41" spans="1:3" ht="15">
      <c r="A41" s="90" t="s">
        <v>909</v>
      </c>
      <c r="B41" s="98" t="s">
        <v>247</v>
      </c>
      <c r="C41" s="89">
        <f>VLOOKUP(GroupVertices[[#This Row],[Vertex]],Vertices[],MATCH("ID",Vertices[[#Headers],[Vertex]:[Top Word Pairs in Tweet by Salience]],0),FALSE)</f>
        <v>29</v>
      </c>
    </row>
    <row r="42" spans="1:3" ht="15">
      <c r="A42" s="90" t="s">
        <v>909</v>
      </c>
      <c r="B42" s="98" t="s">
        <v>245</v>
      </c>
      <c r="C42" s="89">
        <f>VLOOKUP(GroupVertices[[#This Row],[Vertex]],Vertices[],MATCH("ID",Vertices[[#Headers],[Vertex]:[Top Word Pairs in Tweet by Salience]],0),FALSE)</f>
        <v>26</v>
      </c>
    </row>
    <row r="43" spans="1:3" ht="15">
      <c r="A43" s="90" t="s">
        <v>909</v>
      </c>
      <c r="B43" s="98" t="s">
        <v>244</v>
      </c>
      <c r="C43" s="89">
        <f>VLOOKUP(GroupVertices[[#This Row],[Vertex]],Vertices[],MATCH("ID",Vertices[[#Headers],[Vertex]:[Top Word Pairs in Tweet by Salience]],0),FALSE)</f>
        <v>25</v>
      </c>
    </row>
    <row r="44" spans="1:3" ht="15">
      <c r="A44" s="90" t="s">
        <v>909</v>
      </c>
      <c r="B44" s="98" t="s">
        <v>243</v>
      </c>
      <c r="C44" s="89">
        <f>VLOOKUP(GroupVertices[[#This Row],[Vertex]],Vertices[],MATCH("ID",Vertices[[#Headers],[Vertex]:[Top Word Pairs in Tweet by Salience]],0),FALSE)</f>
        <v>24</v>
      </c>
    </row>
    <row r="45" spans="1:3" ht="15">
      <c r="A45" s="90" t="s">
        <v>909</v>
      </c>
      <c r="B45" s="98" t="s">
        <v>242</v>
      </c>
      <c r="C45" s="89">
        <f>VLOOKUP(GroupVertices[[#This Row],[Vertex]],Vertices[],MATCH("ID",Vertices[[#Headers],[Vertex]:[Top Word Pairs in Tweet by Salience]],0),FALSE)</f>
        <v>23</v>
      </c>
    </row>
    <row r="46" spans="1:3" ht="15">
      <c r="A46" s="90" t="s">
        <v>909</v>
      </c>
      <c r="B46" s="98" t="s">
        <v>241</v>
      </c>
      <c r="C46" s="89">
        <f>VLOOKUP(GroupVertices[[#This Row],[Vertex]],Vertices[],MATCH("ID",Vertices[[#Headers],[Vertex]:[Top Word Pairs in Tweet by Salience]],0),FALSE)</f>
        <v>22</v>
      </c>
    </row>
    <row r="47" spans="1:3" ht="15">
      <c r="A47" s="90" t="s">
        <v>909</v>
      </c>
      <c r="B47" s="98" t="s">
        <v>240</v>
      </c>
      <c r="C47" s="89">
        <f>VLOOKUP(GroupVertices[[#This Row],[Vertex]],Vertices[],MATCH("ID",Vertices[[#Headers],[Vertex]:[Top Word Pairs in Tweet by Salience]],0),FALSE)</f>
        <v>21</v>
      </c>
    </row>
    <row r="48" spans="1:3" ht="15">
      <c r="A48" s="90" t="s">
        <v>909</v>
      </c>
      <c r="B48" s="98" t="s">
        <v>239</v>
      </c>
      <c r="C48" s="89">
        <f>VLOOKUP(GroupVertices[[#This Row],[Vertex]],Vertices[],MATCH("ID",Vertices[[#Headers],[Vertex]:[Top Word Pairs in Tweet by Salience]],0),FALSE)</f>
        <v>20</v>
      </c>
    </row>
    <row r="49" spans="1:3" ht="15">
      <c r="A49" s="90" t="s">
        <v>909</v>
      </c>
      <c r="B49" s="98" t="s">
        <v>238</v>
      </c>
      <c r="C49" s="89">
        <f>VLOOKUP(GroupVertices[[#This Row],[Vertex]],Vertices[],MATCH("ID",Vertices[[#Headers],[Vertex]:[Top Word Pairs in Tweet by Salience]],0),FALSE)</f>
        <v>19</v>
      </c>
    </row>
    <row r="50" spans="1:3" ht="15">
      <c r="A50" s="90" t="s">
        <v>909</v>
      </c>
      <c r="B50" s="98" t="s">
        <v>236</v>
      </c>
      <c r="C50" s="89">
        <f>VLOOKUP(GroupVertices[[#This Row],[Vertex]],Vertices[],MATCH("ID",Vertices[[#Headers],[Vertex]:[Top Word Pairs in Tweet by Salience]],0),FALSE)</f>
        <v>17</v>
      </c>
    </row>
    <row r="51" spans="1:3" ht="15">
      <c r="A51" s="90" t="s">
        <v>909</v>
      </c>
      <c r="B51" s="98" t="s">
        <v>234</v>
      </c>
      <c r="C51" s="89">
        <f>VLOOKUP(GroupVertices[[#This Row],[Vertex]],Vertices[],MATCH("ID",Vertices[[#Headers],[Vertex]:[Top Word Pairs in Tweet by Salience]],0),FALSE)</f>
        <v>16</v>
      </c>
    </row>
    <row r="52" spans="1:3" ht="15">
      <c r="A52" s="90" t="s">
        <v>909</v>
      </c>
      <c r="B52" s="98" t="s">
        <v>233</v>
      </c>
      <c r="C52" s="89">
        <f>VLOOKUP(GroupVertices[[#This Row],[Vertex]],Vertices[],MATCH("ID",Vertices[[#Headers],[Vertex]:[Top Word Pairs in Tweet by Salience]],0),FALSE)</f>
        <v>15</v>
      </c>
    </row>
    <row r="53" spans="1:3" ht="15">
      <c r="A53" s="90" t="s">
        <v>909</v>
      </c>
      <c r="B53" s="98" t="s">
        <v>232</v>
      </c>
      <c r="C53" s="89">
        <f>VLOOKUP(GroupVertices[[#This Row],[Vertex]],Vertices[],MATCH("ID",Vertices[[#Headers],[Vertex]:[Top Word Pairs in Tweet by Salience]],0),FALSE)</f>
        <v>14</v>
      </c>
    </row>
    <row r="54" spans="1:3" ht="15">
      <c r="A54" s="90" t="s">
        <v>909</v>
      </c>
      <c r="B54" s="98" t="s">
        <v>231</v>
      </c>
      <c r="C54" s="89">
        <f>VLOOKUP(GroupVertices[[#This Row],[Vertex]],Vertices[],MATCH("ID",Vertices[[#Headers],[Vertex]:[Top Word Pairs in Tweet by Salience]],0),FALSE)</f>
        <v>13</v>
      </c>
    </row>
    <row r="55" spans="1:3" ht="15">
      <c r="A55" s="90" t="s">
        <v>909</v>
      </c>
      <c r="B55" s="98" t="s">
        <v>230</v>
      </c>
      <c r="C55" s="89">
        <f>VLOOKUP(GroupVertices[[#This Row],[Vertex]],Vertices[],MATCH("ID",Vertices[[#Headers],[Vertex]:[Top Word Pairs in Tweet by Salience]],0),FALSE)</f>
        <v>12</v>
      </c>
    </row>
    <row r="56" spans="1:3" ht="15">
      <c r="A56" s="90" t="s">
        <v>909</v>
      </c>
      <c r="B56" s="98" t="s">
        <v>229</v>
      </c>
      <c r="C56" s="89">
        <f>VLOOKUP(GroupVertices[[#This Row],[Vertex]],Vertices[],MATCH("ID",Vertices[[#Headers],[Vertex]:[Top Word Pairs in Tweet by Salience]],0),FALSE)</f>
        <v>11</v>
      </c>
    </row>
    <row r="57" spans="1:3" ht="15">
      <c r="A57" s="90" t="s">
        <v>909</v>
      </c>
      <c r="B57" s="98" t="s">
        <v>228</v>
      </c>
      <c r="C57" s="89">
        <f>VLOOKUP(GroupVertices[[#This Row],[Vertex]],Vertices[],MATCH("ID",Vertices[[#Headers],[Vertex]:[Top Word Pairs in Tweet by Salience]],0),FALSE)</f>
        <v>10</v>
      </c>
    </row>
    <row r="58" spans="1:3" ht="15">
      <c r="A58" s="90" t="s">
        <v>909</v>
      </c>
      <c r="B58" s="98" t="s">
        <v>227</v>
      </c>
      <c r="C58" s="89">
        <f>VLOOKUP(GroupVertices[[#This Row],[Vertex]],Vertices[],MATCH("ID",Vertices[[#Headers],[Vertex]:[Top Word Pairs in Tweet by Salience]],0),FALSE)</f>
        <v>9</v>
      </c>
    </row>
    <row r="59" spans="1:3" ht="15">
      <c r="A59" s="90" t="s">
        <v>909</v>
      </c>
      <c r="B59" s="98" t="s">
        <v>226</v>
      </c>
      <c r="C59" s="89">
        <f>VLOOKUP(GroupVertices[[#This Row],[Vertex]],Vertices[],MATCH("ID",Vertices[[#Headers],[Vertex]:[Top Word Pairs in Tweet by Salience]],0),FALSE)</f>
        <v>6</v>
      </c>
    </row>
    <row r="60" spans="1:3" ht="15">
      <c r="A60" s="90" t="s">
        <v>910</v>
      </c>
      <c r="B60" s="98" t="s">
        <v>2136</v>
      </c>
      <c r="C60" s="89">
        <f>VLOOKUP(GroupVertices[[#This Row],[Vertex]],Vertices[],MATCH("ID",Vertices[[#Headers],[Vertex]:[Top Word Pairs in Tweet by Salience]],0),FALSE)</f>
        <v>105</v>
      </c>
    </row>
    <row r="61" spans="1:3" ht="15">
      <c r="A61" s="90" t="s">
        <v>910</v>
      </c>
      <c r="B61" s="98" t="s">
        <v>2135</v>
      </c>
      <c r="C61" s="89">
        <f>VLOOKUP(GroupVertices[[#This Row],[Vertex]],Vertices[],MATCH("ID",Vertices[[#Headers],[Vertex]:[Top Word Pairs in Tweet by Salience]],0),FALSE)</f>
        <v>33</v>
      </c>
    </row>
    <row r="62" spans="1:3" ht="15">
      <c r="A62" s="90" t="s">
        <v>910</v>
      </c>
      <c r="B62" s="98" t="s">
        <v>260</v>
      </c>
      <c r="C62" s="89">
        <f>VLOOKUP(GroupVertices[[#This Row],[Vertex]],Vertices[],MATCH("ID",Vertices[[#Headers],[Vertex]:[Top Word Pairs in Tweet by Salience]],0),FALSE)</f>
        <v>32</v>
      </c>
    </row>
    <row r="63" spans="1:3" ht="15">
      <c r="A63" s="90" t="s">
        <v>910</v>
      </c>
      <c r="B63" s="98" t="s">
        <v>295</v>
      </c>
      <c r="C63" s="89">
        <f>VLOOKUP(GroupVertices[[#This Row],[Vertex]],Vertices[],MATCH("ID",Vertices[[#Headers],[Vertex]:[Top Word Pairs in Tweet by Salience]],0),FALSE)</f>
        <v>31</v>
      </c>
    </row>
    <row r="64" spans="1:3" ht="15">
      <c r="A64" s="90" t="s">
        <v>910</v>
      </c>
      <c r="B64" s="98" t="s">
        <v>273</v>
      </c>
      <c r="C64" s="89">
        <f>VLOOKUP(GroupVertices[[#This Row],[Vertex]],Vertices[],MATCH("ID",Vertices[[#Headers],[Vertex]:[Top Word Pairs in Tweet by Salience]],0),FALSE)</f>
        <v>104</v>
      </c>
    </row>
    <row r="65" spans="1:3" ht="15">
      <c r="A65" s="90" t="s">
        <v>910</v>
      </c>
      <c r="B65" s="98" t="s">
        <v>250</v>
      </c>
      <c r="C65" s="89">
        <f>VLOOKUP(GroupVertices[[#This Row],[Vertex]],Vertices[],MATCH("ID",Vertices[[#Headers],[Vertex]:[Top Word Pairs in Tweet by Salience]],0),FALSE)</f>
        <v>36</v>
      </c>
    </row>
    <row r="66" spans="1:3" ht="15">
      <c r="A66" s="90" t="s">
        <v>910</v>
      </c>
      <c r="B66" s="98" t="s">
        <v>252</v>
      </c>
      <c r="C66" s="89">
        <f>VLOOKUP(GroupVertices[[#This Row],[Vertex]],Vertices[],MATCH("ID",Vertices[[#Headers],[Vertex]:[Top Word Pairs in Tweet by Salience]],0),FALSE)</f>
        <v>35</v>
      </c>
    </row>
    <row r="67" spans="1:3" ht="15">
      <c r="A67" s="90" t="s">
        <v>910</v>
      </c>
      <c r="B67" s="98" t="s">
        <v>290</v>
      </c>
      <c r="C67" s="89">
        <f>VLOOKUP(GroupVertices[[#This Row],[Vertex]],Vertices[],MATCH("ID",Vertices[[#Headers],[Vertex]:[Top Word Pairs in Tweet by Salience]],0),FALSE)</f>
        <v>95</v>
      </c>
    </row>
    <row r="68" spans="1:3" ht="15">
      <c r="A68" s="90" t="s">
        <v>910</v>
      </c>
      <c r="B68" s="98" t="s">
        <v>296</v>
      </c>
      <c r="C68" s="89">
        <f>VLOOKUP(GroupVertices[[#This Row],[Vertex]],Vertices[],MATCH("ID",Vertices[[#Headers],[Vertex]:[Top Word Pairs in Tweet by Salience]],0),FALSE)</f>
        <v>86</v>
      </c>
    </row>
    <row r="69" spans="1:3" ht="15">
      <c r="A69" s="90" t="s">
        <v>910</v>
      </c>
      <c r="B69" s="98" t="s">
        <v>297</v>
      </c>
      <c r="C69" s="89">
        <f>VLOOKUP(GroupVertices[[#This Row],[Vertex]],Vertices[],MATCH("ID",Vertices[[#Headers],[Vertex]:[Top Word Pairs in Tweet by Salience]],0),FALSE)</f>
        <v>85</v>
      </c>
    </row>
    <row r="70" spans="1:3" ht="15">
      <c r="A70" s="90" t="s">
        <v>910</v>
      </c>
      <c r="B70" s="98" t="s">
        <v>289</v>
      </c>
      <c r="C70" s="89">
        <f>VLOOKUP(GroupVertices[[#This Row],[Vertex]],Vertices[],MATCH("ID",Vertices[[#Headers],[Vertex]:[Top Word Pairs in Tweet by Salience]],0),FALSE)</f>
        <v>88</v>
      </c>
    </row>
    <row r="71" spans="1:3" ht="15">
      <c r="A71" s="90" t="s">
        <v>910</v>
      </c>
      <c r="B71" s="98" t="s">
        <v>304</v>
      </c>
      <c r="C71" s="89">
        <f>VLOOKUP(GroupVertices[[#This Row],[Vertex]],Vertices[],MATCH("ID",Vertices[[#Headers],[Vertex]:[Top Word Pairs in Tweet by Salience]],0),FALSE)</f>
        <v>94</v>
      </c>
    </row>
    <row r="72" spans="1:3" ht="15">
      <c r="A72" s="90" t="s">
        <v>910</v>
      </c>
      <c r="B72" s="98" t="s">
        <v>2130</v>
      </c>
      <c r="C72" s="89">
        <f>VLOOKUP(GroupVertices[[#This Row],[Vertex]],Vertices[],MATCH("ID",Vertices[[#Headers],[Vertex]:[Top Word Pairs in Tweet by Salience]],0),FALSE)</f>
        <v>93</v>
      </c>
    </row>
    <row r="73" spans="1:3" ht="15">
      <c r="A73" s="90" t="s">
        <v>910</v>
      </c>
      <c r="B73" s="98" t="s">
        <v>2127</v>
      </c>
      <c r="C73" s="89">
        <f>VLOOKUP(GroupVertices[[#This Row],[Vertex]],Vertices[],MATCH("ID",Vertices[[#Headers],[Vertex]:[Top Word Pairs in Tweet by Salience]],0),FALSE)</f>
        <v>87</v>
      </c>
    </row>
    <row r="74" spans="1:3" ht="15">
      <c r="A74" s="90" t="s">
        <v>910</v>
      </c>
      <c r="B74" s="98" t="s">
        <v>286</v>
      </c>
      <c r="C74" s="89">
        <f>VLOOKUP(GroupVertices[[#This Row],[Vertex]],Vertices[],MATCH("ID",Vertices[[#Headers],[Vertex]:[Top Word Pairs in Tweet by Salience]],0),FALSE)</f>
        <v>84</v>
      </c>
    </row>
    <row r="75" spans="1:3" ht="15">
      <c r="A75" s="90" t="s">
        <v>910</v>
      </c>
      <c r="B75" s="98" t="s">
        <v>284</v>
      </c>
      <c r="C75" s="89">
        <f>VLOOKUP(GroupVertices[[#This Row],[Vertex]],Vertices[],MATCH("ID",Vertices[[#Headers],[Vertex]:[Top Word Pairs in Tweet by Salience]],0),FALSE)</f>
        <v>82</v>
      </c>
    </row>
    <row r="76" spans="1:3" ht="15">
      <c r="A76" s="90" t="s">
        <v>910</v>
      </c>
      <c r="B76" s="98" t="s">
        <v>2120</v>
      </c>
      <c r="C76" s="89">
        <f>VLOOKUP(GroupVertices[[#This Row],[Vertex]],Vertices[],MATCH("ID",Vertices[[#Headers],[Vertex]:[Top Word Pairs in Tweet by Salience]],0),FALSE)</f>
        <v>59</v>
      </c>
    </row>
    <row r="77" spans="1:3" ht="15">
      <c r="A77" s="90" t="s">
        <v>910</v>
      </c>
      <c r="B77" s="98" t="s">
        <v>2119</v>
      </c>
      <c r="C77" s="89">
        <f>VLOOKUP(GroupVertices[[#This Row],[Vertex]],Vertices[],MATCH("ID",Vertices[[#Headers],[Vertex]:[Top Word Pairs in Tweet by Salience]],0),FALSE)</f>
        <v>47</v>
      </c>
    </row>
    <row r="78" spans="1:3" ht="15">
      <c r="A78" s="90" t="s">
        <v>910</v>
      </c>
      <c r="B78" s="98" t="s">
        <v>2116</v>
      </c>
      <c r="C78" s="89">
        <f>VLOOKUP(GroupVertices[[#This Row],[Vertex]],Vertices[],MATCH("ID",Vertices[[#Headers],[Vertex]:[Top Word Pairs in Tweet by Salience]],0),FALSE)</f>
        <v>40</v>
      </c>
    </row>
    <row r="79" spans="1:3" ht="15">
      <c r="A79" s="90" t="s">
        <v>910</v>
      </c>
      <c r="B79" s="98" t="s">
        <v>2115</v>
      </c>
      <c r="C79" s="89">
        <f>VLOOKUP(GroupVertices[[#This Row],[Vertex]],Vertices[],MATCH("ID",Vertices[[#Headers],[Vertex]:[Top Word Pairs in Tweet by Salience]],0),FALSE)</f>
        <v>34</v>
      </c>
    </row>
    <row r="80" spans="1:3" ht="15">
      <c r="A80" s="90" t="s">
        <v>910</v>
      </c>
      <c r="B80" s="98" t="s">
        <v>248</v>
      </c>
      <c r="C80" s="89">
        <f>VLOOKUP(GroupVertices[[#This Row],[Vertex]],Vertices[],MATCH("ID",Vertices[[#Headers],[Vertex]:[Top Word Pairs in Tweet by Salience]],0),FALSE)</f>
        <v>30</v>
      </c>
    </row>
    <row r="81" spans="1:3" ht="15">
      <c r="A81" s="90" t="s">
        <v>911</v>
      </c>
      <c r="B81" s="98" t="s">
        <v>2138</v>
      </c>
      <c r="C81" s="89">
        <f>VLOOKUP(GroupVertices[[#This Row],[Vertex]],Vertices[],MATCH("ID",Vertices[[#Headers],[Vertex]:[Top Word Pairs in Tweet by Salience]],0),FALSE)</f>
        <v>106</v>
      </c>
    </row>
    <row r="82" spans="1:3" ht="15">
      <c r="A82" s="90" t="s">
        <v>911</v>
      </c>
      <c r="B82" s="98" t="s">
        <v>2137</v>
      </c>
      <c r="C82" s="89">
        <f>VLOOKUP(GroupVertices[[#This Row],[Vertex]],Vertices[],MATCH("ID",Vertices[[#Headers],[Vertex]:[Top Word Pairs in Tweet by Salience]],0),FALSE)</f>
        <v>102</v>
      </c>
    </row>
    <row r="83" spans="1:3" ht="15">
      <c r="A83" s="90" t="s">
        <v>911</v>
      </c>
      <c r="B83" s="98" t="s">
        <v>293</v>
      </c>
      <c r="C83" s="89">
        <f>VLOOKUP(GroupVertices[[#This Row],[Vertex]],Vertices[],MATCH("ID",Vertices[[#Headers],[Vertex]:[Top Word Pairs in Tweet by Salience]],0),FALSE)</f>
        <v>4</v>
      </c>
    </row>
    <row r="84" spans="1:3" ht="15">
      <c r="A84" s="90" t="s">
        <v>911</v>
      </c>
      <c r="B84" s="98" t="s">
        <v>303</v>
      </c>
      <c r="C84" s="89">
        <f>VLOOKUP(GroupVertices[[#This Row],[Vertex]],Vertices[],MATCH("ID",Vertices[[#Headers],[Vertex]:[Top Word Pairs in Tweet by Salience]],0),FALSE)</f>
        <v>28</v>
      </c>
    </row>
    <row r="85" spans="1:3" ht="15">
      <c r="A85" s="90" t="s">
        <v>911</v>
      </c>
      <c r="B85" s="98" t="s">
        <v>249</v>
      </c>
      <c r="C85" s="89">
        <f>VLOOKUP(GroupVertices[[#This Row],[Vertex]],Vertices[],MATCH("ID",Vertices[[#Headers],[Vertex]:[Top Word Pairs in Tweet by Salience]],0),FALSE)</f>
        <v>101</v>
      </c>
    </row>
    <row r="86" spans="1:3" ht="15">
      <c r="A86" s="90" t="s">
        <v>911</v>
      </c>
      <c r="B86" s="98" t="s">
        <v>292</v>
      </c>
      <c r="C86" s="89">
        <f>VLOOKUP(GroupVertices[[#This Row],[Vertex]],Vertices[],MATCH("ID",Vertices[[#Headers],[Vertex]:[Top Word Pairs in Tweet by Salience]],0),FALSE)</f>
        <v>98</v>
      </c>
    </row>
    <row r="87" spans="1:3" ht="15">
      <c r="A87" s="90" t="s">
        <v>911</v>
      </c>
      <c r="B87" s="98" t="s">
        <v>2133</v>
      </c>
      <c r="C87" s="89">
        <f>VLOOKUP(GroupVertices[[#This Row],[Vertex]],Vertices[],MATCH("ID",Vertices[[#Headers],[Vertex]:[Top Word Pairs in Tweet by Salience]],0),FALSE)</f>
        <v>38</v>
      </c>
    </row>
    <row r="88" spans="1:3" ht="15">
      <c r="A88" s="90" t="s">
        <v>911</v>
      </c>
      <c r="B88" s="98" t="s">
        <v>291</v>
      </c>
      <c r="C88" s="89">
        <f>VLOOKUP(GroupVertices[[#This Row],[Vertex]],Vertices[],MATCH("ID",Vertices[[#Headers],[Vertex]:[Top Word Pairs in Tweet by Salience]],0),FALSE)</f>
        <v>96</v>
      </c>
    </row>
    <row r="89" spans="1:3" ht="15">
      <c r="A89" s="90" t="s">
        <v>911</v>
      </c>
      <c r="B89" s="98" t="s">
        <v>282</v>
      </c>
      <c r="C89" s="89">
        <f>VLOOKUP(GroupVertices[[#This Row],[Vertex]],Vertices[],MATCH("ID",Vertices[[#Headers],[Vertex]:[Top Word Pairs in Tweet by Salience]],0),FALSE)</f>
        <v>80</v>
      </c>
    </row>
    <row r="90" spans="1:3" ht="15">
      <c r="A90" s="90" t="s">
        <v>911</v>
      </c>
      <c r="B90" s="98" t="s">
        <v>261</v>
      </c>
      <c r="C90" s="89">
        <f>VLOOKUP(GroupVertices[[#This Row],[Vertex]],Vertices[],MATCH("ID",Vertices[[#Headers],[Vertex]:[Top Word Pairs in Tweet by Salience]],0),FALSE)</f>
        <v>52</v>
      </c>
    </row>
    <row r="91" spans="1:3" ht="15">
      <c r="A91" s="90" t="s">
        <v>911</v>
      </c>
      <c r="B91" s="98" t="s">
        <v>254</v>
      </c>
      <c r="C91" s="89">
        <f>VLOOKUP(GroupVertices[[#This Row],[Vertex]],Vertices[],MATCH("ID",Vertices[[#Headers],[Vertex]:[Top Word Pairs in Tweet by Salience]],0),FALSE)</f>
        <v>42</v>
      </c>
    </row>
    <row r="92" spans="1:3" ht="15">
      <c r="A92" s="90" t="s">
        <v>911</v>
      </c>
      <c r="B92" s="98" t="s">
        <v>235</v>
      </c>
      <c r="C92" s="89">
        <f>VLOOKUP(GroupVertices[[#This Row],[Vertex]],Vertices[],MATCH("ID",Vertices[[#Headers],[Vertex]:[Top Word Pairs in Tweet by Salience]],0),FALSE)</f>
        <v>37</v>
      </c>
    </row>
    <row r="93" spans="1:3" ht="15">
      <c r="A93" s="90" t="s">
        <v>911</v>
      </c>
      <c r="B93" s="98" t="s">
        <v>246</v>
      </c>
      <c r="C93" s="89">
        <f>VLOOKUP(GroupVertices[[#This Row],[Vertex]],Vertices[],MATCH("ID",Vertices[[#Headers],[Vertex]:[Top Word Pairs in Tweet by Salience]],0),FALSE)</f>
        <v>27</v>
      </c>
    </row>
    <row r="94" spans="1:3" ht="15">
      <c r="A94" s="90" t="s">
        <v>911</v>
      </c>
      <c r="B94" s="98" t="s">
        <v>225</v>
      </c>
      <c r="C94" s="89">
        <f>VLOOKUP(GroupVertices[[#This Row],[Vertex]],Vertices[],MATCH("ID",Vertices[[#Headers],[Vertex]:[Top Word Pairs in Tweet by Salience]],0),FALSE)</f>
        <v>5</v>
      </c>
    </row>
    <row r="95" spans="1:3" ht="15">
      <c r="A95" s="90" t="s">
        <v>911</v>
      </c>
      <c r="B95" s="98" t="s">
        <v>301</v>
      </c>
      <c r="C95" s="89">
        <f>VLOOKUP(GroupVertices[[#This Row],[Vertex]],Vertices[],MATCH("ID",Vertices[[#Headers],[Vertex]:[Top Word Pairs in Tweet by Salience]],0),FALSE)</f>
        <v>3</v>
      </c>
    </row>
    <row r="96" spans="1:3" ht="15">
      <c r="A96" s="90" t="s">
        <v>912</v>
      </c>
      <c r="B96" s="98" t="s">
        <v>237</v>
      </c>
      <c r="C96" s="89">
        <f>VLOOKUP(GroupVertices[[#This Row],[Vertex]],Vertices[],MATCH("ID",Vertices[[#Headers],[Vertex]:[Top Word Pairs in Tweet by Salience]],0),FALSE)</f>
        <v>18</v>
      </c>
    </row>
    <row r="97" spans="1:3" ht="15">
      <c r="A97" s="90" t="s">
        <v>912</v>
      </c>
      <c r="B97" s="98" t="s">
        <v>253</v>
      </c>
      <c r="C97" s="89">
        <f>VLOOKUP(GroupVertices[[#This Row],[Vertex]],Vertices[],MATCH("ID",Vertices[[#Headers],[Vertex]:[Top Word Pairs in Tweet by Salience]],0),FALSE)</f>
        <v>41</v>
      </c>
    </row>
    <row r="98" spans="1:3" ht="15">
      <c r="A98" s="90" t="s">
        <v>912</v>
      </c>
      <c r="B98" s="98" t="s">
        <v>2123</v>
      </c>
      <c r="C98" s="89">
        <f>VLOOKUP(GroupVertices[[#This Row],[Vertex]],Vertices[],MATCH("ID",Vertices[[#Headers],[Vertex]:[Top Word Pairs in Tweet by Salience]],0),FALSE)</f>
        <v>67</v>
      </c>
    </row>
    <row r="99" spans="1:3" ht="15">
      <c r="A99" s="90" t="s">
        <v>912</v>
      </c>
      <c r="B99" s="98" t="s">
        <v>2124</v>
      </c>
      <c r="C99" s="89">
        <f>VLOOKUP(GroupVertices[[#This Row],[Vertex]],Vertices[],MATCH("ID",Vertices[[#Headers],[Vertex]:[Top Word Pairs in Tweet by Salience]],0),FALSE)</f>
        <v>69</v>
      </c>
    </row>
    <row r="100" spans="1:3" ht="15">
      <c r="A100" s="90" t="s">
        <v>912</v>
      </c>
      <c r="B100" s="98" t="s">
        <v>2131</v>
      </c>
      <c r="C100" s="89">
        <f>VLOOKUP(GroupVertices[[#This Row],[Vertex]],Vertices[],MATCH("ID",Vertices[[#Headers],[Vertex]:[Top Word Pairs in Tweet by Salience]],0),FALSE)</f>
        <v>97</v>
      </c>
    </row>
    <row r="101" spans="1:3" ht="15">
      <c r="A101" s="90" t="s">
        <v>912</v>
      </c>
      <c r="B101" s="98" t="s">
        <v>2132</v>
      </c>
      <c r="C101" s="89">
        <f>VLOOKUP(GroupVertices[[#This Row],[Vertex]],Vertices[],MATCH("ID",Vertices[[#Headers],[Vertex]:[Top Word Pairs in Tweet by Salience]],0),FALSE)</f>
        <v>99</v>
      </c>
    </row>
    <row r="102" spans="1:3" ht="15">
      <c r="A102" s="90" t="s">
        <v>2361</v>
      </c>
      <c r="B102" s="98" t="s">
        <v>2129</v>
      </c>
      <c r="C102" s="89">
        <f>VLOOKUP(GroupVertices[[#This Row],[Vertex]],Vertices[],MATCH("ID",Vertices[[#Headers],[Vertex]:[Top Word Pairs in Tweet by Salience]],0),FALSE)</f>
        <v>92</v>
      </c>
    </row>
    <row r="103" spans="1:3" ht="15">
      <c r="A103" s="90" t="s">
        <v>2361</v>
      </c>
      <c r="B103" s="98" t="s">
        <v>2128</v>
      </c>
      <c r="C103" s="89">
        <f>VLOOKUP(GroupVertices[[#This Row],[Vertex]],Vertices[],MATCH("ID",Vertices[[#Headers],[Vertex]:[Top Word Pairs in Tweet by Salience]],0),FALSE)</f>
        <v>91</v>
      </c>
    </row>
    <row r="104" spans="1:3" ht="15">
      <c r="A104" s="90" t="s">
        <v>2362</v>
      </c>
      <c r="B104" s="98" t="s">
        <v>2126</v>
      </c>
      <c r="C104" s="89">
        <f>VLOOKUP(GroupVertices[[#This Row],[Vertex]],Vertices[],MATCH("ID",Vertices[[#Headers],[Vertex]:[Top Word Pairs in Tweet by Salience]],0),FALSE)</f>
        <v>79</v>
      </c>
    </row>
    <row r="105" spans="1:3" ht="15">
      <c r="A105" s="90" t="s">
        <v>2362</v>
      </c>
      <c r="B105" s="98" t="s">
        <v>2125</v>
      </c>
      <c r="C105" s="89">
        <f>VLOOKUP(GroupVertices[[#This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1949</v>
      </c>
      <c r="B2" s="35" t="s">
        <v>182</v>
      </c>
      <c r="D2" s="32">
        <f>MIN(Vertices[Degree])</f>
        <v>0</v>
      </c>
      <c r="E2" s="3">
        <f>COUNTIF(Vertices[Degree],"&gt;= "&amp;D2)-COUNTIF(Vertices[Degree],"&gt;="&amp;D3)</f>
        <v>0</v>
      </c>
      <c r="F2" s="38">
        <f>MIN(Vertices[In-Degree])</f>
        <v>0</v>
      </c>
      <c r="G2" s="39">
        <f>COUNTIF(Vertices[In-Degree],"&gt;= "&amp;F2)-COUNTIF(Vertices[In-Degree],"&gt;="&amp;F3)</f>
        <v>88</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99</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12</v>
      </c>
      <c r="P2" s="38">
        <f>MIN(Vertices[PageRank])</f>
        <v>0.27301</v>
      </c>
      <c r="Q2" s="39">
        <f>COUNTIF(Vertices[PageRank],"&gt;= "&amp;P2)-COUNTIF(Vertices[PageRank],"&gt;="&amp;P3)</f>
        <v>58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2.2941176470588234</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125.45699364705882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0.0017438529411764707</v>
      </c>
      <c r="O3" s="41">
        <f>COUNTIF(Vertices[Eigenvector Centrality],"&gt;= "&amp;N3)-COUNTIF(Vertices[Eigenvector Centrality],"&gt;="&amp;N4)</f>
        <v>2</v>
      </c>
      <c r="P3" s="40">
        <f aca="true" t="shared" si="7" ref="P3:P35">P2+($P$36-$P$2)/BinDivisor</f>
        <v>0.6225178823529411</v>
      </c>
      <c r="Q3" s="41">
        <f>COUNTIF(Vertices[PageRank],"&gt;= "&amp;P3)-COUNTIF(Vertices[PageRank],"&gt;="&amp;P4)</f>
        <v>24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4.588235294117647</v>
      </c>
      <c r="G4" s="39">
        <f>COUNTIF(Vertices[In-Degree],"&gt;= "&amp;F4)-COUNTIF(Vertices[In-Degree],"&gt;="&amp;F5)</f>
        <v>4</v>
      </c>
      <c r="H4" s="38">
        <f t="shared" si="3"/>
        <v>0.8823529411764706</v>
      </c>
      <c r="I4" s="39">
        <f>COUNTIF(Vertices[Out-Degree],"&gt;= "&amp;H4)-COUNTIF(Vertices[Out-Degree],"&gt;="&amp;H5)</f>
        <v>19</v>
      </c>
      <c r="J4" s="38">
        <f t="shared" si="4"/>
        <v>250.91398729411765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0.0034877058823529414</v>
      </c>
      <c r="O4" s="39">
        <f>COUNTIF(Vertices[Eigenvector Centrality],"&gt;= "&amp;N4)-COUNTIF(Vertices[Eigenvector Centrality],"&gt;="&amp;N5)</f>
        <v>8</v>
      </c>
      <c r="P4" s="38">
        <f t="shared" si="7"/>
        <v>0.9720257647058823</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6.88235294117647</v>
      </c>
      <c r="G5" s="41">
        <f>COUNTIF(Vertices[In-Degree],"&gt;= "&amp;F5)-COUNTIF(Vertices[In-Degree],"&gt;="&amp;F6)</f>
        <v>3</v>
      </c>
      <c r="H5" s="40">
        <f t="shared" si="3"/>
        <v>1.3235294117647058</v>
      </c>
      <c r="I5" s="41">
        <f>COUNTIF(Vertices[Out-Degree],"&gt;= "&amp;H5)-COUNTIF(Vertices[Out-Degree],"&gt;="&amp;H6)</f>
        <v>0</v>
      </c>
      <c r="J5" s="40">
        <f t="shared" si="4"/>
        <v>376.37098094117647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0.005231558823529412</v>
      </c>
      <c r="O5" s="41">
        <f>COUNTIF(Vertices[Eigenvector Centrality],"&gt;= "&amp;N5)-COUNTIF(Vertices[Eigenvector Centrality],"&gt;="&amp;N6)</f>
        <v>7</v>
      </c>
      <c r="P5" s="40">
        <f t="shared" si="7"/>
        <v>1.3215336470588235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300</v>
      </c>
      <c r="D6" s="33">
        <f t="shared" si="1"/>
        <v>0</v>
      </c>
      <c r="E6" s="3">
        <f>COUNTIF(Vertices[Degree],"&gt;= "&amp;D6)-COUNTIF(Vertices[Degree],"&gt;="&amp;D7)</f>
        <v>0</v>
      </c>
      <c r="F6" s="38">
        <f t="shared" si="2"/>
        <v>9.176470588235293</v>
      </c>
      <c r="G6" s="39">
        <f>COUNTIF(Vertices[In-Degree],"&gt;= "&amp;F6)-COUNTIF(Vertices[In-Degree],"&gt;="&amp;F7)</f>
        <v>0</v>
      </c>
      <c r="H6" s="38">
        <f t="shared" si="3"/>
        <v>1.7647058823529411</v>
      </c>
      <c r="I6" s="39">
        <f>COUNTIF(Vertices[Out-Degree],"&gt;= "&amp;H6)-COUNTIF(Vertices[Out-Degree],"&gt;="&amp;H7)</f>
        <v>9</v>
      </c>
      <c r="J6" s="38">
        <f t="shared" si="4"/>
        <v>501.8279745882353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0.006975411764705883</v>
      </c>
      <c r="O6" s="39">
        <f>COUNTIF(Vertices[Eigenvector Centrality],"&gt;= "&amp;N6)-COUNTIF(Vertices[Eigenvector Centrality],"&gt;="&amp;N7)</f>
        <v>7</v>
      </c>
      <c r="P6" s="38">
        <f t="shared" si="7"/>
        <v>1.6710415294117646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v>
      </c>
      <c r="D7" s="33">
        <f t="shared" si="1"/>
        <v>0</v>
      </c>
      <c r="E7" s="3">
        <f>COUNTIF(Vertices[Degree],"&gt;= "&amp;D7)-COUNTIF(Vertices[Degree],"&gt;="&amp;D8)</f>
        <v>0</v>
      </c>
      <c r="F7" s="40">
        <f t="shared" si="2"/>
        <v>11.470588235294116</v>
      </c>
      <c r="G7" s="41">
        <f>COUNTIF(Vertices[In-Degree],"&gt;= "&amp;F7)-COUNTIF(Vertices[In-Degree],"&gt;="&amp;F8)</f>
        <v>0</v>
      </c>
      <c r="H7" s="40">
        <f t="shared" si="3"/>
        <v>2.2058823529411766</v>
      </c>
      <c r="I7" s="41">
        <f>COUNTIF(Vertices[Out-Degree],"&gt;= "&amp;H7)-COUNTIF(Vertices[Out-Degree],"&gt;="&amp;H8)</f>
        <v>0</v>
      </c>
      <c r="J7" s="40">
        <f t="shared" si="4"/>
        <v>627.2849682352942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0.008719264705882353</v>
      </c>
      <c r="O7" s="41">
        <f>COUNTIF(Vertices[Eigenvector Centrality],"&gt;= "&amp;N7)-COUNTIF(Vertices[Eigenvector Centrality],"&gt;="&amp;N8)</f>
        <v>50</v>
      </c>
      <c r="P7" s="40">
        <f t="shared" si="7"/>
        <v>2.020549411764706</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373</v>
      </c>
      <c r="D8" s="33">
        <f t="shared" si="1"/>
        <v>0</v>
      </c>
      <c r="E8" s="3">
        <f>COUNTIF(Vertices[Degree],"&gt;= "&amp;D8)-COUNTIF(Vertices[Degree],"&gt;="&amp;D9)</f>
        <v>0</v>
      </c>
      <c r="F8" s="38">
        <f t="shared" si="2"/>
        <v>13.764705882352938</v>
      </c>
      <c r="G8" s="39">
        <f>COUNTIF(Vertices[In-Degree],"&gt;= "&amp;F8)-COUNTIF(Vertices[In-Degree],"&gt;="&amp;F9)</f>
        <v>1</v>
      </c>
      <c r="H8" s="38">
        <f t="shared" si="3"/>
        <v>2.647058823529412</v>
      </c>
      <c r="I8" s="39">
        <f>COUNTIF(Vertices[Out-Degree],"&gt;= "&amp;H8)-COUNTIF(Vertices[Out-Degree],"&gt;="&amp;H9)</f>
        <v>49</v>
      </c>
      <c r="J8" s="38">
        <f t="shared" si="4"/>
        <v>752.741961882353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0.010463117647058824</v>
      </c>
      <c r="O8" s="39">
        <f>COUNTIF(Vertices[Eigenvector Centrality],"&gt;= "&amp;N8)-COUNTIF(Vertices[Eigenvector Centrality],"&gt;="&amp;N9)</f>
        <v>5</v>
      </c>
      <c r="P8" s="38">
        <f t="shared" si="7"/>
        <v>2.370057294117647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16.05882352941176</v>
      </c>
      <c r="G9" s="41">
        <f>COUNTIF(Vertices[In-Degree],"&gt;= "&amp;F9)-COUNTIF(Vertices[In-Degree],"&gt;="&amp;F10)</f>
        <v>1</v>
      </c>
      <c r="H9" s="40">
        <f t="shared" si="3"/>
        <v>3.0882352941176476</v>
      </c>
      <c r="I9" s="41">
        <f>COUNTIF(Vertices[Out-Degree],"&gt;= "&amp;H9)-COUNTIF(Vertices[Out-Degree],"&gt;="&amp;H10)</f>
        <v>0</v>
      </c>
      <c r="J9" s="40">
        <f t="shared" si="4"/>
        <v>878.1989555294119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0.012206970588235295</v>
      </c>
      <c r="O9" s="41">
        <f>COUNTIF(Vertices[Eigenvector Centrality],"&gt;= "&amp;N9)-COUNTIF(Vertices[Eigenvector Centrality],"&gt;="&amp;N10)</f>
        <v>3</v>
      </c>
      <c r="P9" s="40">
        <f t="shared" si="7"/>
        <v>2.7195651764705886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1950</v>
      </c>
      <c r="B10" s="35">
        <v>5</v>
      </c>
      <c r="D10" s="33">
        <f t="shared" si="1"/>
        <v>0</v>
      </c>
      <c r="E10" s="3">
        <f>COUNTIF(Vertices[Degree],"&gt;= "&amp;D10)-COUNTIF(Vertices[Degree],"&gt;="&amp;D11)</f>
        <v>0</v>
      </c>
      <c r="F10" s="38">
        <f t="shared" si="2"/>
        <v>18.352941176470583</v>
      </c>
      <c r="G10" s="39">
        <f>COUNTIF(Vertices[In-Degree],"&gt;= "&amp;F10)-COUNTIF(Vertices[In-Degree],"&gt;="&amp;F11)</f>
        <v>0</v>
      </c>
      <c r="H10" s="38">
        <f t="shared" si="3"/>
        <v>3.529411764705883</v>
      </c>
      <c r="I10" s="39">
        <f>COUNTIF(Vertices[Out-Degree],"&gt;= "&amp;H10)-COUNTIF(Vertices[Out-Degree],"&gt;="&amp;H11)</f>
        <v>0</v>
      </c>
      <c r="J10" s="38">
        <f t="shared" si="4"/>
        <v>1003.6559491764708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0.013950823529411766</v>
      </c>
      <c r="O10" s="39">
        <f>COUNTIF(Vertices[Eigenvector Centrality],"&gt;= "&amp;N10)-COUNTIF(Vertices[Eigenvector Centrality],"&gt;="&amp;N11)</f>
        <v>3</v>
      </c>
      <c r="P10" s="38">
        <f t="shared" si="7"/>
        <v>3.06907305882353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20.647058823529406</v>
      </c>
      <c r="G11" s="41">
        <f>COUNTIF(Vertices[In-Degree],"&gt;= "&amp;F11)-COUNTIF(Vertices[In-Degree],"&gt;="&amp;F12)</f>
        <v>0</v>
      </c>
      <c r="H11" s="40">
        <f t="shared" si="3"/>
        <v>3.9705882352941186</v>
      </c>
      <c r="I11" s="41">
        <f>COUNTIF(Vertices[Out-Degree],"&gt;= "&amp;H11)-COUNTIF(Vertices[Out-Degree],"&gt;="&amp;H12)</f>
        <v>10</v>
      </c>
      <c r="J11" s="40">
        <f t="shared" si="4"/>
        <v>1129.1129428235297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0.015694676470588236</v>
      </c>
      <c r="O11" s="41">
        <f>COUNTIF(Vertices[Eigenvector Centrality],"&gt;= "&amp;N11)-COUNTIF(Vertices[Eigenvector Centrality],"&gt;="&amp;N12)</f>
        <v>1</v>
      </c>
      <c r="P11" s="40">
        <f t="shared" si="7"/>
        <v>3.4185809411764714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107</v>
      </c>
      <c r="D12" s="33">
        <f t="shared" si="1"/>
        <v>0</v>
      </c>
      <c r="E12" s="3">
        <f>COUNTIF(Vertices[Degree],"&gt;= "&amp;D12)-COUNTIF(Vertices[Degree],"&gt;="&amp;D13)</f>
        <v>0</v>
      </c>
      <c r="F12" s="38">
        <f t="shared" si="2"/>
        <v>22.94117647058823</v>
      </c>
      <c r="G12" s="39">
        <f>COUNTIF(Vertices[In-Degree],"&gt;= "&amp;F12)-COUNTIF(Vertices[In-Degree],"&gt;="&amp;F13)</f>
        <v>0</v>
      </c>
      <c r="H12" s="38">
        <f t="shared" si="3"/>
        <v>4.411764705882354</v>
      </c>
      <c r="I12" s="39">
        <f>COUNTIF(Vertices[Out-Degree],"&gt;= "&amp;H12)-COUNTIF(Vertices[Out-Degree],"&gt;="&amp;H13)</f>
        <v>0</v>
      </c>
      <c r="J12" s="38">
        <f t="shared" si="4"/>
        <v>1254.5699364705886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0.017438529411764707</v>
      </c>
      <c r="O12" s="39">
        <f>COUNTIF(Vertices[Eigenvector Centrality],"&gt;= "&amp;N12)-COUNTIF(Vertices[Eigenvector Centrality],"&gt;="&amp;N13)</f>
        <v>3</v>
      </c>
      <c r="P12" s="38">
        <f t="shared" si="7"/>
        <v>3.7680888235294128</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306</v>
      </c>
      <c r="B13" s="35">
        <v>213</v>
      </c>
      <c r="D13" s="33">
        <f t="shared" si="1"/>
        <v>0</v>
      </c>
      <c r="E13" s="3">
        <f>COUNTIF(Vertices[Degree],"&gt;= "&amp;D13)-COUNTIF(Vertices[Degree],"&gt;="&amp;D14)</f>
        <v>0</v>
      </c>
      <c r="F13" s="40">
        <f t="shared" si="2"/>
        <v>25.23529411764705</v>
      </c>
      <c r="G13" s="41">
        <f>COUNTIF(Vertices[In-Degree],"&gt;= "&amp;F13)-COUNTIF(Vertices[In-Degree],"&gt;="&amp;F14)</f>
        <v>0</v>
      </c>
      <c r="H13" s="40">
        <f t="shared" si="3"/>
        <v>4.85294117647059</v>
      </c>
      <c r="I13" s="41">
        <f>COUNTIF(Vertices[Out-Degree],"&gt;= "&amp;H13)-COUNTIF(Vertices[Out-Degree],"&gt;="&amp;H14)</f>
        <v>6</v>
      </c>
      <c r="J13" s="40">
        <f t="shared" si="4"/>
        <v>1380.0269301176475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0.019182382352941178</v>
      </c>
      <c r="O13" s="41">
        <f>COUNTIF(Vertices[Eigenvector Centrality],"&gt;= "&amp;N13)-COUNTIF(Vertices[Eigenvector Centrality],"&gt;="&amp;N14)</f>
        <v>0</v>
      </c>
      <c r="P13" s="40">
        <f t="shared" si="7"/>
        <v>4.117596705882354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187</v>
      </c>
      <c r="B14" s="35">
        <v>17</v>
      </c>
      <c r="D14" s="33">
        <f t="shared" si="1"/>
        <v>0</v>
      </c>
      <c r="E14" s="3">
        <f>COUNTIF(Vertices[Degree],"&gt;= "&amp;D14)-COUNTIF(Vertices[Degree],"&gt;="&amp;D15)</f>
        <v>0</v>
      </c>
      <c r="F14" s="38">
        <f t="shared" si="2"/>
        <v>27.529411764705873</v>
      </c>
      <c r="G14" s="39">
        <f>COUNTIF(Vertices[In-Degree],"&gt;= "&amp;F14)-COUNTIF(Vertices[In-Degree],"&gt;="&amp;F15)</f>
        <v>0</v>
      </c>
      <c r="H14" s="38">
        <f t="shared" si="3"/>
        <v>5.294117647058825</v>
      </c>
      <c r="I14" s="39">
        <f>COUNTIF(Vertices[Out-Degree],"&gt;= "&amp;H14)-COUNTIF(Vertices[Out-Degree],"&gt;="&amp;H15)</f>
        <v>0</v>
      </c>
      <c r="J14" s="38">
        <f t="shared" si="4"/>
        <v>1505.4839237647063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0.02092623529411765</v>
      </c>
      <c r="O14" s="39">
        <f>COUNTIF(Vertices[Eigenvector Centrality],"&gt;= "&amp;N14)-COUNTIF(Vertices[Eigenvector Centrality],"&gt;="&amp;N15)</f>
        <v>0</v>
      </c>
      <c r="P14" s="38">
        <f t="shared" si="7"/>
        <v>4.467104588235295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307</v>
      </c>
      <c r="B15" s="35">
        <v>34</v>
      </c>
      <c r="D15" s="33">
        <f t="shared" si="1"/>
        <v>0</v>
      </c>
      <c r="E15" s="3">
        <f>COUNTIF(Vertices[Degree],"&gt;= "&amp;D15)-COUNTIF(Vertices[Degree],"&gt;="&amp;D16)</f>
        <v>0</v>
      </c>
      <c r="F15" s="40">
        <f t="shared" si="2"/>
        <v>29.823529411764696</v>
      </c>
      <c r="G15" s="41">
        <f>COUNTIF(Vertices[In-Degree],"&gt;= "&amp;F15)-COUNTIF(Vertices[In-Degree],"&gt;="&amp;F16)</f>
        <v>0</v>
      </c>
      <c r="H15" s="40">
        <f t="shared" si="3"/>
        <v>5.735294117647061</v>
      </c>
      <c r="I15" s="41">
        <f>COUNTIF(Vertices[Out-Degree],"&gt;= "&amp;H15)-COUNTIF(Vertices[Out-Degree],"&gt;="&amp;H16)</f>
        <v>3</v>
      </c>
      <c r="J15" s="40">
        <f t="shared" si="4"/>
        <v>1630.9409174117652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0.02267008823529412</v>
      </c>
      <c r="O15" s="41">
        <f>COUNTIF(Vertices[Eigenvector Centrality],"&gt;= "&amp;N15)-COUNTIF(Vertices[Eigenvector Centrality],"&gt;="&amp;N16)</f>
        <v>0</v>
      </c>
      <c r="P15" s="40">
        <f t="shared" si="7"/>
        <v>4.816612470588236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308</v>
      </c>
      <c r="B16" s="35">
        <v>2</v>
      </c>
      <c r="D16" s="33">
        <f t="shared" si="1"/>
        <v>0</v>
      </c>
      <c r="E16" s="3">
        <f>COUNTIF(Vertices[Degree],"&gt;= "&amp;D16)-COUNTIF(Vertices[Degree],"&gt;="&amp;D17)</f>
        <v>0</v>
      </c>
      <c r="F16" s="38">
        <f t="shared" si="2"/>
        <v>32.11764705882352</v>
      </c>
      <c r="G16" s="39">
        <f>COUNTIF(Vertices[In-Degree],"&gt;= "&amp;F16)-COUNTIF(Vertices[In-Degree],"&gt;="&amp;F17)</f>
        <v>0</v>
      </c>
      <c r="H16" s="38">
        <f t="shared" si="3"/>
        <v>6.176470588235296</v>
      </c>
      <c r="I16" s="39">
        <f>COUNTIF(Vertices[Out-Degree],"&gt;= "&amp;H16)-COUNTIF(Vertices[Out-Degree],"&gt;="&amp;H17)</f>
        <v>0</v>
      </c>
      <c r="J16" s="38">
        <f t="shared" si="4"/>
        <v>1756.397911058824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0.02441394117647059</v>
      </c>
      <c r="O16" s="39">
        <f>COUNTIF(Vertices[Eigenvector Centrality],"&gt;= "&amp;N16)-COUNTIF(Vertices[Eigenvector Centrality],"&gt;="&amp;N17)</f>
        <v>0</v>
      </c>
      <c r="P16" s="38">
        <f t="shared" si="7"/>
        <v>5.166120352941177</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34.41176470588235</v>
      </c>
      <c r="G17" s="41">
        <f>COUNTIF(Vertices[In-Degree],"&gt;= "&amp;F17)-COUNTIF(Vertices[In-Degree],"&gt;="&amp;F18)</f>
        <v>0</v>
      </c>
      <c r="H17" s="40">
        <f t="shared" si="3"/>
        <v>6.617647058823532</v>
      </c>
      <c r="I17" s="41">
        <f>COUNTIF(Vertices[Out-Degree],"&gt;= "&amp;H17)-COUNTIF(Vertices[Out-Degree],"&gt;="&amp;H18)</f>
        <v>1</v>
      </c>
      <c r="J17" s="40">
        <f t="shared" si="4"/>
        <v>1881.854904705883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0.02615779411764706</v>
      </c>
      <c r="O17" s="41">
        <f>COUNTIF(Vertices[Eigenvector Centrality],"&gt;= "&amp;N17)-COUNTIF(Vertices[Eigenvector Centrality],"&gt;="&amp;N18)</f>
        <v>0</v>
      </c>
      <c r="P17" s="40">
        <f t="shared" si="7"/>
        <v>5.515628235294118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36.705882352941174</v>
      </c>
      <c r="G18" s="39">
        <f>COUNTIF(Vertices[In-Degree],"&gt;= "&amp;F18)-COUNTIF(Vertices[In-Degree],"&gt;="&amp;F19)</f>
        <v>0</v>
      </c>
      <c r="H18" s="38">
        <f t="shared" si="3"/>
        <v>7.058823529411767</v>
      </c>
      <c r="I18" s="39">
        <f>COUNTIF(Vertices[Out-Degree],"&gt;= "&amp;H18)-COUNTIF(Vertices[Out-Degree],"&gt;="&amp;H19)</f>
        <v>0</v>
      </c>
      <c r="J18" s="38">
        <f t="shared" si="4"/>
        <v>2007.3118983529419</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0.02790164705882353</v>
      </c>
      <c r="O18" s="39">
        <f>COUNTIF(Vertices[Eigenvector Centrality],"&gt;= "&amp;N18)-COUNTIF(Vertices[Eigenvector Centrality],"&gt;="&amp;N19)</f>
        <v>0</v>
      </c>
      <c r="P18" s="38">
        <f t="shared" si="7"/>
        <v>5.865136117647059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39</v>
      </c>
      <c r="G19" s="41">
        <f>COUNTIF(Vertices[In-Degree],"&gt;= "&amp;F19)-COUNTIF(Vertices[In-Degree],"&gt;="&amp;F20)</f>
        <v>0</v>
      </c>
      <c r="H19" s="40">
        <f t="shared" si="3"/>
        <v>7.500000000000003</v>
      </c>
      <c r="I19" s="41">
        <f>COUNTIF(Vertices[Out-Degree],"&gt;= "&amp;H19)-COUNTIF(Vertices[Out-Degree],"&gt;="&amp;H20)</f>
        <v>0</v>
      </c>
      <c r="J19" s="40">
        <f t="shared" si="4"/>
        <v>2132.7688920000005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0.0296455</v>
      </c>
      <c r="O19" s="41">
        <f>COUNTIF(Vertices[Eigenvector Centrality],"&gt;= "&amp;N19)-COUNTIF(Vertices[Eigenvector Centrality],"&gt;="&amp;N20)</f>
        <v>0</v>
      </c>
      <c r="P19" s="40">
        <f t="shared" si="7"/>
        <v>6.214644</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0.033003300330033</v>
      </c>
      <c r="D20" s="33">
        <f t="shared" si="1"/>
        <v>0</v>
      </c>
      <c r="E20" s="3">
        <f>COUNTIF(Vertices[Degree],"&gt;= "&amp;D20)-COUNTIF(Vertices[Degree],"&gt;="&amp;D21)</f>
        <v>0</v>
      </c>
      <c r="F20" s="38">
        <f t="shared" si="2"/>
        <v>41.294117647058826</v>
      </c>
      <c r="G20" s="39">
        <f>COUNTIF(Vertices[In-Degree],"&gt;= "&amp;F20)-COUNTIF(Vertices[In-Degree],"&gt;="&amp;F21)</f>
        <v>0</v>
      </c>
      <c r="H20" s="38">
        <f t="shared" si="3"/>
        <v>7.941176470588238</v>
      </c>
      <c r="I20" s="39">
        <f>COUNTIF(Vertices[Out-Degree],"&gt;= "&amp;H20)-COUNTIF(Vertices[Out-Degree],"&gt;="&amp;H21)</f>
        <v>1</v>
      </c>
      <c r="J20" s="38">
        <f t="shared" si="4"/>
        <v>2258.2258856470594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0.03138935294117647</v>
      </c>
      <c r="O20" s="39">
        <f>COUNTIF(Vertices[Eigenvector Centrality],"&gt;= "&amp;N20)-COUNTIF(Vertices[Eigenvector Centrality],"&gt;="&amp;N21)</f>
        <v>0</v>
      </c>
      <c r="P20" s="38">
        <f t="shared" si="7"/>
        <v>6.564151882352941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0.06389776357827476</v>
      </c>
      <c r="D21" s="33">
        <f t="shared" si="1"/>
        <v>0</v>
      </c>
      <c r="E21" s="3">
        <f>COUNTIF(Vertices[Degree],"&gt;= "&amp;D21)-COUNTIF(Vertices[Degree],"&gt;="&amp;D22)</f>
        <v>0</v>
      </c>
      <c r="F21" s="40">
        <f t="shared" si="2"/>
        <v>43.58823529411765</v>
      </c>
      <c r="G21" s="41">
        <f>COUNTIF(Vertices[In-Degree],"&gt;= "&amp;F21)-COUNTIF(Vertices[In-Degree],"&gt;="&amp;F22)</f>
        <v>0</v>
      </c>
      <c r="H21" s="40">
        <f t="shared" si="3"/>
        <v>8.382352941176473</v>
      </c>
      <c r="I21" s="41">
        <f>COUNTIF(Vertices[Out-Degree],"&gt;= "&amp;H21)-COUNTIF(Vertices[Out-Degree],"&gt;="&amp;H22)</f>
        <v>0</v>
      </c>
      <c r="J21" s="40">
        <f t="shared" si="4"/>
        <v>2383.6828792941183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0.03313320588235294</v>
      </c>
      <c r="O21" s="41">
        <f>COUNTIF(Vertices[Eigenvector Centrality],"&gt;= "&amp;N21)-COUNTIF(Vertices[Eigenvector Centrality],"&gt;="&amp;N22)</f>
        <v>0</v>
      </c>
      <c r="P21" s="40">
        <f t="shared" si="7"/>
        <v>6.913659764705882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45.88235294117648</v>
      </c>
      <c r="G22" s="39">
        <f>COUNTIF(Vertices[In-Degree],"&gt;= "&amp;F22)-COUNTIF(Vertices[In-Degree],"&gt;="&amp;F23)</f>
        <v>0</v>
      </c>
      <c r="H22" s="38">
        <f t="shared" si="3"/>
        <v>8.823529411764708</v>
      </c>
      <c r="I22" s="39">
        <f>COUNTIF(Vertices[Out-Degree],"&gt;= "&amp;H22)-COUNTIF(Vertices[Out-Degree],"&gt;="&amp;H23)</f>
        <v>0</v>
      </c>
      <c r="J22" s="38">
        <f t="shared" si="4"/>
        <v>2509.139872941177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0.034877058823529414</v>
      </c>
      <c r="O22" s="39">
        <f>COUNTIF(Vertices[Eigenvector Centrality],"&gt;= "&amp;N22)-COUNTIF(Vertices[Eigenvector Centrality],"&gt;="&amp;N23)</f>
        <v>0</v>
      </c>
      <c r="P22" s="38">
        <f t="shared" si="7"/>
        <v>7.263167647058823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48.176470588235304</v>
      </c>
      <c r="G23" s="41">
        <f>COUNTIF(Vertices[In-Degree],"&gt;= "&amp;F23)-COUNTIF(Vertices[In-Degree],"&gt;="&amp;F24)</f>
        <v>0</v>
      </c>
      <c r="H23" s="40">
        <f t="shared" si="3"/>
        <v>9.264705882352944</v>
      </c>
      <c r="I23" s="41">
        <f>COUNTIF(Vertices[Out-Degree],"&gt;= "&amp;H23)-COUNTIF(Vertices[Out-Degree],"&gt;="&amp;H24)</f>
        <v>0</v>
      </c>
      <c r="J23" s="40">
        <f t="shared" si="4"/>
        <v>2634.596866588236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0.03662091176470589</v>
      </c>
      <c r="O23" s="41">
        <f>COUNTIF(Vertices[Eigenvector Centrality],"&gt;= "&amp;N23)-COUNTIF(Vertices[Eigenvector Centrality],"&gt;="&amp;N24)</f>
        <v>0</v>
      </c>
      <c r="P23" s="40">
        <f t="shared" si="7"/>
        <v>7.612675529411764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50.47058823529413</v>
      </c>
      <c r="G24" s="39">
        <f>COUNTIF(Vertices[In-Degree],"&gt;= "&amp;F24)-COUNTIF(Vertices[In-Degree],"&gt;="&amp;F25)</f>
        <v>0</v>
      </c>
      <c r="H24" s="38">
        <f t="shared" si="3"/>
        <v>9.70588235294118</v>
      </c>
      <c r="I24" s="39">
        <f>COUNTIF(Vertices[Out-Degree],"&gt;= "&amp;H24)-COUNTIF(Vertices[Out-Degree],"&gt;="&amp;H25)</f>
        <v>1</v>
      </c>
      <c r="J24" s="38">
        <f t="shared" si="4"/>
        <v>2760.053860235295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0.03836476470588236</v>
      </c>
      <c r="O24" s="39">
        <f>COUNTIF(Vertices[Eigenvector Centrality],"&gt;= "&amp;N24)-COUNTIF(Vertices[Eigenvector Centrality],"&gt;="&amp;N25)</f>
        <v>0</v>
      </c>
      <c r="P24" s="38">
        <f t="shared" si="7"/>
        <v>7.962183411764705</v>
      </c>
      <c r="Q24" s="39">
        <f>COUNTIF(Vertices[PageRank],"&gt;= "&amp;P24)-COUNTIF(Vertices[PageRank],"&gt;="&amp;P25)</f>
        <v>0</v>
      </c>
      <c r="R24" s="38">
        <f t="shared" si="8"/>
        <v>0.6470588235294118</v>
      </c>
      <c r="S24" s="44">
        <f>COUNTIF(Vertices[Clustering Coefficient],"&gt;= "&amp;R24)-COUNTIF(Vertices[Clustering Coefficient],"&gt;="&amp;R25)</f>
        <v>50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52.764705882352956</v>
      </c>
      <c r="G25" s="41">
        <f>COUNTIF(Vertices[In-Degree],"&gt;= "&amp;F25)-COUNTIF(Vertices[In-Degree],"&gt;="&amp;F26)</f>
        <v>0</v>
      </c>
      <c r="H25" s="40">
        <f t="shared" si="3"/>
        <v>10.147058823529415</v>
      </c>
      <c r="I25" s="41">
        <f>COUNTIF(Vertices[Out-Degree],"&gt;= "&amp;H25)-COUNTIF(Vertices[Out-Degree],"&gt;="&amp;H26)</f>
        <v>0</v>
      </c>
      <c r="J25" s="40">
        <f t="shared" si="4"/>
        <v>2885.510853882354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0.040108617647058836</v>
      </c>
      <c r="O25" s="41">
        <f>COUNTIF(Vertices[Eigenvector Centrality],"&gt;= "&amp;N25)-COUNTIF(Vertices[Eigenvector Centrality],"&gt;="&amp;N26)</f>
        <v>0</v>
      </c>
      <c r="P25" s="40">
        <f t="shared" si="7"/>
        <v>8.311691294117646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363</v>
      </c>
      <c r="D26" s="33">
        <f t="shared" si="1"/>
        <v>0</v>
      </c>
      <c r="E26" s="3">
        <f>COUNTIF(Vertices[Degree],"&gt;= "&amp;D26)-COUNTIF(Vertices[Degree],"&gt;="&amp;D27)</f>
        <v>0</v>
      </c>
      <c r="F26" s="38">
        <f t="shared" si="2"/>
        <v>55.05882352941178</v>
      </c>
      <c r="G26" s="39">
        <f>COUNTIF(Vertices[In-Degree],"&gt;= "&amp;F26)-COUNTIF(Vertices[In-Degree],"&gt;="&amp;F27)</f>
        <v>0</v>
      </c>
      <c r="H26" s="38">
        <f t="shared" si="3"/>
        <v>10.58823529411765</v>
      </c>
      <c r="I26" s="39">
        <f>COUNTIF(Vertices[Out-Degree],"&gt;= "&amp;H26)-COUNTIF(Vertices[Out-Degree],"&gt;="&amp;H27)</f>
        <v>0</v>
      </c>
      <c r="J26" s="38">
        <f t="shared" si="4"/>
        <v>3010.9678475294127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0.04185247058823531</v>
      </c>
      <c r="O26" s="39">
        <f>COUNTIF(Vertices[Eigenvector Centrality],"&gt;= "&amp;N26)-COUNTIF(Vertices[Eigenvector Centrality],"&gt;="&amp;N27)</f>
        <v>0</v>
      </c>
      <c r="P26" s="38">
        <f t="shared" si="7"/>
        <v>8.661199176470587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57.35294117647061</v>
      </c>
      <c r="G27" s="41">
        <f>COUNTIF(Vertices[In-Degree],"&gt;= "&amp;F27)-COUNTIF(Vertices[In-Degree],"&gt;="&amp;F28)</f>
        <v>0</v>
      </c>
      <c r="H27" s="40">
        <f t="shared" si="3"/>
        <v>11.029411764705886</v>
      </c>
      <c r="I27" s="41">
        <f>COUNTIF(Vertices[Out-Degree],"&gt;= "&amp;H27)-COUNTIF(Vertices[Out-Degree],"&gt;="&amp;H28)</f>
        <v>0</v>
      </c>
      <c r="J27" s="40">
        <f t="shared" si="4"/>
        <v>3136.4248411764715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0.043596323529411785</v>
      </c>
      <c r="O27" s="41">
        <f>COUNTIF(Vertices[Eigenvector Centrality],"&gt;= "&amp;N27)-COUNTIF(Vertices[Eigenvector Centrality],"&gt;="&amp;N28)</f>
        <v>0</v>
      </c>
      <c r="P27" s="40">
        <f t="shared" si="7"/>
        <v>9.01070705882353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59.647058823529434</v>
      </c>
      <c r="G28" s="39">
        <f>COUNTIF(Vertices[In-Degree],"&gt;= "&amp;F28)-COUNTIF(Vertices[In-Degree],"&gt;="&amp;F29)</f>
        <v>0</v>
      </c>
      <c r="H28" s="38">
        <f t="shared" si="3"/>
        <v>11.470588235294121</v>
      </c>
      <c r="I28" s="39">
        <f>COUNTIF(Vertices[Out-Degree],"&gt;= "&amp;H28)-COUNTIF(Vertices[Out-Degree],"&gt;="&amp;H29)</f>
        <v>0</v>
      </c>
      <c r="J28" s="38">
        <f t="shared" si="4"/>
        <v>3261.8818348235304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0.04534017647058826</v>
      </c>
      <c r="O28" s="39">
        <f>COUNTIF(Vertices[Eigenvector Centrality],"&gt;= "&amp;N28)-COUNTIF(Vertices[Eigenvector Centrality],"&gt;="&amp;N29)</f>
        <v>0</v>
      </c>
      <c r="P28" s="38">
        <f t="shared" si="7"/>
        <v>9.360214941176471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1.99774</v>
      </c>
      <c r="D29" s="33">
        <f t="shared" si="1"/>
        <v>0</v>
      </c>
      <c r="E29" s="3">
        <f>COUNTIF(Vertices[Degree],"&gt;= "&amp;D29)-COUNTIF(Vertices[Degree],"&gt;="&amp;D30)</f>
        <v>0</v>
      </c>
      <c r="F29" s="40">
        <f t="shared" si="2"/>
        <v>61.94117647058826</v>
      </c>
      <c r="G29" s="41">
        <f>COUNTIF(Vertices[In-Degree],"&gt;= "&amp;F29)-COUNTIF(Vertices[In-Degree],"&gt;="&amp;F30)</f>
        <v>0</v>
      </c>
      <c r="H29" s="40">
        <f t="shared" si="3"/>
        <v>11.911764705882357</v>
      </c>
      <c r="I29" s="41">
        <f>COUNTIF(Vertices[Out-Degree],"&gt;= "&amp;H29)-COUNTIF(Vertices[Out-Degree],"&gt;="&amp;H30)</f>
        <v>0</v>
      </c>
      <c r="J29" s="40">
        <f t="shared" si="4"/>
        <v>3387.3388284705893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0.04708402941176473</v>
      </c>
      <c r="O29" s="41">
        <f>COUNTIF(Vertices[Eigenvector Centrality],"&gt;= "&amp;N29)-COUNTIF(Vertices[Eigenvector Centrality],"&gt;="&amp;N30)</f>
        <v>1</v>
      </c>
      <c r="P29" s="40">
        <f t="shared" si="7"/>
        <v>9.709722823529413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64.23529411764709</v>
      </c>
      <c r="G30" s="39">
        <f>COUNTIF(Vertices[In-Degree],"&gt;= "&amp;F30)-COUNTIF(Vertices[In-Degree],"&gt;="&amp;F31)</f>
        <v>0</v>
      </c>
      <c r="H30" s="38">
        <f t="shared" si="3"/>
        <v>12.352941176470592</v>
      </c>
      <c r="I30" s="39">
        <f>COUNTIF(Vertices[Out-Degree],"&gt;= "&amp;H30)-COUNTIF(Vertices[Out-Degree],"&gt;="&amp;H31)</f>
        <v>0</v>
      </c>
      <c r="J30" s="38">
        <f t="shared" si="4"/>
        <v>3512.795822117648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0.04882788235294121</v>
      </c>
      <c r="O30" s="39">
        <f>COUNTIF(Vertices[Eigenvector Centrality],"&gt;= "&amp;N30)-COUNTIF(Vertices[Eigenvector Centrality],"&gt;="&amp;N31)</f>
        <v>0</v>
      </c>
      <c r="P30" s="38">
        <f t="shared" si="7"/>
        <v>10.059230705882355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0.029219566840926064</v>
      </c>
      <c r="D31" s="33">
        <f t="shared" si="1"/>
        <v>0</v>
      </c>
      <c r="E31" s="3">
        <f>COUNTIF(Vertices[Degree],"&gt;= "&amp;D31)-COUNTIF(Vertices[Degree],"&gt;="&amp;D32)</f>
        <v>0</v>
      </c>
      <c r="F31" s="40">
        <f t="shared" si="2"/>
        <v>66.52941176470591</v>
      </c>
      <c r="G31" s="41">
        <f>COUNTIF(Vertices[In-Degree],"&gt;= "&amp;F31)-COUNTIF(Vertices[In-Degree],"&gt;="&amp;F32)</f>
        <v>1</v>
      </c>
      <c r="H31" s="40">
        <f t="shared" si="3"/>
        <v>12.794117647058828</v>
      </c>
      <c r="I31" s="41">
        <f>COUNTIF(Vertices[Out-Degree],"&gt;= "&amp;H31)-COUNTIF(Vertices[Out-Degree],"&gt;="&amp;H32)</f>
        <v>0</v>
      </c>
      <c r="J31" s="40">
        <f t="shared" si="4"/>
        <v>3638.252815764707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0.05057173529411768</v>
      </c>
      <c r="O31" s="41">
        <f>COUNTIF(Vertices[Eigenvector Centrality],"&gt;= "&amp;N31)-COUNTIF(Vertices[Eigenvector Centrality],"&gt;="&amp;N32)</f>
        <v>1</v>
      </c>
      <c r="P31" s="40">
        <f t="shared" si="7"/>
        <v>10.408738588235297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1951</v>
      </c>
      <c r="B32" s="35">
        <v>0.299181</v>
      </c>
      <c r="D32" s="33">
        <f t="shared" si="1"/>
        <v>0</v>
      </c>
      <c r="E32" s="3">
        <f>COUNTIF(Vertices[Degree],"&gt;= "&amp;D32)-COUNTIF(Vertices[Degree],"&gt;="&amp;D33)</f>
        <v>0</v>
      </c>
      <c r="F32" s="38">
        <f t="shared" si="2"/>
        <v>68.82352941176474</v>
      </c>
      <c r="G32" s="39">
        <f>COUNTIF(Vertices[In-Degree],"&gt;= "&amp;F32)-COUNTIF(Vertices[In-Degree],"&gt;="&amp;F33)</f>
        <v>1</v>
      </c>
      <c r="H32" s="38">
        <f t="shared" si="3"/>
        <v>13.235294117647063</v>
      </c>
      <c r="I32" s="39">
        <f>COUNTIF(Vertices[Out-Degree],"&gt;= "&amp;H32)-COUNTIF(Vertices[Out-Degree],"&gt;="&amp;H33)</f>
        <v>0</v>
      </c>
      <c r="J32" s="38">
        <f t="shared" si="4"/>
        <v>3763.709809411766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0.052315588235294155</v>
      </c>
      <c r="O32" s="39">
        <f>COUNTIF(Vertices[Eigenvector Centrality],"&gt;= "&amp;N32)-COUNTIF(Vertices[Eigenvector Centrality],"&gt;="&amp;N33)</f>
        <v>0</v>
      </c>
      <c r="P32" s="38">
        <f t="shared" si="7"/>
        <v>10.758246470588238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71.11764705882356</v>
      </c>
      <c r="G33" s="41">
        <f>COUNTIF(Vertices[In-Degree],"&gt;= "&amp;F33)-COUNTIF(Vertices[In-Degree],"&gt;="&amp;F34)</f>
        <v>0</v>
      </c>
      <c r="H33" s="40">
        <f t="shared" si="3"/>
        <v>13.676470588235299</v>
      </c>
      <c r="I33" s="41">
        <f>COUNTIF(Vertices[Out-Degree],"&gt;= "&amp;H33)-COUNTIF(Vertices[Out-Degree],"&gt;="&amp;H34)</f>
        <v>1</v>
      </c>
      <c r="J33" s="40">
        <f t="shared" si="4"/>
        <v>3889.166803058825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0.05405944117647063</v>
      </c>
      <c r="O33" s="41">
        <f>COUNTIF(Vertices[Eigenvector Centrality],"&gt;= "&amp;N33)-COUNTIF(Vertices[Eigenvector Centrality],"&gt;="&amp;N34)</f>
        <v>0</v>
      </c>
      <c r="P33" s="40">
        <f t="shared" si="7"/>
        <v>11.10775435294118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1952</v>
      </c>
      <c r="B34" s="35" t="s">
        <v>1967</v>
      </c>
      <c r="D34" s="33">
        <f t="shared" si="1"/>
        <v>0</v>
      </c>
      <c r="E34" s="3">
        <f>COUNTIF(Vertices[Degree],"&gt;= "&amp;D34)-COUNTIF(Vertices[Degree],"&gt;="&amp;D35)</f>
        <v>0</v>
      </c>
      <c r="F34" s="38">
        <f t="shared" si="2"/>
        <v>73.41176470588239</v>
      </c>
      <c r="G34" s="39">
        <f>COUNTIF(Vertices[In-Degree],"&gt;= "&amp;F34)-COUNTIF(Vertices[In-Degree],"&gt;="&amp;F35)</f>
        <v>0</v>
      </c>
      <c r="H34" s="38">
        <f t="shared" si="3"/>
        <v>14.117647058823534</v>
      </c>
      <c r="I34" s="39">
        <f>COUNTIF(Vertices[Out-Degree],"&gt;= "&amp;H34)-COUNTIF(Vertices[Out-Degree],"&gt;="&amp;H35)</f>
        <v>0</v>
      </c>
      <c r="J34" s="38">
        <f t="shared" si="4"/>
        <v>4014.6237967058837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0.055803294117647104</v>
      </c>
      <c r="O34" s="39">
        <f>COUNTIF(Vertices[Eigenvector Centrality],"&gt;= "&amp;N34)-COUNTIF(Vertices[Eigenvector Centrality],"&gt;="&amp;N35)</f>
        <v>0</v>
      </c>
      <c r="P34" s="38">
        <f t="shared" si="7"/>
        <v>11.457262235294122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75.70588235294122</v>
      </c>
      <c r="G35" s="41">
        <f>COUNTIF(Vertices[In-Degree],"&gt;= "&amp;F35)-COUNTIF(Vertices[In-Degree],"&gt;="&amp;F36)</f>
        <v>0</v>
      </c>
      <c r="H35" s="40">
        <f t="shared" si="3"/>
        <v>14.55882352941177</v>
      </c>
      <c r="I35" s="41">
        <f>COUNTIF(Vertices[Out-Degree],"&gt;= "&amp;H35)-COUNTIF(Vertices[Out-Degree],"&gt;="&amp;H36)</f>
        <v>0</v>
      </c>
      <c r="J35" s="40">
        <f t="shared" si="4"/>
        <v>4140.080790352942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0.05754714705882358</v>
      </c>
      <c r="O35" s="41">
        <f>COUNTIF(Vertices[Eigenvector Centrality],"&gt;= "&amp;N35)-COUNTIF(Vertices[Eigenvector Centrality],"&gt;="&amp;N36)</f>
        <v>0</v>
      </c>
      <c r="P35" s="40">
        <f t="shared" si="7"/>
        <v>11.806770117647064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1953</v>
      </c>
      <c r="B36" s="35" t="s">
        <v>2648</v>
      </c>
      <c r="D36" s="33">
        <f>MAX(Vertices[Degree])</f>
        <v>0</v>
      </c>
      <c r="E36" s="3">
        <f>COUNTIF(Vertices[Degree],"&gt;= "&amp;D36)-COUNTIF(Vertices[Degree],"&gt;="&amp;#REF!)</f>
        <v>0</v>
      </c>
      <c r="F36" s="42">
        <f>MAX(Vertices[In-Degree])</f>
        <v>78</v>
      </c>
      <c r="G36" s="43">
        <f>COUNTIF(Vertices[In-Degree],"&gt;= "&amp;F36)-COUNTIF(Vertices[In-Degree],"&gt;="&amp;#REF!)</f>
        <v>1</v>
      </c>
      <c r="H36" s="42">
        <f>MAX(Vertices[Out-Degree])</f>
        <v>15</v>
      </c>
      <c r="I36" s="43">
        <f>COUNTIF(Vertices[Out-Degree],"&gt;= "&amp;H36)-COUNTIF(Vertices[Out-Degree],"&gt;="&amp;#REF!)</f>
        <v>1</v>
      </c>
      <c r="J36" s="42">
        <f>MAX(Vertices[Betweenness Centrality])</f>
        <v>4265.537784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0.059291</v>
      </c>
      <c r="O36" s="43">
        <f>COUNTIF(Vertices[Eigenvector Centrality],"&gt;= "&amp;N36)-COUNTIF(Vertices[Eigenvector Centrality],"&gt;="&amp;#REF!)</f>
        <v>1</v>
      </c>
      <c r="P36" s="42">
        <f>MAX(Vertices[PageRank])</f>
        <v>12.156278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1954</v>
      </c>
      <c r="B37" s="35" t="s">
        <v>2649</v>
      </c>
    </row>
    <row r="38" spans="1:2" ht="15">
      <c r="A38" s="115"/>
      <c r="B38" s="115"/>
    </row>
    <row r="39" spans="1:2" ht="15">
      <c r="A39" s="35" t="s">
        <v>1955</v>
      </c>
      <c r="B39" s="35" t="s">
        <v>2644</v>
      </c>
    </row>
    <row r="40" spans="1:2" ht="15">
      <c r="A40" s="35" t="s">
        <v>1956</v>
      </c>
      <c r="B40" s="35" t="s">
        <v>338</v>
      </c>
    </row>
    <row r="41" spans="1:2" ht="409.6">
      <c r="A41" s="35" t="s">
        <v>1957</v>
      </c>
      <c r="B41" s="54" t="s">
        <v>2645</v>
      </c>
    </row>
    <row r="42" spans="1:2" ht="15">
      <c r="A42" s="35" t="s">
        <v>1958</v>
      </c>
      <c r="B42" s="35" t="s">
        <v>2646</v>
      </c>
    </row>
    <row r="43" spans="1:2" ht="15">
      <c r="A43" s="35" t="s">
        <v>1959</v>
      </c>
      <c r="B43" s="35" t="s">
        <v>2647</v>
      </c>
    </row>
    <row r="44" spans="1:2" ht="15">
      <c r="A44" s="35" t="s">
        <v>1960</v>
      </c>
      <c r="B44" s="35" t="s">
        <v>908</v>
      </c>
    </row>
    <row r="45" spans="1:2" ht="15">
      <c r="A45" s="35" t="s">
        <v>1961</v>
      </c>
      <c r="B45" s="35" t="s">
        <v>908</v>
      </c>
    </row>
    <row r="46" spans="1:2" ht="15">
      <c r="A46" s="35" t="s">
        <v>1962</v>
      </c>
      <c r="B46" s="35" t="s">
        <v>908</v>
      </c>
    </row>
    <row r="47" spans="1:2" ht="15">
      <c r="A47" s="35" t="s">
        <v>1963</v>
      </c>
      <c r="B47" s="35"/>
    </row>
    <row r="48" spans="1:2" ht="15">
      <c r="A48" s="35" t="s">
        <v>21</v>
      </c>
      <c r="B48" s="35"/>
    </row>
    <row r="49" spans="1:2" ht="15">
      <c r="A49" s="35" t="s">
        <v>1964</v>
      </c>
      <c r="B49" s="35" t="s">
        <v>32</v>
      </c>
    </row>
    <row r="50" spans="1:2" ht="15">
      <c r="A50" s="35" t="s">
        <v>1965</v>
      </c>
      <c r="B50" s="35"/>
    </row>
    <row r="51" spans="1:2" ht="15">
      <c r="A51" s="35" t="s">
        <v>1966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78</v>
      </c>
    </row>
    <row r="83" spans="1:2" ht="15">
      <c r="A83" s="34" t="s">
        <v>90</v>
      </c>
      <c r="B83" s="48">
        <f>_xlfn.IFERROR(AVERAGE(Vertices[In-Degree]),NoMetricMessage)</f>
        <v>3.1346153846153846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3.1346153846153846</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4265.537784</v>
      </c>
    </row>
    <row r="111" spans="1:2" ht="15">
      <c r="A111" s="34" t="s">
        <v>102</v>
      </c>
      <c r="B111" s="48">
        <f>_xlfn.IFERROR(AVERAGE(Vertices[Betweenness Centrality]),NoMetricMessage)</f>
        <v>85.90384610576923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0.0433380673076923</v>
      </c>
    </row>
    <row r="126" spans="1:2" ht="15">
      <c r="A126" s="34" t="s">
        <v>109</v>
      </c>
      <c r="B126" s="48">
        <f>_xlfn.IFERROR(MEDIAN(Vertices[Closeness Centrality]),NoMetricMessage)</f>
        <v>0.005376</v>
      </c>
    </row>
    <row r="137" spans="1:2" ht="15">
      <c r="A137" s="34" t="s">
        <v>112</v>
      </c>
      <c r="B137" s="48">
        <f>IF(COUNT(Vertices[Eigenvector Centrality])&gt;0,N2,NoMetricMessage)</f>
        <v>0</v>
      </c>
    </row>
    <row r="138" spans="1:2" ht="15">
      <c r="A138" s="34" t="s">
        <v>113</v>
      </c>
      <c r="B138" s="48">
        <f>IF(COUNT(Vertices[Eigenvector Centrality])&gt;0,N36,NoMetricMessage)</f>
        <v>0.059291</v>
      </c>
    </row>
    <row r="139" spans="1:2" ht="15">
      <c r="A139" s="34" t="s">
        <v>114</v>
      </c>
      <c r="B139" s="48">
        <f>_xlfn.IFERROR(AVERAGE(Vertices[Eigenvector Centrality]),NoMetricMessage)</f>
        <v>0.009615576923076928</v>
      </c>
    </row>
    <row r="140" spans="1:2" ht="15">
      <c r="A140" s="34" t="s">
        <v>115</v>
      </c>
      <c r="B140" s="48">
        <f>_xlfn.IFERROR(MEDIAN(Vertices[Eigenvector Centrality]),NoMetricMessage)</f>
        <v>0.009884</v>
      </c>
    </row>
    <row r="151" spans="1:2" ht="15">
      <c r="A151" s="34" t="s">
        <v>140</v>
      </c>
      <c r="B151" s="48">
        <f>IF(COUNT(Vertices[PageRank])&gt;0,P2,NoMetricMessage)</f>
        <v>0.27301</v>
      </c>
    </row>
    <row r="152" spans="1:2" ht="15">
      <c r="A152" s="34" t="s">
        <v>141</v>
      </c>
      <c r="B152" s="48">
        <f>IF(COUNT(Vertices[PageRank])&gt;0,P36,NoMetricMessage)</f>
        <v>12.156278</v>
      </c>
    </row>
    <row r="153" spans="1:2" ht="15">
      <c r="A153" s="34" t="s">
        <v>142</v>
      </c>
      <c r="B153" s="48">
        <f>_xlfn.IFERROR(AVERAGE(Vertices[PageRank]),NoMetricMessage)</f>
        <v>0.999995028846154</v>
      </c>
    </row>
    <row r="154" spans="1:2" ht="15">
      <c r="A154" s="34" t="s">
        <v>143</v>
      </c>
      <c r="B154" s="48">
        <f>_xlfn.IFERROR(MEDIAN(Vertices[PageRank]),NoMetricMessage)</f>
        <v>0.519233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0.4716925529319058</v>
      </c>
    </row>
    <row r="168" spans="1:2" ht="15">
      <c r="A168" s="34" t="s">
        <v>121</v>
      </c>
      <c r="B168" s="48">
        <f>_xlfn.IFERROR(MEDIAN(Vertices[Clustering Coefficient]),NoMetricMessage)</f>
        <v>0.575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902</v>
      </c>
    </row>
    <row r="6" spans="1:18" ht="409.6">
      <c r="A6">
        <v>0</v>
      </c>
      <c r="B6" s="1" t="s">
        <v>136</v>
      </c>
      <c r="C6">
        <v>1</v>
      </c>
      <c r="D6" t="s">
        <v>59</v>
      </c>
      <c r="E6" t="s">
        <v>59</v>
      </c>
      <c r="F6">
        <v>0</v>
      </c>
      <c r="H6" t="s">
        <v>71</v>
      </c>
      <c r="J6" t="s">
        <v>173</v>
      </c>
      <c r="K6" s="13" t="s">
        <v>903</v>
      </c>
      <c r="R6" t="s">
        <v>129</v>
      </c>
    </row>
    <row r="7" spans="1:11" ht="409.6">
      <c r="A7">
        <v>2</v>
      </c>
      <c r="B7">
        <v>1</v>
      </c>
      <c r="C7">
        <v>0</v>
      </c>
      <c r="D7" t="s">
        <v>60</v>
      </c>
      <c r="E7" t="s">
        <v>60</v>
      </c>
      <c r="F7">
        <v>2</v>
      </c>
      <c r="H7" t="s">
        <v>72</v>
      </c>
      <c r="J7" t="s">
        <v>174</v>
      </c>
      <c r="K7" s="13" t="s">
        <v>904</v>
      </c>
    </row>
    <row r="8" spans="1:11" ht="409.6">
      <c r="A8"/>
      <c r="B8">
        <v>2</v>
      </c>
      <c r="C8">
        <v>2</v>
      </c>
      <c r="D8" t="s">
        <v>61</v>
      </c>
      <c r="E8" t="s">
        <v>61</v>
      </c>
      <c r="H8" t="s">
        <v>73</v>
      </c>
      <c r="J8" t="s">
        <v>175</v>
      </c>
      <c r="K8" s="13" t="s">
        <v>905</v>
      </c>
    </row>
    <row r="9" spans="1:11" ht="409.6">
      <c r="A9"/>
      <c r="B9">
        <v>3</v>
      </c>
      <c r="C9">
        <v>4</v>
      </c>
      <c r="D9" t="s">
        <v>62</v>
      </c>
      <c r="E9" t="s">
        <v>62</v>
      </c>
      <c r="H9" t="s">
        <v>74</v>
      </c>
      <c r="J9" t="s">
        <v>176</v>
      </c>
      <c r="K9" s="13" t="s">
        <v>906</v>
      </c>
    </row>
    <row r="10" spans="1:11" ht="409.6">
      <c r="A10"/>
      <c r="B10">
        <v>4</v>
      </c>
      <c r="D10" t="s">
        <v>63</v>
      </c>
      <c r="E10" t="s">
        <v>63</v>
      </c>
      <c r="H10" t="s">
        <v>75</v>
      </c>
      <c r="J10" t="s">
        <v>177</v>
      </c>
      <c r="K10" s="13" t="s">
        <v>907</v>
      </c>
    </row>
    <row r="11" spans="1:11" ht="409.6">
      <c r="A11"/>
      <c r="B11">
        <v>5</v>
      </c>
      <c r="D11" t="s">
        <v>46</v>
      </c>
      <c r="E11">
        <v>1</v>
      </c>
      <c r="H11" t="s">
        <v>76</v>
      </c>
      <c r="J11" t="s">
        <v>178</v>
      </c>
      <c r="K11" s="13" t="s">
        <v>2113</v>
      </c>
    </row>
    <row r="12" spans="1:11" ht="409.6">
      <c r="A12"/>
      <c r="B12"/>
      <c r="D12" t="s">
        <v>64</v>
      </c>
      <c r="E12">
        <v>2</v>
      </c>
      <c r="H12">
        <v>0</v>
      </c>
      <c r="J12" t="s">
        <v>179</v>
      </c>
      <c r="K12" s="13" t="s">
        <v>2114</v>
      </c>
    </row>
    <row r="13" spans="1:11" ht="409.6">
      <c r="A13"/>
      <c r="B13"/>
      <c r="D13">
        <v>1</v>
      </c>
      <c r="E13">
        <v>3</v>
      </c>
      <c r="H13">
        <v>1</v>
      </c>
      <c r="J13" t="s">
        <v>180</v>
      </c>
      <c r="K13" s="65" t="s">
        <v>2650</v>
      </c>
    </row>
    <row r="14" spans="4:11" ht="15">
      <c r="D14">
        <v>2</v>
      </c>
      <c r="E14">
        <v>4</v>
      </c>
      <c r="H14">
        <v>2</v>
      </c>
      <c r="J14" t="s">
        <v>181</v>
      </c>
      <c r="K14">
        <v>9</v>
      </c>
    </row>
    <row r="15" spans="4:11" ht="15">
      <c r="D15">
        <v>3</v>
      </c>
      <c r="E15">
        <v>5</v>
      </c>
      <c r="H15">
        <v>3</v>
      </c>
      <c r="J15" t="s">
        <v>183</v>
      </c>
      <c r="K15" t="s">
        <v>2642</v>
      </c>
    </row>
    <row r="16" spans="4:11" ht="409.6">
      <c r="D16">
        <v>4</v>
      </c>
      <c r="E16">
        <v>6</v>
      </c>
      <c r="H16">
        <v>4</v>
      </c>
      <c r="J16" t="s">
        <v>184</v>
      </c>
      <c r="K16" s="13" t="s">
        <v>2643</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E3B1-5083-4886-98B5-CC4409AF3610}">
  <dimension ref="A1:G48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921</v>
      </c>
      <c r="B1" s="13" t="s">
        <v>1050</v>
      </c>
      <c r="C1" s="13" t="s">
        <v>1054</v>
      </c>
      <c r="D1" s="13" t="s">
        <v>144</v>
      </c>
      <c r="E1" s="13" t="s">
        <v>1056</v>
      </c>
      <c r="F1" s="13" t="s">
        <v>1057</v>
      </c>
      <c r="G1" s="13" t="s">
        <v>1058</v>
      </c>
    </row>
    <row r="2" spans="1:7" ht="15">
      <c r="A2" s="89" t="s">
        <v>922</v>
      </c>
      <c r="B2" s="89" t="s">
        <v>1051</v>
      </c>
      <c r="C2" s="110"/>
      <c r="D2" s="89"/>
      <c r="E2" s="89"/>
      <c r="F2" s="89"/>
      <c r="G2" s="89"/>
    </row>
    <row r="3" spans="1:7" ht="15">
      <c r="A3" s="90" t="s">
        <v>923</v>
      </c>
      <c r="B3" s="89" t="s">
        <v>1052</v>
      </c>
      <c r="C3" s="110"/>
      <c r="D3" s="89"/>
      <c r="E3" s="89"/>
      <c r="F3" s="89"/>
      <c r="G3" s="89"/>
    </row>
    <row r="4" spans="1:7" ht="15">
      <c r="A4" s="90" t="s">
        <v>924</v>
      </c>
      <c r="B4" s="89" t="s">
        <v>1053</v>
      </c>
      <c r="C4" s="110"/>
      <c r="D4" s="89"/>
      <c r="E4" s="89"/>
      <c r="F4" s="89"/>
      <c r="G4" s="89"/>
    </row>
    <row r="5" spans="1:7" ht="15">
      <c r="A5" s="90" t="s">
        <v>925</v>
      </c>
      <c r="B5" s="89">
        <v>2</v>
      </c>
      <c r="C5" s="110">
        <v>0.0005927682276229994</v>
      </c>
      <c r="D5" s="89"/>
      <c r="E5" s="89"/>
      <c r="F5" s="89"/>
      <c r="G5" s="89"/>
    </row>
    <row r="6" spans="1:7" ht="15">
      <c r="A6" s="90" t="s">
        <v>926</v>
      </c>
      <c r="B6" s="89">
        <v>0</v>
      </c>
      <c r="C6" s="110">
        <v>0</v>
      </c>
      <c r="D6" s="89"/>
      <c r="E6" s="89"/>
      <c r="F6" s="89"/>
      <c r="G6" s="89"/>
    </row>
    <row r="7" spans="1:7" ht="15">
      <c r="A7" s="90" t="s">
        <v>927</v>
      </c>
      <c r="B7" s="89">
        <v>0</v>
      </c>
      <c r="C7" s="110">
        <v>0</v>
      </c>
      <c r="D7" s="89"/>
      <c r="E7" s="89"/>
      <c r="F7" s="89"/>
      <c r="G7" s="89"/>
    </row>
    <row r="8" spans="1:7" ht="15">
      <c r="A8" s="90" t="s">
        <v>928</v>
      </c>
      <c r="B8" s="89">
        <v>3372</v>
      </c>
      <c r="C8" s="110">
        <v>0.999407231772377</v>
      </c>
      <c r="D8" s="89"/>
      <c r="E8" s="89"/>
      <c r="F8" s="89"/>
      <c r="G8" s="89"/>
    </row>
    <row r="9" spans="1:7" ht="15">
      <c r="A9" s="90" t="s">
        <v>929</v>
      </c>
      <c r="B9" s="89">
        <v>3374</v>
      </c>
      <c r="C9" s="110">
        <v>1</v>
      </c>
      <c r="D9" s="89"/>
      <c r="E9" s="89"/>
      <c r="F9" s="89"/>
      <c r="G9" s="89"/>
    </row>
    <row r="10" spans="1:7" ht="15">
      <c r="A10" s="99" t="s">
        <v>930</v>
      </c>
      <c r="B10" s="98">
        <v>131</v>
      </c>
      <c r="C10" s="111">
        <v>0.014950544033518264</v>
      </c>
      <c r="D10" s="98" t="s">
        <v>1055</v>
      </c>
      <c r="E10" s="98" t="b">
        <v>0</v>
      </c>
      <c r="F10" s="98" t="b">
        <v>0</v>
      </c>
      <c r="G10" s="98" t="b">
        <v>0</v>
      </c>
    </row>
    <row r="11" spans="1:7" ht="15">
      <c r="A11" s="99" t="s">
        <v>931</v>
      </c>
      <c r="B11" s="98">
        <v>113</v>
      </c>
      <c r="C11" s="111">
        <v>0.018277528236610625</v>
      </c>
      <c r="D11" s="98" t="s">
        <v>1055</v>
      </c>
      <c r="E11" s="98" t="b">
        <v>0</v>
      </c>
      <c r="F11" s="98" t="b">
        <v>0</v>
      </c>
      <c r="G11" s="98" t="b">
        <v>0</v>
      </c>
    </row>
    <row r="12" spans="1:7" ht="15">
      <c r="A12" s="99" t="s">
        <v>932</v>
      </c>
      <c r="B12" s="98">
        <v>91</v>
      </c>
      <c r="C12" s="111">
        <v>0.007483465734285778</v>
      </c>
      <c r="D12" s="98" t="s">
        <v>1055</v>
      </c>
      <c r="E12" s="98" t="b">
        <v>0</v>
      </c>
      <c r="F12" s="98" t="b">
        <v>0</v>
      </c>
      <c r="G12" s="98" t="b">
        <v>0</v>
      </c>
    </row>
    <row r="13" spans="1:7" ht="15">
      <c r="A13" s="99" t="s">
        <v>299</v>
      </c>
      <c r="B13" s="98">
        <v>80</v>
      </c>
      <c r="C13" s="111">
        <v>0.008546392920836728</v>
      </c>
      <c r="D13" s="98" t="s">
        <v>1055</v>
      </c>
      <c r="E13" s="98" t="b">
        <v>0</v>
      </c>
      <c r="F13" s="98" t="b">
        <v>0</v>
      </c>
      <c r="G13" s="98" t="b">
        <v>0</v>
      </c>
    </row>
    <row r="14" spans="1:7" ht="15">
      <c r="A14" s="99" t="s">
        <v>933</v>
      </c>
      <c r="B14" s="98">
        <v>76</v>
      </c>
      <c r="C14" s="111">
        <v>0.008863251735475142</v>
      </c>
      <c r="D14" s="98" t="s">
        <v>1055</v>
      </c>
      <c r="E14" s="98" t="b">
        <v>0</v>
      </c>
      <c r="F14" s="98" t="b">
        <v>0</v>
      </c>
      <c r="G14" s="98" t="b">
        <v>0</v>
      </c>
    </row>
    <row r="15" spans="1:7" ht="15">
      <c r="A15" s="99" t="s">
        <v>934</v>
      </c>
      <c r="B15" s="98">
        <v>72</v>
      </c>
      <c r="C15" s="111">
        <v>0.010129157263460937</v>
      </c>
      <c r="D15" s="98" t="s">
        <v>1055</v>
      </c>
      <c r="E15" s="98" t="b">
        <v>0</v>
      </c>
      <c r="F15" s="98" t="b">
        <v>0</v>
      </c>
      <c r="G15" s="98" t="b">
        <v>0</v>
      </c>
    </row>
    <row r="16" spans="1:7" ht="15">
      <c r="A16" s="99" t="s">
        <v>302</v>
      </c>
      <c r="B16" s="98">
        <v>71</v>
      </c>
      <c r="C16" s="111">
        <v>0.009202526494110136</v>
      </c>
      <c r="D16" s="98" t="s">
        <v>1055</v>
      </c>
      <c r="E16" s="98" t="b">
        <v>0</v>
      </c>
      <c r="F16" s="98" t="b">
        <v>0</v>
      </c>
      <c r="G16" s="98" t="b">
        <v>0</v>
      </c>
    </row>
    <row r="17" spans="1:7" ht="15">
      <c r="A17" s="99" t="s">
        <v>935</v>
      </c>
      <c r="B17" s="98">
        <v>60</v>
      </c>
      <c r="C17" s="111">
        <v>0.009704882249527765</v>
      </c>
      <c r="D17" s="98" t="s">
        <v>1055</v>
      </c>
      <c r="E17" s="98" t="b">
        <v>0</v>
      </c>
      <c r="F17" s="98" t="b">
        <v>0</v>
      </c>
      <c r="G17" s="98" t="b">
        <v>0</v>
      </c>
    </row>
    <row r="18" spans="1:7" ht="15">
      <c r="A18" s="99" t="s">
        <v>936</v>
      </c>
      <c r="B18" s="98">
        <v>56</v>
      </c>
      <c r="C18" s="111">
        <v>0.009795446367311694</v>
      </c>
      <c r="D18" s="98" t="s">
        <v>1055</v>
      </c>
      <c r="E18" s="98" t="b">
        <v>0</v>
      </c>
      <c r="F18" s="98" t="b">
        <v>0</v>
      </c>
      <c r="G18" s="98" t="b">
        <v>0</v>
      </c>
    </row>
    <row r="19" spans="1:7" ht="15">
      <c r="A19" s="99" t="s">
        <v>937</v>
      </c>
      <c r="B19" s="98">
        <v>55</v>
      </c>
      <c r="C19" s="111">
        <v>0.009809711665986673</v>
      </c>
      <c r="D19" s="98" t="s">
        <v>1055</v>
      </c>
      <c r="E19" s="98" t="b">
        <v>0</v>
      </c>
      <c r="F19" s="98" t="b">
        <v>0</v>
      </c>
      <c r="G19" s="98" t="b">
        <v>0</v>
      </c>
    </row>
    <row r="20" spans="1:7" ht="15">
      <c r="A20" s="99" t="s">
        <v>938</v>
      </c>
      <c r="B20" s="98">
        <v>54</v>
      </c>
      <c r="C20" s="111">
        <v>0.009820505888432772</v>
      </c>
      <c r="D20" s="98" t="s">
        <v>1055</v>
      </c>
      <c r="E20" s="98" t="b">
        <v>0</v>
      </c>
      <c r="F20" s="98" t="b">
        <v>0</v>
      </c>
      <c r="G20" s="98" t="b">
        <v>0</v>
      </c>
    </row>
    <row r="21" spans="1:7" ht="15">
      <c r="A21" s="99" t="s">
        <v>939</v>
      </c>
      <c r="B21" s="98">
        <v>53</v>
      </c>
      <c r="C21" s="111">
        <v>0.009827764748177932</v>
      </c>
      <c r="D21" s="98" t="s">
        <v>1055</v>
      </c>
      <c r="E21" s="98" t="b">
        <v>0</v>
      </c>
      <c r="F21" s="98" t="b">
        <v>0</v>
      </c>
      <c r="G21" s="98" t="b">
        <v>0</v>
      </c>
    </row>
    <row r="22" spans="1:7" ht="15">
      <c r="A22" s="99" t="s">
        <v>940</v>
      </c>
      <c r="B22" s="98">
        <v>53</v>
      </c>
      <c r="C22" s="111">
        <v>0.009827764748177932</v>
      </c>
      <c r="D22" s="98" t="s">
        <v>1055</v>
      </c>
      <c r="E22" s="98" t="b">
        <v>0</v>
      </c>
      <c r="F22" s="98" t="b">
        <v>0</v>
      </c>
      <c r="G22" s="98" t="b">
        <v>0</v>
      </c>
    </row>
    <row r="23" spans="1:7" ht="15">
      <c r="A23" s="99" t="s">
        <v>941</v>
      </c>
      <c r="B23" s="98">
        <v>53</v>
      </c>
      <c r="C23" s="111">
        <v>0.009827764748177932</v>
      </c>
      <c r="D23" s="98" t="s">
        <v>1055</v>
      </c>
      <c r="E23" s="98" t="b">
        <v>0</v>
      </c>
      <c r="F23" s="98" t="b">
        <v>0</v>
      </c>
      <c r="G23" s="98" t="b">
        <v>0</v>
      </c>
    </row>
    <row r="24" spans="1:7" ht="15">
      <c r="A24" s="99" t="s">
        <v>942</v>
      </c>
      <c r="B24" s="98">
        <v>53</v>
      </c>
      <c r="C24" s="111">
        <v>0.009827764748177932</v>
      </c>
      <c r="D24" s="98" t="s">
        <v>1055</v>
      </c>
      <c r="E24" s="98" t="b">
        <v>0</v>
      </c>
      <c r="F24" s="98" t="b">
        <v>0</v>
      </c>
      <c r="G24" s="98" t="b">
        <v>0</v>
      </c>
    </row>
    <row r="25" spans="1:7" ht="15">
      <c r="A25" s="99" t="s">
        <v>943</v>
      </c>
      <c r="B25" s="98">
        <v>53</v>
      </c>
      <c r="C25" s="111">
        <v>0.009827764748177932</v>
      </c>
      <c r="D25" s="98" t="s">
        <v>1055</v>
      </c>
      <c r="E25" s="98" t="b">
        <v>0</v>
      </c>
      <c r="F25" s="98" t="b">
        <v>0</v>
      </c>
      <c r="G25" s="98" t="b">
        <v>0</v>
      </c>
    </row>
    <row r="26" spans="1:7" ht="15">
      <c r="A26" s="99" t="s">
        <v>293</v>
      </c>
      <c r="B26" s="98">
        <v>44</v>
      </c>
      <c r="C26" s="111">
        <v>0.010112819688938398</v>
      </c>
      <c r="D26" s="98" t="s">
        <v>1055</v>
      </c>
      <c r="E26" s="98" t="b">
        <v>0</v>
      </c>
      <c r="F26" s="98" t="b">
        <v>0</v>
      </c>
      <c r="G26" s="98" t="b">
        <v>0</v>
      </c>
    </row>
    <row r="27" spans="1:7" ht="15">
      <c r="A27" s="99" t="s">
        <v>945</v>
      </c>
      <c r="B27" s="98">
        <v>31</v>
      </c>
      <c r="C27" s="111">
        <v>0.008922090811939749</v>
      </c>
      <c r="D27" s="98" t="s">
        <v>1055</v>
      </c>
      <c r="E27" s="98" t="b">
        <v>0</v>
      </c>
      <c r="F27" s="98" t="b">
        <v>0</v>
      </c>
      <c r="G27" s="98" t="b">
        <v>0</v>
      </c>
    </row>
    <row r="28" spans="1:7" ht="15">
      <c r="A28" s="99" t="s">
        <v>295</v>
      </c>
      <c r="B28" s="98">
        <v>22</v>
      </c>
      <c r="C28" s="111">
        <v>0.00777209573926712</v>
      </c>
      <c r="D28" s="98" t="s">
        <v>1055</v>
      </c>
      <c r="E28" s="98" t="b">
        <v>0</v>
      </c>
      <c r="F28" s="98" t="b">
        <v>0</v>
      </c>
      <c r="G28" s="98" t="b">
        <v>0</v>
      </c>
    </row>
    <row r="29" spans="1:7" ht="15">
      <c r="A29" s="99" t="s">
        <v>260</v>
      </c>
      <c r="B29" s="98">
        <v>20</v>
      </c>
      <c r="C29" s="111">
        <v>0.007429433318806653</v>
      </c>
      <c r="D29" s="98" t="s">
        <v>1055</v>
      </c>
      <c r="E29" s="98" t="b">
        <v>0</v>
      </c>
      <c r="F29" s="98" t="b">
        <v>0</v>
      </c>
      <c r="G29" s="98" t="b">
        <v>0</v>
      </c>
    </row>
    <row r="30" spans="1:7" ht="15">
      <c r="A30" s="99" t="s">
        <v>996</v>
      </c>
      <c r="B30" s="98">
        <v>18</v>
      </c>
      <c r="C30" s="111">
        <v>0.007048527274878582</v>
      </c>
      <c r="D30" s="98" t="s">
        <v>1055</v>
      </c>
      <c r="E30" s="98" t="b">
        <v>0</v>
      </c>
      <c r="F30" s="98" t="b">
        <v>0</v>
      </c>
      <c r="G30" s="98" t="b">
        <v>0</v>
      </c>
    </row>
    <row r="31" spans="1:7" ht="15">
      <c r="A31" s="99" t="s">
        <v>997</v>
      </c>
      <c r="B31" s="98">
        <v>18</v>
      </c>
      <c r="C31" s="111">
        <v>0.007048527274878582</v>
      </c>
      <c r="D31" s="98" t="s">
        <v>1055</v>
      </c>
      <c r="E31" s="98" t="b">
        <v>0</v>
      </c>
      <c r="F31" s="98" t="b">
        <v>0</v>
      </c>
      <c r="G31" s="98" t="b">
        <v>0</v>
      </c>
    </row>
    <row r="32" spans="1:7" ht="15">
      <c r="A32" s="99" t="s">
        <v>998</v>
      </c>
      <c r="B32" s="98">
        <v>18</v>
      </c>
      <c r="C32" s="111">
        <v>0.007048527274878582</v>
      </c>
      <c r="D32" s="98" t="s">
        <v>1055</v>
      </c>
      <c r="E32" s="98" t="b">
        <v>0</v>
      </c>
      <c r="F32" s="98" t="b">
        <v>0</v>
      </c>
      <c r="G32" s="98" t="b">
        <v>0</v>
      </c>
    </row>
    <row r="33" spans="1:7" ht="15">
      <c r="A33" s="99" t="s">
        <v>944</v>
      </c>
      <c r="B33" s="98">
        <v>17</v>
      </c>
      <c r="C33" s="111">
        <v>0.008255165256633064</v>
      </c>
      <c r="D33" s="98" t="s">
        <v>1055</v>
      </c>
      <c r="E33" s="98" t="b">
        <v>0</v>
      </c>
      <c r="F33" s="98" t="b">
        <v>0</v>
      </c>
      <c r="G33" s="98" t="b">
        <v>0</v>
      </c>
    </row>
    <row r="34" spans="1:7" ht="15">
      <c r="A34" s="99" t="s">
        <v>949</v>
      </c>
      <c r="B34" s="98">
        <v>15</v>
      </c>
      <c r="C34" s="111">
        <v>0.006395846878830045</v>
      </c>
      <c r="D34" s="98" t="s">
        <v>1055</v>
      </c>
      <c r="E34" s="98" t="b">
        <v>0</v>
      </c>
      <c r="F34" s="98" t="b">
        <v>0</v>
      </c>
      <c r="G34" s="98" t="b">
        <v>0</v>
      </c>
    </row>
    <row r="35" spans="1:7" ht="15">
      <c r="A35" s="99" t="s">
        <v>966</v>
      </c>
      <c r="B35" s="98">
        <v>15</v>
      </c>
      <c r="C35" s="111">
        <v>0.006395846878830045</v>
      </c>
      <c r="D35" s="98" t="s">
        <v>1055</v>
      </c>
      <c r="E35" s="98" t="b">
        <v>0</v>
      </c>
      <c r="F35" s="98" t="b">
        <v>0</v>
      </c>
      <c r="G35" s="98" t="b">
        <v>0</v>
      </c>
    </row>
    <row r="36" spans="1:7" ht="15">
      <c r="A36" s="99" t="s">
        <v>2365</v>
      </c>
      <c r="B36" s="98">
        <v>12</v>
      </c>
      <c r="C36" s="111">
        <v>0.005627851198051585</v>
      </c>
      <c r="D36" s="98" t="s">
        <v>1055</v>
      </c>
      <c r="E36" s="98" t="b">
        <v>0</v>
      </c>
      <c r="F36" s="98" t="b">
        <v>0</v>
      </c>
      <c r="G36" s="98" t="b">
        <v>0</v>
      </c>
    </row>
    <row r="37" spans="1:7" ht="15">
      <c r="A37" s="99" t="s">
        <v>338</v>
      </c>
      <c r="B37" s="98">
        <v>11</v>
      </c>
      <c r="C37" s="111">
        <v>0.005341577518997866</v>
      </c>
      <c r="D37" s="98" t="s">
        <v>1055</v>
      </c>
      <c r="E37" s="98" t="b">
        <v>0</v>
      </c>
      <c r="F37" s="98" t="b">
        <v>0</v>
      </c>
      <c r="G37" s="98" t="b">
        <v>0</v>
      </c>
    </row>
    <row r="38" spans="1:7" ht="15">
      <c r="A38" s="99" t="s">
        <v>1027</v>
      </c>
      <c r="B38" s="98">
        <v>11</v>
      </c>
      <c r="C38" s="111">
        <v>0.005341577518997866</v>
      </c>
      <c r="D38" s="98" t="s">
        <v>1055</v>
      </c>
      <c r="E38" s="98" t="b">
        <v>0</v>
      </c>
      <c r="F38" s="98" t="b">
        <v>0</v>
      </c>
      <c r="G38" s="98" t="b">
        <v>0</v>
      </c>
    </row>
    <row r="39" spans="1:7" ht="15">
      <c r="A39" s="99" t="s">
        <v>1048</v>
      </c>
      <c r="B39" s="98">
        <v>10</v>
      </c>
      <c r="C39" s="111">
        <v>0.005037925431552694</v>
      </c>
      <c r="D39" s="98" t="s">
        <v>1055</v>
      </c>
      <c r="E39" s="98" t="b">
        <v>0</v>
      </c>
      <c r="F39" s="98" t="b">
        <v>0</v>
      </c>
      <c r="G39" s="98" t="b">
        <v>0</v>
      </c>
    </row>
    <row r="40" spans="1:7" ht="15">
      <c r="A40" s="99" t="s">
        <v>2366</v>
      </c>
      <c r="B40" s="98">
        <v>10</v>
      </c>
      <c r="C40" s="111">
        <v>0.005037925431552694</v>
      </c>
      <c r="D40" s="98" t="s">
        <v>1055</v>
      </c>
      <c r="E40" s="98" t="b">
        <v>0</v>
      </c>
      <c r="F40" s="98" t="b">
        <v>0</v>
      </c>
      <c r="G40" s="98" t="b">
        <v>0</v>
      </c>
    </row>
    <row r="41" spans="1:7" ht="15">
      <c r="A41" s="99" t="s">
        <v>2367</v>
      </c>
      <c r="B41" s="98">
        <v>10</v>
      </c>
      <c r="C41" s="111">
        <v>0.005037925431552694</v>
      </c>
      <c r="D41" s="98" t="s">
        <v>1055</v>
      </c>
      <c r="E41" s="98" t="b">
        <v>0</v>
      </c>
      <c r="F41" s="98" t="b">
        <v>0</v>
      </c>
      <c r="G41" s="98" t="b">
        <v>0</v>
      </c>
    </row>
    <row r="42" spans="1:7" ht="15">
      <c r="A42" s="99" t="s">
        <v>2368</v>
      </c>
      <c r="B42" s="98">
        <v>10</v>
      </c>
      <c r="C42" s="111">
        <v>0.005037925431552694</v>
      </c>
      <c r="D42" s="98" t="s">
        <v>1055</v>
      </c>
      <c r="E42" s="98" t="b">
        <v>0</v>
      </c>
      <c r="F42" s="98" t="b">
        <v>0</v>
      </c>
      <c r="G42" s="98" t="b">
        <v>0</v>
      </c>
    </row>
    <row r="43" spans="1:7" ht="15">
      <c r="A43" s="99" t="s">
        <v>2369</v>
      </c>
      <c r="B43" s="98">
        <v>10</v>
      </c>
      <c r="C43" s="111">
        <v>0.005037925431552694</v>
      </c>
      <c r="D43" s="98" t="s">
        <v>1055</v>
      </c>
      <c r="E43" s="98" t="b">
        <v>0</v>
      </c>
      <c r="F43" s="98" t="b">
        <v>0</v>
      </c>
      <c r="G43" s="98" t="b">
        <v>0</v>
      </c>
    </row>
    <row r="44" spans="1:7" ht="15">
      <c r="A44" s="99" t="s">
        <v>2370</v>
      </c>
      <c r="B44" s="98">
        <v>10</v>
      </c>
      <c r="C44" s="111">
        <v>0.005037925431552694</v>
      </c>
      <c r="D44" s="98" t="s">
        <v>1055</v>
      </c>
      <c r="E44" s="98" t="b">
        <v>0</v>
      </c>
      <c r="F44" s="98" t="b">
        <v>0</v>
      </c>
      <c r="G44" s="98" t="b">
        <v>0</v>
      </c>
    </row>
    <row r="45" spans="1:7" ht="15">
      <c r="A45" s="99" t="s">
        <v>2371</v>
      </c>
      <c r="B45" s="98">
        <v>10</v>
      </c>
      <c r="C45" s="111">
        <v>0.005037925431552694</v>
      </c>
      <c r="D45" s="98" t="s">
        <v>1055</v>
      </c>
      <c r="E45" s="98" t="b">
        <v>0</v>
      </c>
      <c r="F45" s="98" t="b">
        <v>0</v>
      </c>
      <c r="G45" s="98" t="b">
        <v>0</v>
      </c>
    </row>
    <row r="46" spans="1:7" ht="15">
      <c r="A46" s="99" t="s">
        <v>2372</v>
      </c>
      <c r="B46" s="98">
        <v>10</v>
      </c>
      <c r="C46" s="111">
        <v>0.005037925431552694</v>
      </c>
      <c r="D46" s="98" t="s">
        <v>1055</v>
      </c>
      <c r="E46" s="98" t="b">
        <v>0</v>
      </c>
      <c r="F46" s="98" t="b">
        <v>0</v>
      </c>
      <c r="G46" s="98" t="b">
        <v>0</v>
      </c>
    </row>
    <row r="47" spans="1:7" ht="15">
      <c r="A47" s="99" t="s">
        <v>2373</v>
      </c>
      <c r="B47" s="98">
        <v>10</v>
      </c>
      <c r="C47" s="111">
        <v>0.005037925431552694</v>
      </c>
      <c r="D47" s="98" t="s">
        <v>1055</v>
      </c>
      <c r="E47" s="98" t="b">
        <v>0</v>
      </c>
      <c r="F47" s="98" t="b">
        <v>0</v>
      </c>
      <c r="G47" s="98" t="b">
        <v>0</v>
      </c>
    </row>
    <row r="48" spans="1:7" ht="15">
      <c r="A48" s="99" t="s">
        <v>2374</v>
      </c>
      <c r="B48" s="98">
        <v>10</v>
      </c>
      <c r="C48" s="111">
        <v>0.005037925431552694</v>
      </c>
      <c r="D48" s="98" t="s">
        <v>1055</v>
      </c>
      <c r="E48" s="98" t="b">
        <v>0</v>
      </c>
      <c r="F48" s="98" t="b">
        <v>0</v>
      </c>
      <c r="G48" s="98" t="b">
        <v>0</v>
      </c>
    </row>
    <row r="49" spans="1:7" ht="15">
      <c r="A49" s="99" t="s">
        <v>2375</v>
      </c>
      <c r="B49" s="98">
        <v>10</v>
      </c>
      <c r="C49" s="111">
        <v>0.005037925431552694</v>
      </c>
      <c r="D49" s="98" t="s">
        <v>1055</v>
      </c>
      <c r="E49" s="98" t="b">
        <v>0</v>
      </c>
      <c r="F49" s="98" t="b">
        <v>0</v>
      </c>
      <c r="G49" s="98" t="b">
        <v>0</v>
      </c>
    </row>
    <row r="50" spans="1:7" ht="15">
      <c r="A50" s="99" t="s">
        <v>2376</v>
      </c>
      <c r="B50" s="98">
        <v>10</v>
      </c>
      <c r="C50" s="111">
        <v>0.005037925431552694</v>
      </c>
      <c r="D50" s="98" t="s">
        <v>1055</v>
      </c>
      <c r="E50" s="98" t="b">
        <v>0</v>
      </c>
      <c r="F50" s="98" t="b">
        <v>0</v>
      </c>
      <c r="G50" s="98" t="b">
        <v>0</v>
      </c>
    </row>
    <row r="51" spans="1:7" ht="15">
      <c r="A51" s="99" t="s">
        <v>252</v>
      </c>
      <c r="B51" s="98">
        <v>10</v>
      </c>
      <c r="C51" s="111">
        <v>0.005037925431552694</v>
      </c>
      <c r="D51" s="98" t="s">
        <v>1055</v>
      </c>
      <c r="E51" s="98" t="b">
        <v>0</v>
      </c>
      <c r="F51" s="98" t="b">
        <v>0</v>
      </c>
      <c r="G51" s="98" t="b">
        <v>0</v>
      </c>
    </row>
    <row r="52" spans="1:7" ht="15">
      <c r="A52" s="99" t="s">
        <v>2377</v>
      </c>
      <c r="B52" s="98">
        <v>10</v>
      </c>
      <c r="C52" s="111">
        <v>0.005037925431552694</v>
      </c>
      <c r="D52" s="98" t="s">
        <v>1055</v>
      </c>
      <c r="E52" s="98" t="b">
        <v>0</v>
      </c>
      <c r="F52" s="98" t="b">
        <v>0</v>
      </c>
      <c r="G52" s="98" t="b">
        <v>0</v>
      </c>
    </row>
    <row r="53" spans="1:7" ht="15">
      <c r="A53" s="99" t="s">
        <v>2378</v>
      </c>
      <c r="B53" s="98">
        <v>10</v>
      </c>
      <c r="C53" s="111">
        <v>0.005037925431552694</v>
      </c>
      <c r="D53" s="98" t="s">
        <v>1055</v>
      </c>
      <c r="E53" s="98" t="b">
        <v>0</v>
      </c>
      <c r="F53" s="98" t="b">
        <v>0</v>
      </c>
      <c r="G53" s="98" t="b">
        <v>0</v>
      </c>
    </row>
    <row r="54" spans="1:7" ht="15">
      <c r="A54" s="99" t="s">
        <v>948</v>
      </c>
      <c r="B54" s="98">
        <v>10</v>
      </c>
      <c r="C54" s="111">
        <v>0.005037925431552694</v>
      </c>
      <c r="D54" s="98" t="s">
        <v>1055</v>
      </c>
      <c r="E54" s="98" t="b">
        <v>0</v>
      </c>
      <c r="F54" s="98" t="b">
        <v>0</v>
      </c>
      <c r="G54" s="98" t="b">
        <v>0</v>
      </c>
    </row>
    <row r="55" spans="1:7" ht="15">
      <c r="A55" s="99" t="s">
        <v>2379</v>
      </c>
      <c r="B55" s="98">
        <v>9</v>
      </c>
      <c r="C55" s="111">
        <v>0.004715151532373722</v>
      </c>
      <c r="D55" s="98" t="s">
        <v>1055</v>
      </c>
      <c r="E55" s="98" t="b">
        <v>0</v>
      </c>
      <c r="F55" s="98" t="b">
        <v>0</v>
      </c>
      <c r="G55" s="98" t="b">
        <v>0</v>
      </c>
    </row>
    <row r="56" spans="1:7" ht="15">
      <c r="A56" s="99" t="s">
        <v>2380</v>
      </c>
      <c r="B56" s="98">
        <v>8</v>
      </c>
      <c r="C56" s="111">
        <v>0.004371122808567189</v>
      </c>
      <c r="D56" s="98" t="s">
        <v>1055</v>
      </c>
      <c r="E56" s="98" t="b">
        <v>0</v>
      </c>
      <c r="F56" s="98" t="b">
        <v>0</v>
      </c>
      <c r="G56" s="98" t="b">
        <v>0</v>
      </c>
    </row>
    <row r="57" spans="1:7" ht="15">
      <c r="A57" s="99" t="s">
        <v>2381</v>
      </c>
      <c r="B57" s="98">
        <v>8</v>
      </c>
      <c r="C57" s="111">
        <v>0.004371122808567189</v>
      </c>
      <c r="D57" s="98" t="s">
        <v>1055</v>
      </c>
      <c r="E57" s="98" t="b">
        <v>0</v>
      </c>
      <c r="F57" s="98" t="b">
        <v>0</v>
      </c>
      <c r="G57" s="98" t="b">
        <v>0</v>
      </c>
    </row>
    <row r="58" spans="1:7" ht="15">
      <c r="A58" s="99" t="s">
        <v>2382</v>
      </c>
      <c r="B58" s="98">
        <v>8</v>
      </c>
      <c r="C58" s="111">
        <v>0.004371122808567189</v>
      </c>
      <c r="D58" s="98" t="s">
        <v>1055</v>
      </c>
      <c r="E58" s="98" t="b">
        <v>0</v>
      </c>
      <c r="F58" s="98" t="b">
        <v>0</v>
      </c>
      <c r="G58" s="98" t="b">
        <v>0</v>
      </c>
    </row>
    <row r="59" spans="1:7" ht="15">
      <c r="A59" s="99" t="s">
        <v>2383</v>
      </c>
      <c r="B59" s="98">
        <v>8</v>
      </c>
      <c r="C59" s="111">
        <v>0.004371122808567189</v>
      </c>
      <c r="D59" s="98" t="s">
        <v>1055</v>
      </c>
      <c r="E59" s="98" t="b">
        <v>0</v>
      </c>
      <c r="F59" s="98" t="b">
        <v>0</v>
      </c>
      <c r="G59" s="98" t="b">
        <v>0</v>
      </c>
    </row>
    <row r="60" spans="1:7" ht="15">
      <c r="A60" s="99" t="s">
        <v>2384</v>
      </c>
      <c r="B60" s="98">
        <v>8</v>
      </c>
      <c r="C60" s="111">
        <v>0.004371122808567189</v>
      </c>
      <c r="D60" s="98" t="s">
        <v>1055</v>
      </c>
      <c r="E60" s="98" t="b">
        <v>0</v>
      </c>
      <c r="F60" s="98" t="b">
        <v>0</v>
      </c>
      <c r="G60" s="98" t="b">
        <v>0</v>
      </c>
    </row>
    <row r="61" spans="1:7" ht="15">
      <c r="A61" s="99" t="s">
        <v>2385</v>
      </c>
      <c r="B61" s="98">
        <v>8</v>
      </c>
      <c r="C61" s="111">
        <v>0.004371122808567189</v>
      </c>
      <c r="D61" s="98" t="s">
        <v>1055</v>
      </c>
      <c r="E61" s="98" t="b">
        <v>0</v>
      </c>
      <c r="F61" s="98" t="b">
        <v>0</v>
      </c>
      <c r="G61" s="98" t="b">
        <v>0</v>
      </c>
    </row>
    <row r="62" spans="1:7" ht="15">
      <c r="A62" s="99" t="s">
        <v>2386</v>
      </c>
      <c r="B62" s="98">
        <v>8</v>
      </c>
      <c r="C62" s="111">
        <v>0.004371122808567189</v>
      </c>
      <c r="D62" s="98" t="s">
        <v>1055</v>
      </c>
      <c r="E62" s="98" t="b">
        <v>0</v>
      </c>
      <c r="F62" s="98" t="b">
        <v>0</v>
      </c>
      <c r="G62" s="98" t="b">
        <v>0</v>
      </c>
    </row>
    <row r="63" spans="1:7" ht="15">
      <c r="A63" s="99" t="s">
        <v>2387</v>
      </c>
      <c r="B63" s="98">
        <v>8</v>
      </c>
      <c r="C63" s="111">
        <v>0.004371122808567189</v>
      </c>
      <c r="D63" s="98" t="s">
        <v>1055</v>
      </c>
      <c r="E63" s="98" t="b">
        <v>0</v>
      </c>
      <c r="F63" s="98" t="b">
        <v>0</v>
      </c>
      <c r="G63" s="98" t="b">
        <v>0</v>
      </c>
    </row>
    <row r="64" spans="1:7" ht="15">
      <c r="A64" s="99" t="s">
        <v>2388</v>
      </c>
      <c r="B64" s="98">
        <v>8</v>
      </c>
      <c r="C64" s="111">
        <v>0.004371122808567189</v>
      </c>
      <c r="D64" s="98" t="s">
        <v>1055</v>
      </c>
      <c r="E64" s="98" t="b">
        <v>0</v>
      </c>
      <c r="F64" s="98" t="b">
        <v>0</v>
      </c>
      <c r="G64" s="98" t="b">
        <v>0</v>
      </c>
    </row>
    <row r="65" spans="1:7" ht="15">
      <c r="A65" s="99" t="s">
        <v>2389</v>
      </c>
      <c r="B65" s="98">
        <v>8</v>
      </c>
      <c r="C65" s="111">
        <v>0.004371122808567189</v>
      </c>
      <c r="D65" s="98" t="s">
        <v>1055</v>
      </c>
      <c r="E65" s="98" t="b">
        <v>0</v>
      </c>
      <c r="F65" s="98" t="b">
        <v>0</v>
      </c>
      <c r="G65" s="98" t="b">
        <v>0</v>
      </c>
    </row>
    <row r="66" spans="1:7" ht="15">
      <c r="A66" s="99" t="s">
        <v>2390</v>
      </c>
      <c r="B66" s="98">
        <v>8</v>
      </c>
      <c r="C66" s="111">
        <v>0.004371122808567189</v>
      </c>
      <c r="D66" s="98" t="s">
        <v>1055</v>
      </c>
      <c r="E66" s="98" t="b">
        <v>0</v>
      </c>
      <c r="F66" s="98" t="b">
        <v>0</v>
      </c>
      <c r="G66" s="98" t="b">
        <v>0</v>
      </c>
    </row>
    <row r="67" spans="1:7" ht="15">
      <c r="A67" s="99" t="s">
        <v>946</v>
      </c>
      <c r="B67" s="98">
        <v>8</v>
      </c>
      <c r="C67" s="111">
        <v>0.004371122808567189</v>
      </c>
      <c r="D67" s="98" t="s">
        <v>1055</v>
      </c>
      <c r="E67" s="98" t="b">
        <v>0</v>
      </c>
      <c r="F67" s="98" t="b">
        <v>0</v>
      </c>
      <c r="G67" s="98" t="b">
        <v>0</v>
      </c>
    </row>
    <row r="68" spans="1:7" ht="15">
      <c r="A68" s="99" t="s">
        <v>947</v>
      </c>
      <c r="B68" s="98">
        <v>8</v>
      </c>
      <c r="C68" s="111">
        <v>0.004371122808567189</v>
      </c>
      <c r="D68" s="98" t="s">
        <v>1055</v>
      </c>
      <c r="E68" s="98" t="b">
        <v>0</v>
      </c>
      <c r="F68" s="98" t="b">
        <v>0</v>
      </c>
      <c r="G68" s="98" t="b">
        <v>0</v>
      </c>
    </row>
    <row r="69" spans="1:7" ht="15">
      <c r="A69" s="99" t="s">
        <v>2391</v>
      </c>
      <c r="B69" s="98">
        <v>8</v>
      </c>
      <c r="C69" s="111">
        <v>0.005429689826286684</v>
      </c>
      <c r="D69" s="98" t="s">
        <v>1055</v>
      </c>
      <c r="E69" s="98" t="b">
        <v>0</v>
      </c>
      <c r="F69" s="98" t="b">
        <v>0</v>
      </c>
      <c r="G69" s="98" t="b">
        <v>0</v>
      </c>
    </row>
    <row r="70" spans="1:7" ht="15">
      <c r="A70" s="99" t="s">
        <v>959</v>
      </c>
      <c r="B70" s="98">
        <v>8</v>
      </c>
      <c r="C70" s="111">
        <v>0.004371122808567189</v>
      </c>
      <c r="D70" s="98" t="s">
        <v>1055</v>
      </c>
      <c r="E70" s="98" t="b">
        <v>0</v>
      </c>
      <c r="F70" s="98" t="b">
        <v>0</v>
      </c>
      <c r="G70" s="98" t="b">
        <v>0</v>
      </c>
    </row>
    <row r="71" spans="1:7" ht="15">
      <c r="A71" s="99" t="s">
        <v>960</v>
      </c>
      <c r="B71" s="98">
        <v>8</v>
      </c>
      <c r="C71" s="111">
        <v>0.004371122808567189</v>
      </c>
      <c r="D71" s="98" t="s">
        <v>1055</v>
      </c>
      <c r="E71" s="98" t="b">
        <v>0</v>
      </c>
      <c r="F71" s="98" t="b">
        <v>0</v>
      </c>
      <c r="G71" s="98" t="b">
        <v>0</v>
      </c>
    </row>
    <row r="72" spans="1:7" ht="15">
      <c r="A72" s="99" t="s">
        <v>961</v>
      </c>
      <c r="B72" s="98">
        <v>8</v>
      </c>
      <c r="C72" s="111">
        <v>0.004371122808567189</v>
      </c>
      <c r="D72" s="98" t="s">
        <v>1055</v>
      </c>
      <c r="E72" s="98" t="b">
        <v>0</v>
      </c>
      <c r="F72" s="98" t="b">
        <v>0</v>
      </c>
      <c r="G72" s="98" t="b">
        <v>0</v>
      </c>
    </row>
    <row r="73" spans="1:7" ht="15">
      <c r="A73" s="99" t="s">
        <v>962</v>
      </c>
      <c r="B73" s="98">
        <v>8</v>
      </c>
      <c r="C73" s="111">
        <v>0.004371122808567189</v>
      </c>
      <c r="D73" s="98" t="s">
        <v>1055</v>
      </c>
      <c r="E73" s="98" t="b">
        <v>0</v>
      </c>
      <c r="F73" s="98" t="b">
        <v>0</v>
      </c>
      <c r="G73" s="98" t="b">
        <v>0</v>
      </c>
    </row>
    <row r="74" spans="1:7" ht="15">
      <c r="A74" s="99" t="s">
        <v>963</v>
      </c>
      <c r="B74" s="98">
        <v>8</v>
      </c>
      <c r="C74" s="111">
        <v>0.004371122808567189</v>
      </c>
      <c r="D74" s="98" t="s">
        <v>1055</v>
      </c>
      <c r="E74" s="98" t="b">
        <v>0</v>
      </c>
      <c r="F74" s="98" t="b">
        <v>0</v>
      </c>
      <c r="G74" s="98" t="b">
        <v>0</v>
      </c>
    </row>
    <row r="75" spans="1:7" ht="15">
      <c r="A75" s="99" t="s">
        <v>964</v>
      </c>
      <c r="B75" s="98">
        <v>8</v>
      </c>
      <c r="C75" s="111">
        <v>0.004371122808567189</v>
      </c>
      <c r="D75" s="98" t="s">
        <v>1055</v>
      </c>
      <c r="E75" s="98" t="b">
        <v>0</v>
      </c>
      <c r="F75" s="98" t="b">
        <v>0</v>
      </c>
      <c r="G75" s="98" t="b">
        <v>0</v>
      </c>
    </row>
    <row r="76" spans="1:7" ht="15">
      <c r="A76" s="99" t="s">
        <v>965</v>
      </c>
      <c r="B76" s="98">
        <v>8</v>
      </c>
      <c r="C76" s="111">
        <v>0.004371122808567189</v>
      </c>
      <c r="D76" s="98" t="s">
        <v>1055</v>
      </c>
      <c r="E76" s="98" t="b">
        <v>0</v>
      </c>
      <c r="F76" s="98" t="b">
        <v>0</v>
      </c>
      <c r="G76" s="98" t="b">
        <v>0</v>
      </c>
    </row>
    <row r="77" spans="1:7" ht="15">
      <c r="A77" s="99" t="s">
        <v>954</v>
      </c>
      <c r="B77" s="98">
        <v>7</v>
      </c>
      <c r="C77" s="111">
        <v>0.004003169217427635</v>
      </c>
      <c r="D77" s="98" t="s">
        <v>1055</v>
      </c>
      <c r="E77" s="98" t="b">
        <v>0</v>
      </c>
      <c r="F77" s="98" t="b">
        <v>0</v>
      </c>
      <c r="G77" s="98" t="b">
        <v>0</v>
      </c>
    </row>
    <row r="78" spans="1:7" ht="15">
      <c r="A78" s="99" t="s">
        <v>985</v>
      </c>
      <c r="B78" s="98">
        <v>7</v>
      </c>
      <c r="C78" s="111">
        <v>0.004003169217427635</v>
      </c>
      <c r="D78" s="98" t="s">
        <v>1055</v>
      </c>
      <c r="E78" s="98" t="b">
        <v>0</v>
      </c>
      <c r="F78" s="98" t="b">
        <v>0</v>
      </c>
      <c r="G78" s="98" t="b">
        <v>0</v>
      </c>
    </row>
    <row r="79" spans="1:7" ht="15">
      <c r="A79" s="99" t="s">
        <v>2392</v>
      </c>
      <c r="B79" s="98">
        <v>7</v>
      </c>
      <c r="C79" s="111">
        <v>0.004003169217427635</v>
      </c>
      <c r="D79" s="98" t="s">
        <v>1055</v>
      </c>
      <c r="E79" s="98" t="b">
        <v>0</v>
      </c>
      <c r="F79" s="98" t="b">
        <v>0</v>
      </c>
      <c r="G79" s="98" t="b">
        <v>0</v>
      </c>
    </row>
    <row r="80" spans="1:7" ht="15">
      <c r="A80" s="99" t="s">
        <v>2393</v>
      </c>
      <c r="B80" s="98">
        <v>7</v>
      </c>
      <c r="C80" s="111">
        <v>0.004003169217427635</v>
      </c>
      <c r="D80" s="98" t="s">
        <v>1055</v>
      </c>
      <c r="E80" s="98" t="b">
        <v>0</v>
      </c>
      <c r="F80" s="98" t="b">
        <v>0</v>
      </c>
      <c r="G80" s="98" t="b">
        <v>0</v>
      </c>
    </row>
    <row r="81" spans="1:7" ht="15">
      <c r="A81" s="99" t="s">
        <v>950</v>
      </c>
      <c r="B81" s="98">
        <v>6</v>
      </c>
      <c r="C81" s="111">
        <v>0.0036078508623154136</v>
      </c>
      <c r="D81" s="98" t="s">
        <v>1055</v>
      </c>
      <c r="E81" s="98" t="b">
        <v>0</v>
      </c>
      <c r="F81" s="98" t="b">
        <v>0</v>
      </c>
      <c r="G81" s="98" t="b">
        <v>0</v>
      </c>
    </row>
    <row r="82" spans="1:7" ht="15">
      <c r="A82" s="99" t="s">
        <v>303</v>
      </c>
      <c r="B82" s="98">
        <v>6</v>
      </c>
      <c r="C82" s="111">
        <v>0.0036078508623154136</v>
      </c>
      <c r="D82" s="98" t="s">
        <v>1055</v>
      </c>
      <c r="E82" s="98" t="b">
        <v>0</v>
      </c>
      <c r="F82" s="98" t="b">
        <v>0</v>
      </c>
      <c r="G82" s="98" t="b">
        <v>0</v>
      </c>
    </row>
    <row r="83" spans="1:7" ht="15">
      <c r="A83" s="99" t="s">
        <v>951</v>
      </c>
      <c r="B83" s="98">
        <v>6</v>
      </c>
      <c r="C83" s="111">
        <v>0.0036078508623154136</v>
      </c>
      <c r="D83" s="98" t="s">
        <v>1055</v>
      </c>
      <c r="E83" s="98" t="b">
        <v>0</v>
      </c>
      <c r="F83" s="98" t="b">
        <v>0</v>
      </c>
      <c r="G83" s="98" t="b">
        <v>0</v>
      </c>
    </row>
    <row r="84" spans="1:7" ht="15">
      <c r="A84" s="99" t="s">
        <v>952</v>
      </c>
      <c r="B84" s="98">
        <v>6</v>
      </c>
      <c r="C84" s="111">
        <v>0.0036078508623154136</v>
      </c>
      <c r="D84" s="98" t="s">
        <v>1055</v>
      </c>
      <c r="E84" s="98" t="b">
        <v>0</v>
      </c>
      <c r="F84" s="98" t="b">
        <v>0</v>
      </c>
      <c r="G84" s="98" t="b">
        <v>0</v>
      </c>
    </row>
    <row r="85" spans="1:7" ht="15">
      <c r="A85" s="99" t="s">
        <v>953</v>
      </c>
      <c r="B85" s="98">
        <v>6</v>
      </c>
      <c r="C85" s="111">
        <v>0.0036078508623154136</v>
      </c>
      <c r="D85" s="98" t="s">
        <v>1055</v>
      </c>
      <c r="E85" s="98" t="b">
        <v>0</v>
      </c>
      <c r="F85" s="98" t="b">
        <v>0</v>
      </c>
      <c r="G85" s="98" t="b">
        <v>0</v>
      </c>
    </row>
    <row r="86" spans="1:7" ht="15">
      <c r="A86" s="99" t="s">
        <v>955</v>
      </c>
      <c r="B86" s="98">
        <v>6</v>
      </c>
      <c r="C86" s="111">
        <v>0.0036078508623154136</v>
      </c>
      <c r="D86" s="98" t="s">
        <v>1055</v>
      </c>
      <c r="E86" s="98" t="b">
        <v>0</v>
      </c>
      <c r="F86" s="98" t="b">
        <v>0</v>
      </c>
      <c r="G86" s="98" t="b">
        <v>0</v>
      </c>
    </row>
    <row r="87" spans="1:7" ht="15">
      <c r="A87" s="99" t="s">
        <v>956</v>
      </c>
      <c r="B87" s="98">
        <v>6</v>
      </c>
      <c r="C87" s="111">
        <v>0.0036078508623154136</v>
      </c>
      <c r="D87" s="98" t="s">
        <v>1055</v>
      </c>
      <c r="E87" s="98" t="b">
        <v>0</v>
      </c>
      <c r="F87" s="98" t="b">
        <v>0</v>
      </c>
      <c r="G87" s="98" t="b">
        <v>0</v>
      </c>
    </row>
    <row r="88" spans="1:7" ht="15">
      <c r="A88" s="99" t="s">
        <v>957</v>
      </c>
      <c r="B88" s="98">
        <v>6</v>
      </c>
      <c r="C88" s="111">
        <v>0.0036078508623154136</v>
      </c>
      <c r="D88" s="98" t="s">
        <v>1055</v>
      </c>
      <c r="E88" s="98" t="b">
        <v>0</v>
      </c>
      <c r="F88" s="98" t="b">
        <v>0</v>
      </c>
      <c r="G88" s="98" t="b">
        <v>0</v>
      </c>
    </row>
    <row r="89" spans="1:7" ht="15">
      <c r="A89" s="99" t="s">
        <v>958</v>
      </c>
      <c r="B89" s="98">
        <v>6</v>
      </c>
      <c r="C89" s="111">
        <v>0.0036078508623154136</v>
      </c>
      <c r="D89" s="98" t="s">
        <v>1055</v>
      </c>
      <c r="E89" s="98" t="b">
        <v>0</v>
      </c>
      <c r="F89" s="98" t="b">
        <v>0</v>
      </c>
      <c r="G89" s="98" t="b">
        <v>0</v>
      </c>
    </row>
    <row r="90" spans="1:7" ht="15">
      <c r="A90" s="99" t="s">
        <v>1032</v>
      </c>
      <c r="B90" s="98">
        <v>6</v>
      </c>
      <c r="C90" s="111">
        <v>0.0036078508623154136</v>
      </c>
      <c r="D90" s="98" t="s">
        <v>1055</v>
      </c>
      <c r="E90" s="98" t="b">
        <v>0</v>
      </c>
      <c r="F90" s="98" t="b">
        <v>0</v>
      </c>
      <c r="G90" s="98" t="b">
        <v>0</v>
      </c>
    </row>
    <row r="91" spans="1:7" ht="15">
      <c r="A91" s="99" t="s">
        <v>980</v>
      </c>
      <c r="B91" s="98">
        <v>6</v>
      </c>
      <c r="C91" s="111">
        <v>0.0036078508623154136</v>
      </c>
      <c r="D91" s="98" t="s">
        <v>1055</v>
      </c>
      <c r="E91" s="98" t="b">
        <v>0</v>
      </c>
      <c r="F91" s="98" t="b">
        <v>0</v>
      </c>
      <c r="G91" s="98" t="b">
        <v>0</v>
      </c>
    </row>
    <row r="92" spans="1:7" ht="15">
      <c r="A92" s="99" t="s">
        <v>984</v>
      </c>
      <c r="B92" s="98">
        <v>6</v>
      </c>
      <c r="C92" s="111">
        <v>0.0036078508623154136</v>
      </c>
      <c r="D92" s="98" t="s">
        <v>1055</v>
      </c>
      <c r="E92" s="98" t="b">
        <v>0</v>
      </c>
      <c r="F92" s="98" t="b">
        <v>0</v>
      </c>
      <c r="G92" s="98" t="b">
        <v>0</v>
      </c>
    </row>
    <row r="93" spans="1:7" ht="15">
      <c r="A93" s="99" t="s">
        <v>981</v>
      </c>
      <c r="B93" s="98">
        <v>6</v>
      </c>
      <c r="C93" s="111">
        <v>0.0036078508623154136</v>
      </c>
      <c r="D93" s="98" t="s">
        <v>1055</v>
      </c>
      <c r="E93" s="98" t="b">
        <v>0</v>
      </c>
      <c r="F93" s="98" t="b">
        <v>0</v>
      </c>
      <c r="G93" s="98" t="b">
        <v>0</v>
      </c>
    </row>
    <row r="94" spans="1:7" ht="15">
      <c r="A94" s="99" t="s">
        <v>982</v>
      </c>
      <c r="B94" s="98">
        <v>6</v>
      </c>
      <c r="C94" s="111">
        <v>0.0036078508623154136</v>
      </c>
      <c r="D94" s="98" t="s">
        <v>1055</v>
      </c>
      <c r="E94" s="98" t="b">
        <v>0</v>
      </c>
      <c r="F94" s="98" t="b">
        <v>0</v>
      </c>
      <c r="G94" s="98" t="b">
        <v>0</v>
      </c>
    </row>
    <row r="95" spans="1:7" ht="15">
      <c r="A95" s="99" t="s">
        <v>983</v>
      </c>
      <c r="B95" s="98">
        <v>6</v>
      </c>
      <c r="C95" s="111">
        <v>0.0036078508623154136</v>
      </c>
      <c r="D95" s="98" t="s">
        <v>1055</v>
      </c>
      <c r="E95" s="98" t="b">
        <v>0</v>
      </c>
      <c r="F95" s="98" t="b">
        <v>0</v>
      </c>
      <c r="G95" s="98" t="b">
        <v>0</v>
      </c>
    </row>
    <row r="96" spans="1:7" ht="15">
      <c r="A96" s="99" t="s">
        <v>2394</v>
      </c>
      <c r="B96" s="98">
        <v>5</v>
      </c>
      <c r="C96" s="111">
        <v>0.003180567101851031</v>
      </c>
      <c r="D96" s="98" t="s">
        <v>1055</v>
      </c>
      <c r="E96" s="98" t="b">
        <v>0</v>
      </c>
      <c r="F96" s="98" t="b">
        <v>0</v>
      </c>
      <c r="G96" s="98" t="b">
        <v>0</v>
      </c>
    </row>
    <row r="97" spans="1:7" ht="15">
      <c r="A97" s="99" t="s">
        <v>2395</v>
      </c>
      <c r="B97" s="98">
        <v>5</v>
      </c>
      <c r="C97" s="111">
        <v>0.003180567101851031</v>
      </c>
      <c r="D97" s="98" t="s">
        <v>1055</v>
      </c>
      <c r="E97" s="98" t="b">
        <v>0</v>
      </c>
      <c r="F97" s="98" t="b">
        <v>0</v>
      </c>
      <c r="G97" s="98" t="b">
        <v>0</v>
      </c>
    </row>
    <row r="98" spans="1:7" ht="15">
      <c r="A98" s="99" t="s">
        <v>2396</v>
      </c>
      <c r="B98" s="98">
        <v>5</v>
      </c>
      <c r="C98" s="111">
        <v>0.003180567101851031</v>
      </c>
      <c r="D98" s="98" t="s">
        <v>1055</v>
      </c>
      <c r="E98" s="98" t="b">
        <v>0</v>
      </c>
      <c r="F98" s="98" t="b">
        <v>0</v>
      </c>
      <c r="G98" s="98" t="b">
        <v>0</v>
      </c>
    </row>
    <row r="99" spans="1:7" ht="15">
      <c r="A99" s="99" t="s">
        <v>2397</v>
      </c>
      <c r="B99" s="98">
        <v>5</v>
      </c>
      <c r="C99" s="111">
        <v>0.003180567101851031</v>
      </c>
      <c r="D99" s="98" t="s">
        <v>1055</v>
      </c>
      <c r="E99" s="98" t="b">
        <v>0</v>
      </c>
      <c r="F99" s="98" t="b">
        <v>0</v>
      </c>
      <c r="G99" s="98" t="b">
        <v>0</v>
      </c>
    </row>
    <row r="100" spans="1:7" ht="15">
      <c r="A100" s="99" t="s">
        <v>2398</v>
      </c>
      <c r="B100" s="98">
        <v>5</v>
      </c>
      <c r="C100" s="111">
        <v>0.003180567101851031</v>
      </c>
      <c r="D100" s="98" t="s">
        <v>1055</v>
      </c>
      <c r="E100" s="98" t="b">
        <v>0</v>
      </c>
      <c r="F100" s="98" t="b">
        <v>0</v>
      </c>
      <c r="G100" s="98" t="b">
        <v>0</v>
      </c>
    </row>
    <row r="101" spans="1:7" ht="15">
      <c r="A101" s="99" t="s">
        <v>2399</v>
      </c>
      <c r="B101" s="98">
        <v>5</v>
      </c>
      <c r="C101" s="111">
        <v>0.003180567101851031</v>
      </c>
      <c r="D101" s="98" t="s">
        <v>1055</v>
      </c>
      <c r="E101" s="98" t="b">
        <v>0</v>
      </c>
      <c r="F101" s="98" t="b">
        <v>0</v>
      </c>
      <c r="G101" s="98" t="b">
        <v>0</v>
      </c>
    </row>
    <row r="102" spans="1:7" ht="15">
      <c r="A102" s="99" t="s">
        <v>2400</v>
      </c>
      <c r="B102" s="98">
        <v>5</v>
      </c>
      <c r="C102" s="111">
        <v>0.003180567101851031</v>
      </c>
      <c r="D102" s="98" t="s">
        <v>1055</v>
      </c>
      <c r="E102" s="98" t="b">
        <v>0</v>
      </c>
      <c r="F102" s="98" t="b">
        <v>0</v>
      </c>
      <c r="G102" s="98" t="b">
        <v>0</v>
      </c>
    </row>
    <row r="103" spans="1:7" ht="15">
      <c r="A103" s="99" t="s">
        <v>2401</v>
      </c>
      <c r="B103" s="98">
        <v>5</v>
      </c>
      <c r="C103" s="111">
        <v>0.003180567101851031</v>
      </c>
      <c r="D103" s="98" t="s">
        <v>1055</v>
      </c>
      <c r="E103" s="98" t="b">
        <v>0</v>
      </c>
      <c r="F103" s="98" t="b">
        <v>0</v>
      </c>
      <c r="G103" s="98" t="b">
        <v>0</v>
      </c>
    </row>
    <row r="104" spans="1:7" ht="15">
      <c r="A104" s="99" t="s">
        <v>2402</v>
      </c>
      <c r="B104" s="98">
        <v>5</v>
      </c>
      <c r="C104" s="111">
        <v>0.003180567101851031</v>
      </c>
      <c r="D104" s="98" t="s">
        <v>1055</v>
      </c>
      <c r="E104" s="98" t="b">
        <v>0</v>
      </c>
      <c r="F104" s="98" t="b">
        <v>0</v>
      </c>
      <c r="G104" s="98" t="b">
        <v>0</v>
      </c>
    </row>
    <row r="105" spans="1:7" ht="15">
      <c r="A105" s="99" t="s">
        <v>2403</v>
      </c>
      <c r="B105" s="98">
        <v>5</v>
      </c>
      <c r="C105" s="111">
        <v>0.003180567101851031</v>
      </c>
      <c r="D105" s="98" t="s">
        <v>1055</v>
      </c>
      <c r="E105" s="98" t="b">
        <v>0</v>
      </c>
      <c r="F105" s="98" t="b">
        <v>0</v>
      </c>
      <c r="G105" s="98" t="b">
        <v>0</v>
      </c>
    </row>
    <row r="106" spans="1:7" ht="15">
      <c r="A106" s="99" t="s">
        <v>2404</v>
      </c>
      <c r="B106" s="98">
        <v>5</v>
      </c>
      <c r="C106" s="111">
        <v>0.003180567101851031</v>
      </c>
      <c r="D106" s="98" t="s">
        <v>1055</v>
      </c>
      <c r="E106" s="98" t="b">
        <v>0</v>
      </c>
      <c r="F106" s="98" t="b">
        <v>0</v>
      </c>
      <c r="G106" s="98" t="b">
        <v>0</v>
      </c>
    </row>
    <row r="107" spans="1:7" ht="15">
      <c r="A107" s="99" t="s">
        <v>2405</v>
      </c>
      <c r="B107" s="98">
        <v>5</v>
      </c>
      <c r="C107" s="111">
        <v>0.003180567101851031</v>
      </c>
      <c r="D107" s="98" t="s">
        <v>1055</v>
      </c>
      <c r="E107" s="98" t="b">
        <v>0</v>
      </c>
      <c r="F107" s="98" t="b">
        <v>0</v>
      </c>
      <c r="G107" s="98" t="b">
        <v>0</v>
      </c>
    </row>
    <row r="108" spans="1:7" ht="15">
      <c r="A108" s="99" t="s">
        <v>2406</v>
      </c>
      <c r="B108" s="98">
        <v>4</v>
      </c>
      <c r="C108" s="111">
        <v>0.002714844913143342</v>
      </c>
      <c r="D108" s="98" t="s">
        <v>1055</v>
      </c>
      <c r="E108" s="98" t="b">
        <v>0</v>
      </c>
      <c r="F108" s="98" t="b">
        <v>0</v>
      </c>
      <c r="G108" s="98" t="b">
        <v>0</v>
      </c>
    </row>
    <row r="109" spans="1:7" ht="15">
      <c r="A109" s="99" t="s">
        <v>2407</v>
      </c>
      <c r="B109" s="98">
        <v>4</v>
      </c>
      <c r="C109" s="111">
        <v>0.002714844913143342</v>
      </c>
      <c r="D109" s="98" t="s">
        <v>1055</v>
      </c>
      <c r="E109" s="98" t="b">
        <v>0</v>
      </c>
      <c r="F109" s="98" t="b">
        <v>0</v>
      </c>
      <c r="G109" s="98" t="b">
        <v>0</v>
      </c>
    </row>
    <row r="110" spans="1:7" ht="15">
      <c r="A110" s="99" t="s">
        <v>2408</v>
      </c>
      <c r="B110" s="98">
        <v>4</v>
      </c>
      <c r="C110" s="111">
        <v>0.002714844913143342</v>
      </c>
      <c r="D110" s="98" t="s">
        <v>1055</v>
      </c>
      <c r="E110" s="98" t="b">
        <v>0</v>
      </c>
      <c r="F110" s="98" t="b">
        <v>0</v>
      </c>
      <c r="G110" s="98" t="b">
        <v>0</v>
      </c>
    </row>
    <row r="111" spans="1:7" ht="15">
      <c r="A111" s="99" t="s">
        <v>2409</v>
      </c>
      <c r="B111" s="98">
        <v>4</v>
      </c>
      <c r="C111" s="111">
        <v>0.002714844913143342</v>
      </c>
      <c r="D111" s="98" t="s">
        <v>1055</v>
      </c>
      <c r="E111" s="98" t="b">
        <v>0</v>
      </c>
      <c r="F111" s="98" t="b">
        <v>0</v>
      </c>
      <c r="G111" s="98" t="b">
        <v>0</v>
      </c>
    </row>
    <row r="112" spans="1:7" ht="15">
      <c r="A112" s="99" t="s">
        <v>2410</v>
      </c>
      <c r="B112" s="98">
        <v>4</v>
      </c>
      <c r="C112" s="111">
        <v>0.002714844913143342</v>
      </c>
      <c r="D112" s="98" t="s">
        <v>1055</v>
      </c>
      <c r="E112" s="98" t="b">
        <v>0</v>
      </c>
      <c r="F112" s="98" t="b">
        <v>0</v>
      </c>
      <c r="G112" s="98" t="b">
        <v>0</v>
      </c>
    </row>
    <row r="113" spans="1:7" ht="15">
      <c r="A113" s="99" t="s">
        <v>2411</v>
      </c>
      <c r="B113" s="98">
        <v>4</v>
      </c>
      <c r="C113" s="111">
        <v>0.002714844913143342</v>
      </c>
      <c r="D113" s="98" t="s">
        <v>1055</v>
      </c>
      <c r="E113" s="98" t="b">
        <v>0</v>
      </c>
      <c r="F113" s="98" t="b">
        <v>0</v>
      </c>
      <c r="G113" s="98" t="b">
        <v>0</v>
      </c>
    </row>
    <row r="114" spans="1:7" ht="15">
      <c r="A114" s="99" t="s">
        <v>2412</v>
      </c>
      <c r="B114" s="98">
        <v>4</v>
      </c>
      <c r="C114" s="111">
        <v>0.002714844913143342</v>
      </c>
      <c r="D114" s="98" t="s">
        <v>1055</v>
      </c>
      <c r="E114" s="98" t="b">
        <v>0</v>
      </c>
      <c r="F114" s="98" t="b">
        <v>0</v>
      </c>
      <c r="G114" s="98" t="b">
        <v>0</v>
      </c>
    </row>
    <row r="115" spans="1:7" ht="15">
      <c r="A115" s="99" t="s">
        <v>2413</v>
      </c>
      <c r="B115" s="98">
        <v>4</v>
      </c>
      <c r="C115" s="111">
        <v>0.002714844913143342</v>
      </c>
      <c r="D115" s="98" t="s">
        <v>1055</v>
      </c>
      <c r="E115" s="98" t="b">
        <v>0</v>
      </c>
      <c r="F115" s="98" t="b">
        <v>0</v>
      </c>
      <c r="G115" s="98" t="b">
        <v>0</v>
      </c>
    </row>
    <row r="116" spans="1:7" ht="15">
      <c r="A116" s="99" t="s">
        <v>2414</v>
      </c>
      <c r="B116" s="98">
        <v>4</v>
      </c>
      <c r="C116" s="111">
        <v>0.002714844913143342</v>
      </c>
      <c r="D116" s="98" t="s">
        <v>1055</v>
      </c>
      <c r="E116" s="98" t="b">
        <v>0</v>
      </c>
      <c r="F116" s="98" t="b">
        <v>0</v>
      </c>
      <c r="G116" s="98" t="b">
        <v>0</v>
      </c>
    </row>
    <row r="117" spans="1:7" ht="15">
      <c r="A117" s="99" t="s">
        <v>2415</v>
      </c>
      <c r="B117" s="98">
        <v>4</v>
      </c>
      <c r="C117" s="111">
        <v>0.002714844913143342</v>
      </c>
      <c r="D117" s="98" t="s">
        <v>1055</v>
      </c>
      <c r="E117" s="98" t="b">
        <v>0</v>
      </c>
      <c r="F117" s="98" t="b">
        <v>0</v>
      </c>
      <c r="G117" s="98" t="b">
        <v>0</v>
      </c>
    </row>
    <row r="118" spans="1:7" ht="15">
      <c r="A118" s="99" t="s">
        <v>2416</v>
      </c>
      <c r="B118" s="98">
        <v>4</v>
      </c>
      <c r="C118" s="111">
        <v>0.002714844913143342</v>
      </c>
      <c r="D118" s="98" t="s">
        <v>1055</v>
      </c>
      <c r="E118" s="98" t="b">
        <v>0</v>
      </c>
      <c r="F118" s="98" t="b">
        <v>0</v>
      </c>
      <c r="G118" s="98" t="b">
        <v>0</v>
      </c>
    </row>
    <row r="119" spans="1:7" ht="15">
      <c r="A119" s="99" t="s">
        <v>2417</v>
      </c>
      <c r="B119" s="98">
        <v>4</v>
      </c>
      <c r="C119" s="111">
        <v>0.002714844913143342</v>
      </c>
      <c r="D119" s="98" t="s">
        <v>1055</v>
      </c>
      <c r="E119" s="98" t="b">
        <v>0</v>
      </c>
      <c r="F119" s="98" t="b">
        <v>0</v>
      </c>
      <c r="G119" s="98" t="b">
        <v>0</v>
      </c>
    </row>
    <row r="120" spans="1:7" ht="15">
      <c r="A120" s="99" t="s">
        <v>2418</v>
      </c>
      <c r="B120" s="98">
        <v>4</v>
      </c>
      <c r="C120" s="111">
        <v>0.002714844913143342</v>
      </c>
      <c r="D120" s="98" t="s">
        <v>1055</v>
      </c>
      <c r="E120" s="98" t="b">
        <v>0</v>
      </c>
      <c r="F120" s="98" t="b">
        <v>0</v>
      </c>
      <c r="G120" s="98" t="b">
        <v>0</v>
      </c>
    </row>
    <row r="121" spans="1:7" ht="15">
      <c r="A121" s="99" t="s">
        <v>2419</v>
      </c>
      <c r="B121" s="98">
        <v>4</v>
      </c>
      <c r="C121" s="111">
        <v>0.002714844913143342</v>
      </c>
      <c r="D121" s="98" t="s">
        <v>1055</v>
      </c>
      <c r="E121" s="98" t="b">
        <v>0</v>
      </c>
      <c r="F121" s="98" t="b">
        <v>0</v>
      </c>
      <c r="G121" s="98" t="b">
        <v>0</v>
      </c>
    </row>
    <row r="122" spans="1:7" ht="15">
      <c r="A122" s="99" t="s">
        <v>967</v>
      </c>
      <c r="B122" s="98">
        <v>4</v>
      </c>
      <c r="C122" s="111">
        <v>0.002714844913143342</v>
      </c>
      <c r="D122" s="98" t="s">
        <v>1055</v>
      </c>
      <c r="E122" s="98" t="b">
        <v>0</v>
      </c>
      <c r="F122" s="98" t="b">
        <v>0</v>
      </c>
      <c r="G122" s="98" t="b">
        <v>0</v>
      </c>
    </row>
    <row r="123" spans="1:7" ht="15">
      <c r="A123" s="99" t="s">
        <v>968</v>
      </c>
      <c r="B123" s="98">
        <v>4</v>
      </c>
      <c r="C123" s="111">
        <v>0.002714844913143342</v>
      </c>
      <c r="D123" s="98" t="s">
        <v>1055</v>
      </c>
      <c r="E123" s="98" t="b">
        <v>0</v>
      </c>
      <c r="F123" s="98" t="b">
        <v>0</v>
      </c>
      <c r="G123" s="98" t="b">
        <v>0</v>
      </c>
    </row>
    <row r="124" spans="1:7" ht="15">
      <c r="A124" s="99" t="s">
        <v>969</v>
      </c>
      <c r="B124" s="98">
        <v>4</v>
      </c>
      <c r="C124" s="111">
        <v>0.002714844913143342</v>
      </c>
      <c r="D124" s="98" t="s">
        <v>1055</v>
      </c>
      <c r="E124" s="98" t="b">
        <v>0</v>
      </c>
      <c r="F124" s="98" t="b">
        <v>0</v>
      </c>
      <c r="G124" s="98" t="b">
        <v>0</v>
      </c>
    </row>
    <row r="125" spans="1:7" ht="15">
      <c r="A125" s="99" t="s">
        <v>970</v>
      </c>
      <c r="B125" s="98">
        <v>4</v>
      </c>
      <c r="C125" s="111">
        <v>0.002714844913143342</v>
      </c>
      <c r="D125" s="98" t="s">
        <v>1055</v>
      </c>
      <c r="E125" s="98" t="b">
        <v>0</v>
      </c>
      <c r="F125" s="98" t="b">
        <v>0</v>
      </c>
      <c r="G125" s="98" t="b">
        <v>0</v>
      </c>
    </row>
    <row r="126" spans="1:7" ht="15">
      <c r="A126" s="99" t="s">
        <v>971</v>
      </c>
      <c r="B126" s="98">
        <v>4</v>
      </c>
      <c r="C126" s="111">
        <v>0.002714844913143342</v>
      </c>
      <c r="D126" s="98" t="s">
        <v>1055</v>
      </c>
      <c r="E126" s="98" t="b">
        <v>0</v>
      </c>
      <c r="F126" s="98" t="b">
        <v>0</v>
      </c>
      <c r="G126" s="98" t="b">
        <v>0</v>
      </c>
    </row>
    <row r="127" spans="1:7" ht="15">
      <c r="A127" s="99" t="s">
        <v>972</v>
      </c>
      <c r="B127" s="98">
        <v>4</v>
      </c>
      <c r="C127" s="111">
        <v>0.002714844913143342</v>
      </c>
      <c r="D127" s="98" t="s">
        <v>1055</v>
      </c>
      <c r="E127" s="98" t="b">
        <v>0</v>
      </c>
      <c r="F127" s="98" t="b">
        <v>0</v>
      </c>
      <c r="G127" s="98" t="b">
        <v>0</v>
      </c>
    </row>
    <row r="128" spans="1:7" ht="15">
      <c r="A128" s="99" t="s">
        <v>973</v>
      </c>
      <c r="B128" s="98">
        <v>4</v>
      </c>
      <c r="C128" s="111">
        <v>0.002714844913143342</v>
      </c>
      <c r="D128" s="98" t="s">
        <v>1055</v>
      </c>
      <c r="E128" s="98" t="b">
        <v>0</v>
      </c>
      <c r="F128" s="98" t="b">
        <v>0</v>
      </c>
      <c r="G128" s="98" t="b">
        <v>0</v>
      </c>
    </row>
    <row r="129" spans="1:7" ht="15">
      <c r="A129" s="99" t="s">
        <v>974</v>
      </c>
      <c r="B129" s="98">
        <v>4</v>
      </c>
      <c r="C129" s="111">
        <v>0.002714844913143342</v>
      </c>
      <c r="D129" s="98" t="s">
        <v>1055</v>
      </c>
      <c r="E129" s="98" t="b">
        <v>0</v>
      </c>
      <c r="F129" s="98" t="b">
        <v>0</v>
      </c>
      <c r="G129" s="98" t="b">
        <v>0</v>
      </c>
    </row>
    <row r="130" spans="1:7" ht="15">
      <c r="A130" s="99" t="s">
        <v>975</v>
      </c>
      <c r="B130" s="98">
        <v>4</v>
      </c>
      <c r="C130" s="111">
        <v>0.002714844913143342</v>
      </c>
      <c r="D130" s="98" t="s">
        <v>1055</v>
      </c>
      <c r="E130" s="98" t="b">
        <v>0</v>
      </c>
      <c r="F130" s="98" t="b">
        <v>0</v>
      </c>
      <c r="G130" s="98" t="b">
        <v>0</v>
      </c>
    </row>
    <row r="131" spans="1:7" ht="15">
      <c r="A131" s="99" t="s">
        <v>976</v>
      </c>
      <c r="B131" s="98">
        <v>4</v>
      </c>
      <c r="C131" s="111">
        <v>0.002714844913143342</v>
      </c>
      <c r="D131" s="98" t="s">
        <v>1055</v>
      </c>
      <c r="E131" s="98" t="b">
        <v>0</v>
      </c>
      <c r="F131" s="98" t="b">
        <v>0</v>
      </c>
      <c r="G131" s="98" t="b">
        <v>0</v>
      </c>
    </row>
    <row r="132" spans="1:7" ht="15">
      <c r="A132" s="99" t="s">
        <v>977</v>
      </c>
      <c r="B132" s="98">
        <v>4</v>
      </c>
      <c r="C132" s="111">
        <v>0.002714844913143342</v>
      </c>
      <c r="D132" s="98" t="s">
        <v>1055</v>
      </c>
      <c r="E132" s="98" t="b">
        <v>0</v>
      </c>
      <c r="F132" s="98" t="b">
        <v>0</v>
      </c>
      <c r="G132" s="98" t="b">
        <v>0</v>
      </c>
    </row>
    <row r="133" spans="1:7" ht="15">
      <c r="A133" s="99" t="s">
        <v>297</v>
      </c>
      <c r="B133" s="98">
        <v>4</v>
      </c>
      <c r="C133" s="111">
        <v>0.002714844913143342</v>
      </c>
      <c r="D133" s="98" t="s">
        <v>1055</v>
      </c>
      <c r="E133" s="98" t="b">
        <v>0</v>
      </c>
      <c r="F133" s="98" t="b">
        <v>0</v>
      </c>
      <c r="G133" s="98" t="b">
        <v>0</v>
      </c>
    </row>
    <row r="134" spans="1:7" ht="15">
      <c r="A134" s="99" t="s">
        <v>978</v>
      </c>
      <c r="B134" s="98">
        <v>4</v>
      </c>
      <c r="C134" s="111">
        <v>0.002714844913143342</v>
      </c>
      <c r="D134" s="98" t="s">
        <v>1055</v>
      </c>
      <c r="E134" s="98" t="b">
        <v>0</v>
      </c>
      <c r="F134" s="98" t="b">
        <v>0</v>
      </c>
      <c r="G134" s="98" t="b">
        <v>0</v>
      </c>
    </row>
    <row r="135" spans="1:7" ht="15">
      <c r="A135" s="99" t="s">
        <v>979</v>
      </c>
      <c r="B135" s="98">
        <v>4</v>
      </c>
      <c r="C135" s="111">
        <v>0.003244128422003089</v>
      </c>
      <c r="D135" s="98" t="s">
        <v>1055</v>
      </c>
      <c r="E135" s="98" t="b">
        <v>0</v>
      </c>
      <c r="F135" s="98" t="b">
        <v>0</v>
      </c>
      <c r="G135" s="98" t="b">
        <v>0</v>
      </c>
    </row>
    <row r="136" spans="1:7" ht="15">
      <c r="A136" s="99" t="s">
        <v>2420</v>
      </c>
      <c r="B136" s="98">
        <v>4</v>
      </c>
      <c r="C136" s="111">
        <v>0.002714844913143342</v>
      </c>
      <c r="D136" s="98" t="s">
        <v>1055</v>
      </c>
      <c r="E136" s="98" t="b">
        <v>0</v>
      </c>
      <c r="F136" s="98" t="b">
        <v>0</v>
      </c>
      <c r="G136" s="98" t="b">
        <v>0</v>
      </c>
    </row>
    <row r="137" spans="1:7" ht="15">
      <c r="A137" s="99" t="s">
        <v>2421</v>
      </c>
      <c r="B137" s="98">
        <v>4</v>
      </c>
      <c r="C137" s="111">
        <v>0.002714844913143342</v>
      </c>
      <c r="D137" s="98" t="s">
        <v>1055</v>
      </c>
      <c r="E137" s="98" t="b">
        <v>0</v>
      </c>
      <c r="F137" s="98" t="b">
        <v>0</v>
      </c>
      <c r="G137" s="98" t="b">
        <v>0</v>
      </c>
    </row>
    <row r="138" spans="1:7" ht="15">
      <c r="A138" s="99" t="s">
        <v>2422</v>
      </c>
      <c r="B138" s="98">
        <v>4</v>
      </c>
      <c r="C138" s="111">
        <v>0.002714844913143342</v>
      </c>
      <c r="D138" s="98" t="s">
        <v>1055</v>
      </c>
      <c r="E138" s="98" t="b">
        <v>0</v>
      </c>
      <c r="F138" s="98" t="b">
        <v>0</v>
      </c>
      <c r="G138" s="98" t="b">
        <v>0</v>
      </c>
    </row>
    <row r="139" spans="1:7" ht="15">
      <c r="A139" s="99" t="s">
        <v>2423</v>
      </c>
      <c r="B139" s="98">
        <v>4</v>
      </c>
      <c r="C139" s="111">
        <v>0.002714844913143342</v>
      </c>
      <c r="D139" s="98" t="s">
        <v>1055</v>
      </c>
      <c r="E139" s="98" t="b">
        <v>0</v>
      </c>
      <c r="F139" s="98" t="b">
        <v>0</v>
      </c>
      <c r="G139" s="98" t="b">
        <v>0</v>
      </c>
    </row>
    <row r="140" spans="1:7" ht="15">
      <c r="A140" s="99" t="s">
        <v>2424</v>
      </c>
      <c r="B140" s="98">
        <v>4</v>
      </c>
      <c r="C140" s="111">
        <v>0.002714844913143342</v>
      </c>
      <c r="D140" s="98" t="s">
        <v>1055</v>
      </c>
      <c r="E140" s="98" t="b">
        <v>0</v>
      </c>
      <c r="F140" s="98" t="b">
        <v>0</v>
      </c>
      <c r="G140" s="98" t="b">
        <v>0</v>
      </c>
    </row>
    <row r="141" spans="1:7" ht="15">
      <c r="A141" s="99" t="s">
        <v>2425</v>
      </c>
      <c r="B141" s="98">
        <v>4</v>
      </c>
      <c r="C141" s="111">
        <v>0.002714844913143342</v>
      </c>
      <c r="D141" s="98" t="s">
        <v>1055</v>
      </c>
      <c r="E141" s="98" t="b">
        <v>0</v>
      </c>
      <c r="F141" s="98" t="b">
        <v>0</v>
      </c>
      <c r="G141" s="98" t="b">
        <v>0</v>
      </c>
    </row>
    <row r="142" spans="1:7" ht="15">
      <c r="A142" s="99" t="s">
        <v>2426</v>
      </c>
      <c r="B142" s="98">
        <v>4</v>
      </c>
      <c r="C142" s="111">
        <v>0.002714844913143342</v>
      </c>
      <c r="D142" s="98" t="s">
        <v>1055</v>
      </c>
      <c r="E142" s="98" t="b">
        <v>0</v>
      </c>
      <c r="F142" s="98" t="b">
        <v>0</v>
      </c>
      <c r="G142" s="98" t="b">
        <v>0</v>
      </c>
    </row>
    <row r="143" spans="1:7" ht="15">
      <c r="A143" s="99" t="s">
        <v>2427</v>
      </c>
      <c r="B143" s="98">
        <v>4</v>
      </c>
      <c r="C143" s="111">
        <v>0.002714844913143342</v>
      </c>
      <c r="D143" s="98" t="s">
        <v>1055</v>
      </c>
      <c r="E143" s="98" t="b">
        <v>0</v>
      </c>
      <c r="F143" s="98" t="b">
        <v>0</v>
      </c>
      <c r="G143" s="98" t="b">
        <v>0</v>
      </c>
    </row>
    <row r="144" spans="1:7" ht="15">
      <c r="A144" s="99" t="s">
        <v>2428</v>
      </c>
      <c r="B144" s="98">
        <v>4</v>
      </c>
      <c r="C144" s="111">
        <v>0.002714844913143342</v>
      </c>
      <c r="D144" s="98" t="s">
        <v>1055</v>
      </c>
      <c r="E144" s="98" t="b">
        <v>0</v>
      </c>
      <c r="F144" s="98" t="b">
        <v>0</v>
      </c>
      <c r="G144" s="98" t="b">
        <v>0</v>
      </c>
    </row>
    <row r="145" spans="1:7" ht="15">
      <c r="A145" s="99" t="s">
        <v>1002</v>
      </c>
      <c r="B145" s="98">
        <v>3</v>
      </c>
      <c r="C145" s="111">
        <v>0.0022008880628025173</v>
      </c>
      <c r="D145" s="98" t="s">
        <v>1055</v>
      </c>
      <c r="E145" s="98" t="b">
        <v>0</v>
      </c>
      <c r="F145" s="98" t="b">
        <v>0</v>
      </c>
      <c r="G145" s="98" t="b">
        <v>0</v>
      </c>
    </row>
    <row r="146" spans="1:7" ht="15">
      <c r="A146" s="99" t="s">
        <v>1009</v>
      </c>
      <c r="B146" s="98">
        <v>3</v>
      </c>
      <c r="C146" s="111">
        <v>0.0022008880628025173</v>
      </c>
      <c r="D146" s="98" t="s">
        <v>1055</v>
      </c>
      <c r="E146" s="98" t="b">
        <v>0</v>
      </c>
      <c r="F146" s="98" t="b">
        <v>0</v>
      </c>
      <c r="G146" s="98" t="b">
        <v>0</v>
      </c>
    </row>
    <row r="147" spans="1:7" ht="15">
      <c r="A147" s="99" t="s">
        <v>1010</v>
      </c>
      <c r="B147" s="98">
        <v>3</v>
      </c>
      <c r="C147" s="111">
        <v>0.0022008880628025173</v>
      </c>
      <c r="D147" s="98" t="s">
        <v>1055</v>
      </c>
      <c r="E147" s="98" t="b">
        <v>0</v>
      </c>
      <c r="F147" s="98" t="b">
        <v>0</v>
      </c>
      <c r="G147" s="98" t="b">
        <v>0</v>
      </c>
    </row>
    <row r="148" spans="1:7" ht="15">
      <c r="A148" s="99" t="s">
        <v>1011</v>
      </c>
      <c r="B148" s="98">
        <v>3</v>
      </c>
      <c r="C148" s="111">
        <v>0.0022008880628025173</v>
      </c>
      <c r="D148" s="98" t="s">
        <v>1055</v>
      </c>
      <c r="E148" s="98" t="b">
        <v>0</v>
      </c>
      <c r="F148" s="98" t="b">
        <v>0</v>
      </c>
      <c r="G148" s="98" t="b">
        <v>0</v>
      </c>
    </row>
    <row r="149" spans="1:7" ht="15">
      <c r="A149" s="99" t="s">
        <v>1012</v>
      </c>
      <c r="B149" s="98">
        <v>3</v>
      </c>
      <c r="C149" s="111">
        <v>0.0022008880628025173</v>
      </c>
      <c r="D149" s="98" t="s">
        <v>1055</v>
      </c>
      <c r="E149" s="98" t="b">
        <v>0</v>
      </c>
      <c r="F149" s="98" t="b">
        <v>0</v>
      </c>
      <c r="G149" s="98" t="b">
        <v>0</v>
      </c>
    </row>
    <row r="150" spans="1:7" ht="15">
      <c r="A150" s="99" t="s">
        <v>986</v>
      </c>
      <c r="B150" s="98">
        <v>3</v>
      </c>
      <c r="C150" s="111">
        <v>0.0022008880628025173</v>
      </c>
      <c r="D150" s="98" t="s">
        <v>1055</v>
      </c>
      <c r="E150" s="98" t="b">
        <v>0</v>
      </c>
      <c r="F150" s="98" t="b">
        <v>0</v>
      </c>
      <c r="G150" s="98" t="b">
        <v>0</v>
      </c>
    </row>
    <row r="151" spans="1:7" ht="15">
      <c r="A151" s="99" t="s">
        <v>2429</v>
      </c>
      <c r="B151" s="98">
        <v>3</v>
      </c>
      <c r="C151" s="111">
        <v>0.0022008880628025173</v>
      </c>
      <c r="D151" s="98" t="s">
        <v>1055</v>
      </c>
      <c r="E151" s="98" t="b">
        <v>0</v>
      </c>
      <c r="F151" s="98" t="b">
        <v>0</v>
      </c>
      <c r="G151" s="98" t="b">
        <v>0</v>
      </c>
    </row>
    <row r="152" spans="1:7" ht="15">
      <c r="A152" s="99" t="s">
        <v>1206</v>
      </c>
      <c r="B152" s="98">
        <v>3</v>
      </c>
      <c r="C152" s="111">
        <v>0.0022008880628025173</v>
      </c>
      <c r="D152" s="98" t="s">
        <v>1055</v>
      </c>
      <c r="E152" s="98" t="b">
        <v>0</v>
      </c>
      <c r="F152" s="98" t="b">
        <v>0</v>
      </c>
      <c r="G152" s="98" t="b">
        <v>0</v>
      </c>
    </row>
    <row r="153" spans="1:7" ht="15">
      <c r="A153" s="99" t="s">
        <v>2430</v>
      </c>
      <c r="B153" s="98">
        <v>3</v>
      </c>
      <c r="C153" s="111">
        <v>0.0022008880628025173</v>
      </c>
      <c r="D153" s="98" t="s">
        <v>1055</v>
      </c>
      <c r="E153" s="98" t="b">
        <v>0</v>
      </c>
      <c r="F153" s="98" t="b">
        <v>0</v>
      </c>
      <c r="G153" s="98" t="b">
        <v>0</v>
      </c>
    </row>
    <row r="154" spans="1:7" ht="15">
      <c r="A154" s="99" t="s">
        <v>987</v>
      </c>
      <c r="B154" s="98">
        <v>3</v>
      </c>
      <c r="C154" s="111">
        <v>0.0022008880628025173</v>
      </c>
      <c r="D154" s="98" t="s">
        <v>1055</v>
      </c>
      <c r="E154" s="98" t="b">
        <v>0</v>
      </c>
      <c r="F154" s="98" t="b">
        <v>0</v>
      </c>
      <c r="G154" s="98" t="b">
        <v>0</v>
      </c>
    </row>
    <row r="155" spans="1:7" ht="15">
      <c r="A155" s="99" t="s">
        <v>988</v>
      </c>
      <c r="B155" s="98">
        <v>3</v>
      </c>
      <c r="C155" s="111">
        <v>0.0022008880628025173</v>
      </c>
      <c r="D155" s="98" t="s">
        <v>1055</v>
      </c>
      <c r="E155" s="98" t="b">
        <v>0</v>
      </c>
      <c r="F155" s="98" t="b">
        <v>0</v>
      </c>
      <c r="G155" s="98" t="b">
        <v>0</v>
      </c>
    </row>
    <row r="156" spans="1:7" ht="15">
      <c r="A156" s="99" t="s">
        <v>989</v>
      </c>
      <c r="B156" s="98">
        <v>3</v>
      </c>
      <c r="C156" s="111">
        <v>0.0022008880628025173</v>
      </c>
      <c r="D156" s="98" t="s">
        <v>1055</v>
      </c>
      <c r="E156" s="98" t="b">
        <v>0</v>
      </c>
      <c r="F156" s="98" t="b">
        <v>0</v>
      </c>
      <c r="G156" s="98" t="b">
        <v>0</v>
      </c>
    </row>
    <row r="157" spans="1:7" ht="15">
      <c r="A157" s="99" t="s">
        <v>990</v>
      </c>
      <c r="B157" s="98">
        <v>3</v>
      </c>
      <c r="C157" s="111">
        <v>0.0022008880628025173</v>
      </c>
      <c r="D157" s="98" t="s">
        <v>1055</v>
      </c>
      <c r="E157" s="98" t="b">
        <v>0</v>
      </c>
      <c r="F157" s="98" t="b">
        <v>0</v>
      </c>
      <c r="G157" s="98" t="b">
        <v>0</v>
      </c>
    </row>
    <row r="158" spans="1:7" ht="15">
      <c r="A158" s="99" t="s">
        <v>991</v>
      </c>
      <c r="B158" s="98">
        <v>3</v>
      </c>
      <c r="C158" s="111">
        <v>0.0022008880628025173</v>
      </c>
      <c r="D158" s="98" t="s">
        <v>1055</v>
      </c>
      <c r="E158" s="98" t="b">
        <v>0</v>
      </c>
      <c r="F158" s="98" t="b">
        <v>0</v>
      </c>
      <c r="G158" s="98" t="b">
        <v>0</v>
      </c>
    </row>
    <row r="159" spans="1:7" ht="15">
      <c r="A159" s="99" t="s">
        <v>992</v>
      </c>
      <c r="B159" s="98">
        <v>3</v>
      </c>
      <c r="C159" s="111">
        <v>0.0022008880628025173</v>
      </c>
      <c r="D159" s="98" t="s">
        <v>1055</v>
      </c>
      <c r="E159" s="98" t="b">
        <v>0</v>
      </c>
      <c r="F159" s="98" t="b">
        <v>0</v>
      </c>
      <c r="G159" s="98" t="b">
        <v>0</v>
      </c>
    </row>
    <row r="160" spans="1:7" ht="15">
      <c r="A160" s="99" t="s">
        <v>993</v>
      </c>
      <c r="B160" s="98">
        <v>3</v>
      </c>
      <c r="C160" s="111">
        <v>0.0022008880628025173</v>
      </c>
      <c r="D160" s="98" t="s">
        <v>1055</v>
      </c>
      <c r="E160" s="98" t="b">
        <v>0</v>
      </c>
      <c r="F160" s="98" t="b">
        <v>0</v>
      </c>
      <c r="G160" s="98" t="b">
        <v>0</v>
      </c>
    </row>
    <row r="161" spans="1:7" ht="15">
      <c r="A161" s="99" t="s">
        <v>994</v>
      </c>
      <c r="B161" s="98">
        <v>3</v>
      </c>
      <c r="C161" s="111">
        <v>0.0022008880628025173</v>
      </c>
      <c r="D161" s="98" t="s">
        <v>1055</v>
      </c>
      <c r="E161" s="98" t="b">
        <v>0</v>
      </c>
      <c r="F161" s="98" t="b">
        <v>0</v>
      </c>
      <c r="G161" s="98" t="b">
        <v>0</v>
      </c>
    </row>
    <row r="162" spans="1:7" ht="15">
      <c r="A162" s="99" t="s">
        <v>995</v>
      </c>
      <c r="B162" s="98">
        <v>3</v>
      </c>
      <c r="C162" s="111">
        <v>0.0022008880628025173</v>
      </c>
      <c r="D162" s="98" t="s">
        <v>1055</v>
      </c>
      <c r="E162" s="98" t="b">
        <v>0</v>
      </c>
      <c r="F162" s="98" t="b">
        <v>0</v>
      </c>
      <c r="G162" s="98" t="b">
        <v>0</v>
      </c>
    </row>
    <row r="163" spans="1:7" ht="15">
      <c r="A163" s="99" t="s">
        <v>999</v>
      </c>
      <c r="B163" s="98">
        <v>3</v>
      </c>
      <c r="C163" s="111">
        <v>0.0022008880628025173</v>
      </c>
      <c r="D163" s="98" t="s">
        <v>1055</v>
      </c>
      <c r="E163" s="98" t="b">
        <v>0</v>
      </c>
      <c r="F163" s="98" t="b">
        <v>0</v>
      </c>
      <c r="G163" s="98" t="b">
        <v>0</v>
      </c>
    </row>
    <row r="164" spans="1:7" ht="15">
      <c r="A164" s="99" t="s">
        <v>1000</v>
      </c>
      <c r="B164" s="98">
        <v>3</v>
      </c>
      <c r="C164" s="111">
        <v>0.0022008880628025173</v>
      </c>
      <c r="D164" s="98" t="s">
        <v>1055</v>
      </c>
      <c r="E164" s="98" t="b">
        <v>0</v>
      </c>
      <c r="F164" s="98" t="b">
        <v>0</v>
      </c>
      <c r="G164" s="98" t="b">
        <v>0</v>
      </c>
    </row>
    <row r="165" spans="1:7" ht="15">
      <c r="A165" s="99" t="s">
        <v>1036</v>
      </c>
      <c r="B165" s="98">
        <v>3</v>
      </c>
      <c r="C165" s="111">
        <v>0.0022008880628025173</v>
      </c>
      <c r="D165" s="98" t="s">
        <v>1055</v>
      </c>
      <c r="E165" s="98" t="b">
        <v>0</v>
      </c>
      <c r="F165" s="98" t="b">
        <v>0</v>
      </c>
      <c r="G165" s="98" t="b">
        <v>0</v>
      </c>
    </row>
    <row r="166" spans="1:7" ht="15">
      <c r="A166" s="99" t="s">
        <v>1001</v>
      </c>
      <c r="B166" s="98">
        <v>2</v>
      </c>
      <c r="C166" s="111">
        <v>0.0016220642110015445</v>
      </c>
      <c r="D166" s="98" t="s">
        <v>1055</v>
      </c>
      <c r="E166" s="98" t="b">
        <v>0</v>
      </c>
      <c r="F166" s="98" t="b">
        <v>0</v>
      </c>
      <c r="G166" s="98" t="b">
        <v>0</v>
      </c>
    </row>
    <row r="167" spans="1:7" ht="15">
      <c r="A167" s="99" t="s">
        <v>1003</v>
      </c>
      <c r="B167" s="98">
        <v>2</v>
      </c>
      <c r="C167" s="111">
        <v>0.0016220642110015445</v>
      </c>
      <c r="D167" s="98" t="s">
        <v>1055</v>
      </c>
      <c r="E167" s="98" t="b">
        <v>0</v>
      </c>
      <c r="F167" s="98" t="b">
        <v>0</v>
      </c>
      <c r="G167" s="98" t="b">
        <v>0</v>
      </c>
    </row>
    <row r="168" spans="1:7" ht="15">
      <c r="A168" s="99" t="s">
        <v>1004</v>
      </c>
      <c r="B168" s="98">
        <v>2</v>
      </c>
      <c r="C168" s="111">
        <v>0.0016220642110015445</v>
      </c>
      <c r="D168" s="98" t="s">
        <v>1055</v>
      </c>
      <c r="E168" s="98" t="b">
        <v>0</v>
      </c>
      <c r="F168" s="98" t="b">
        <v>0</v>
      </c>
      <c r="G168" s="98" t="b">
        <v>0</v>
      </c>
    </row>
    <row r="169" spans="1:7" ht="15">
      <c r="A169" s="99" t="s">
        <v>1005</v>
      </c>
      <c r="B169" s="98">
        <v>2</v>
      </c>
      <c r="C169" s="111">
        <v>0.0016220642110015445</v>
      </c>
      <c r="D169" s="98" t="s">
        <v>1055</v>
      </c>
      <c r="E169" s="98" t="b">
        <v>0</v>
      </c>
      <c r="F169" s="98" t="b">
        <v>0</v>
      </c>
      <c r="G169" s="98" t="b">
        <v>0</v>
      </c>
    </row>
    <row r="170" spans="1:7" ht="15">
      <c r="A170" s="99" t="s">
        <v>1006</v>
      </c>
      <c r="B170" s="98">
        <v>2</v>
      </c>
      <c r="C170" s="111">
        <v>0.0016220642110015445</v>
      </c>
      <c r="D170" s="98" t="s">
        <v>1055</v>
      </c>
      <c r="E170" s="98" t="b">
        <v>0</v>
      </c>
      <c r="F170" s="98" t="b">
        <v>0</v>
      </c>
      <c r="G170" s="98" t="b">
        <v>0</v>
      </c>
    </row>
    <row r="171" spans="1:7" ht="15">
      <c r="A171" s="99" t="s">
        <v>1007</v>
      </c>
      <c r="B171" s="98">
        <v>2</v>
      </c>
      <c r="C171" s="111">
        <v>0.0016220642110015445</v>
      </c>
      <c r="D171" s="98" t="s">
        <v>1055</v>
      </c>
      <c r="E171" s="98" t="b">
        <v>0</v>
      </c>
      <c r="F171" s="98" t="b">
        <v>0</v>
      </c>
      <c r="G171" s="98" t="b">
        <v>0</v>
      </c>
    </row>
    <row r="172" spans="1:7" ht="15">
      <c r="A172" s="99" t="s">
        <v>1008</v>
      </c>
      <c r="B172" s="98">
        <v>2</v>
      </c>
      <c r="C172" s="111">
        <v>0.0016220642110015445</v>
      </c>
      <c r="D172" s="98" t="s">
        <v>1055</v>
      </c>
      <c r="E172" s="98" t="b">
        <v>0</v>
      </c>
      <c r="F172" s="98" t="b">
        <v>0</v>
      </c>
      <c r="G172" s="98" t="b">
        <v>0</v>
      </c>
    </row>
    <row r="173" spans="1:7" ht="15">
      <c r="A173" s="99" t="s">
        <v>1013</v>
      </c>
      <c r="B173" s="98">
        <v>2</v>
      </c>
      <c r="C173" s="111">
        <v>0.0016220642110015445</v>
      </c>
      <c r="D173" s="98" t="s">
        <v>1055</v>
      </c>
      <c r="E173" s="98" t="b">
        <v>0</v>
      </c>
      <c r="F173" s="98" t="b">
        <v>0</v>
      </c>
      <c r="G173" s="98" t="b">
        <v>0</v>
      </c>
    </row>
    <row r="174" spans="1:7" ht="15">
      <c r="A174" s="99" t="s">
        <v>1014</v>
      </c>
      <c r="B174" s="98">
        <v>2</v>
      </c>
      <c r="C174" s="111">
        <v>0.0016220642110015445</v>
      </c>
      <c r="D174" s="98" t="s">
        <v>1055</v>
      </c>
      <c r="E174" s="98" t="b">
        <v>0</v>
      </c>
      <c r="F174" s="98" t="b">
        <v>0</v>
      </c>
      <c r="G174" s="98" t="b">
        <v>0</v>
      </c>
    </row>
    <row r="175" spans="1:7" ht="15">
      <c r="A175" s="99" t="s">
        <v>1015</v>
      </c>
      <c r="B175" s="98">
        <v>2</v>
      </c>
      <c r="C175" s="111">
        <v>0.0016220642110015445</v>
      </c>
      <c r="D175" s="98" t="s">
        <v>1055</v>
      </c>
      <c r="E175" s="98" t="b">
        <v>0</v>
      </c>
      <c r="F175" s="98" t="b">
        <v>0</v>
      </c>
      <c r="G175" s="98" t="b">
        <v>0</v>
      </c>
    </row>
    <row r="176" spans="1:7" ht="15">
      <c r="A176" s="99" t="s">
        <v>1016</v>
      </c>
      <c r="B176" s="98">
        <v>2</v>
      </c>
      <c r="C176" s="111">
        <v>0.0016220642110015445</v>
      </c>
      <c r="D176" s="98" t="s">
        <v>1055</v>
      </c>
      <c r="E176" s="98" t="b">
        <v>0</v>
      </c>
      <c r="F176" s="98" t="b">
        <v>0</v>
      </c>
      <c r="G176" s="98" t="b">
        <v>0</v>
      </c>
    </row>
    <row r="177" spans="1:7" ht="15">
      <c r="A177" s="99" t="s">
        <v>1017</v>
      </c>
      <c r="B177" s="98">
        <v>2</v>
      </c>
      <c r="C177" s="111">
        <v>0.0016220642110015445</v>
      </c>
      <c r="D177" s="98" t="s">
        <v>1055</v>
      </c>
      <c r="E177" s="98" t="b">
        <v>0</v>
      </c>
      <c r="F177" s="98" t="b">
        <v>0</v>
      </c>
      <c r="G177" s="98" t="b">
        <v>0</v>
      </c>
    </row>
    <row r="178" spans="1:7" ht="15">
      <c r="A178" s="99" t="s">
        <v>304</v>
      </c>
      <c r="B178" s="98">
        <v>2</v>
      </c>
      <c r="C178" s="111">
        <v>0.0016220642110015445</v>
      </c>
      <c r="D178" s="98" t="s">
        <v>1055</v>
      </c>
      <c r="E178" s="98" t="b">
        <v>0</v>
      </c>
      <c r="F178" s="98" t="b">
        <v>0</v>
      </c>
      <c r="G178" s="98" t="b">
        <v>0</v>
      </c>
    </row>
    <row r="179" spans="1:7" ht="15">
      <c r="A179" s="99" t="s">
        <v>1018</v>
      </c>
      <c r="B179" s="98">
        <v>2</v>
      </c>
      <c r="C179" s="111">
        <v>0.0016220642110015445</v>
      </c>
      <c r="D179" s="98" t="s">
        <v>1055</v>
      </c>
      <c r="E179" s="98" t="b">
        <v>0</v>
      </c>
      <c r="F179" s="98" t="b">
        <v>0</v>
      </c>
      <c r="G179" s="98" t="b">
        <v>0</v>
      </c>
    </row>
    <row r="180" spans="1:7" ht="15">
      <c r="A180" s="99" t="s">
        <v>1019</v>
      </c>
      <c r="B180" s="98">
        <v>2</v>
      </c>
      <c r="C180" s="111">
        <v>0.0016220642110015445</v>
      </c>
      <c r="D180" s="98" t="s">
        <v>1055</v>
      </c>
      <c r="E180" s="98" t="b">
        <v>0</v>
      </c>
      <c r="F180" s="98" t="b">
        <v>0</v>
      </c>
      <c r="G180" s="98" t="b">
        <v>0</v>
      </c>
    </row>
    <row r="181" spans="1:7" ht="15">
      <c r="A181" s="99" t="s">
        <v>1020</v>
      </c>
      <c r="B181" s="98">
        <v>2</v>
      </c>
      <c r="C181" s="111">
        <v>0.0016220642110015445</v>
      </c>
      <c r="D181" s="98" t="s">
        <v>1055</v>
      </c>
      <c r="E181" s="98" t="b">
        <v>0</v>
      </c>
      <c r="F181" s="98" t="b">
        <v>0</v>
      </c>
      <c r="G181" s="98" t="b">
        <v>0</v>
      </c>
    </row>
    <row r="182" spans="1:7" ht="15">
      <c r="A182" s="99" t="s">
        <v>1021</v>
      </c>
      <c r="B182" s="98">
        <v>2</v>
      </c>
      <c r="C182" s="111">
        <v>0.0016220642110015445</v>
      </c>
      <c r="D182" s="98" t="s">
        <v>1055</v>
      </c>
      <c r="E182" s="98" t="b">
        <v>0</v>
      </c>
      <c r="F182" s="98" t="b">
        <v>0</v>
      </c>
      <c r="G182" s="98" t="b">
        <v>0</v>
      </c>
    </row>
    <row r="183" spans="1:7" ht="15">
      <c r="A183" s="99" t="s">
        <v>1022</v>
      </c>
      <c r="B183" s="98">
        <v>2</v>
      </c>
      <c r="C183" s="111">
        <v>0.0016220642110015445</v>
      </c>
      <c r="D183" s="98" t="s">
        <v>1055</v>
      </c>
      <c r="E183" s="98" t="b">
        <v>0</v>
      </c>
      <c r="F183" s="98" t="b">
        <v>0</v>
      </c>
      <c r="G183" s="98" t="b">
        <v>0</v>
      </c>
    </row>
    <row r="184" spans="1:7" ht="15">
      <c r="A184" s="99" t="s">
        <v>1023</v>
      </c>
      <c r="B184" s="98">
        <v>2</v>
      </c>
      <c r="C184" s="111">
        <v>0.0016220642110015445</v>
      </c>
      <c r="D184" s="98" t="s">
        <v>1055</v>
      </c>
      <c r="E184" s="98" t="b">
        <v>0</v>
      </c>
      <c r="F184" s="98" t="b">
        <v>0</v>
      </c>
      <c r="G184" s="98" t="b">
        <v>0</v>
      </c>
    </row>
    <row r="185" spans="1:7" ht="15">
      <c r="A185" s="99" t="s">
        <v>2431</v>
      </c>
      <c r="B185" s="98">
        <v>2</v>
      </c>
      <c r="C185" s="111">
        <v>0.0016220642110015445</v>
      </c>
      <c r="D185" s="98" t="s">
        <v>1055</v>
      </c>
      <c r="E185" s="98" t="b">
        <v>0</v>
      </c>
      <c r="F185" s="98" t="b">
        <v>0</v>
      </c>
      <c r="G185" s="98" t="b">
        <v>0</v>
      </c>
    </row>
    <row r="186" spans="1:7" ht="15">
      <c r="A186" s="99" t="s">
        <v>2432</v>
      </c>
      <c r="B186" s="98">
        <v>2</v>
      </c>
      <c r="C186" s="111">
        <v>0.0016220642110015445</v>
      </c>
      <c r="D186" s="98" t="s">
        <v>1055</v>
      </c>
      <c r="E186" s="98" t="b">
        <v>0</v>
      </c>
      <c r="F186" s="98" t="b">
        <v>0</v>
      </c>
      <c r="G186" s="98" t="b">
        <v>0</v>
      </c>
    </row>
    <row r="187" spans="1:7" ht="15">
      <c r="A187" s="99" t="s">
        <v>2433</v>
      </c>
      <c r="B187" s="98">
        <v>2</v>
      </c>
      <c r="C187" s="111">
        <v>0.0016220642110015445</v>
      </c>
      <c r="D187" s="98" t="s">
        <v>1055</v>
      </c>
      <c r="E187" s="98" t="b">
        <v>0</v>
      </c>
      <c r="F187" s="98" t="b">
        <v>0</v>
      </c>
      <c r="G187" s="98" t="b">
        <v>0</v>
      </c>
    </row>
    <row r="188" spans="1:7" ht="15">
      <c r="A188" s="99" t="s">
        <v>2434</v>
      </c>
      <c r="B188" s="98">
        <v>2</v>
      </c>
      <c r="C188" s="111">
        <v>0.0016220642110015445</v>
      </c>
      <c r="D188" s="98" t="s">
        <v>1055</v>
      </c>
      <c r="E188" s="98" t="b">
        <v>0</v>
      </c>
      <c r="F188" s="98" t="b">
        <v>0</v>
      </c>
      <c r="G188" s="98" t="b">
        <v>0</v>
      </c>
    </row>
    <row r="189" spans="1:7" ht="15">
      <c r="A189" s="99" t="s">
        <v>2435</v>
      </c>
      <c r="B189" s="98">
        <v>2</v>
      </c>
      <c r="C189" s="111">
        <v>0.0016220642110015445</v>
      </c>
      <c r="D189" s="98" t="s">
        <v>1055</v>
      </c>
      <c r="E189" s="98" t="b">
        <v>0</v>
      </c>
      <c r="F189" s="98" t="b">
        <v>0</v>
      </c>
      <c r="G189" s="98" t="b">
        <v>0</v>
      </c>
    </row>
    <row r="190" spans="1:7" ht="15">
      <c r="A190" s="99" t="s">
        <v>2436</v>
      </c>
      <c r="B190" s="98">
        <v>2</v>
      </c>
      <c r="C190" s="111">
        <v>0.0016220642110015445</v>
      </c>
      <c r="D190" s="98" t="s">
        <v>1055</v>
      </c>
      <c r="E190" s="98" t="b">
        <v>0</v>
      </c>
      <c r="F190" s="98" t="b">
        <v>0</v>
      </c>
      <c r="G190" s="98" t="b">
        <v>0</v>
      </c>
    </row>
    <row r="191" spans="1:7" ht="15">
      <c r="A191" s="99" t="s">
        <v>2437</v>
      </c>
      <c r="B191" s="98">
        <v>2</v>
      </c>
      <c r="C191" s="111">
        <v>0.0016220642110015445</v>
      </c>
      <c r="D191" s="98" t="s">
        <v>1055</v>
      </c>
      <c r="E191" s="98" t="b">
        <v>0</v>
      </c>
      <c r="F191" s="98" t="b">
        <v>0</v>
      </c>
      <c r="G191" s="98" t="b">
        <v>0</v>
      </c>
    </row>
    <row r="192" spans="1:7" ht="15">
      <c r="A192" s="99" t="s">
        <v>2438</v>
      </c>
      <c r="B192" s="98">
        <v>2</v>
      </c>
      <c r="C192" s="111">
        <v>0.0016220642110015445</v>
      </c>
      <c r="D192" s="98" t="s">
        <v>1055</v>
      </c>
      <c r="E192" s="98" t="b">
        <v>0</v>
      </c>
      <c r="F192" s="98" t="b">
        <v>0</v>
      </c>
      <c r="G192" s="98" t="b">
        <v>0</v>
      </c>
    </row>
    <row r="193" spans="1:7" ht="15">
      <c r="A193" s="99" t="s">
        <v>1024</v>
      </c>
      <c r="B193" s="98">
        <v>2</v>
      </c>
      <c r="C193" s="111">
        <v>0.0016220642110015445</v>
      </c>
      <c r="D193" s="98" t="s">
        <v>1055</v>
      </c>
      <c r="E193" s="98" t="b">
        <v>0</v>
      </c>
      <c r="F193" s="98" t="b">
        <v>0</v>
      </c>
      <c r="G193" s="98" t="b">
        <v>0</v>
      </c>
    </row>
    <row r="194" spans="1:7" ht="15">
      <c r="A194" s="99" t="s">
        <v>1025</v>
      </c>
      <c r="B194" s="98">
        <v>2</v>
      </c>
      <c r="C194" s="111">
        <v>0.0016220642110015445</v>
      </c>
      <c r="D194" s="98" t="s">
        <v>1055</v>
      </c>
      <c r="E194" s="98" t="b">
        <v>0</v>
      </c>
      <c r="F194" s="98" t="b">
        <v>0</v>
      </c>
      <c r="G194" s="98" t="b">
        <v>0</v>
      </c>
    </row>
    <row r="195" spans="1:7" ht="15">
      <c r="A195" s="99" t="s">
        <v>1026</v>
      </c>
      <c r="B195" s="98">
        <v>2</v>
      </c>
      <c r="C195" s="111">
        <v>0.0016220642110015445</v>
      </c>
      <c r="D195" s="98" t="s">
        <v>1055</v>
      </c>
      <c r="E195" s="98" t="b">
        <v>0</v>
      </c>
      <c r="F195" s="98" t="b">
        <v>0</v>
      </c>
      <c r="G195" s="98" t="b">
        <v>0</v>
      </c>
    </row>
    <row r="196" spans="1:7" ht="15">
      <c r="A196" s="99" t="s">
        <v>1028</v>
      </c>
      <c r="B196" s="98">
        <v>2</v>
      </c>
      <c r="C196" s="111">
        <v>0.0016220642110015445</v>
      </c>
      <c r="D196" s="98" t="s">
        <v>1055</v>
      </c>
      <c r="E196" s="98" t="b">
        <v>0</v>
      </c>
      <c r="F196" s="98" t="b">
        <v>0</v>
      </c>
      <c r="G196" s="98" t="b">
        <v>0</v>
      </c>
    </row>
    <row r="197" spans="1:7" ht="15">
      <c r="A197" s="99" t="s">
        <v>1029</v>
      </c>
      <c r="B197" s="98">
        <v>2</v>
      </c>
      <c r="C197" s="111">
        <v>0.0016220642110015445</v>
      </c>
      <c r="D197" s="98" t="s">
        <v>1055</v>
      </c>
      <c r="E197" s="98" t="b">
        <v>0</v>
      </c>
      <c r="F197" s="98" t="b">
        <v>0</v>
      </c>
      <c r="G197" s="98" t="b">
        <v>0</v>
      </c>
    </row>
    <row r="198" spans="1:7" ht="15">
      <c r="A198" s="99" t="s">
        <v>1030</v>
      </c>
      <c r="B198" s="98">
        <v>2</v>
      </c>
      <c r="C198" s="111">
        <v>0.0016220642110015445</v>
      </c>
      <c r="D198" s="98" t="s">
        <v>1055</v>
      </c>
      <c r="E198" s="98" t="b">
        <v>0</v>
      </c>
      <c r="F198" s="98" t="b">
        <v>0</v>
      </c>
      <c r="G198" s="98" t="b">
        <v>0</v>
      </c>
    </row>
    <row r="199" spans="1:7" ht="15">
      <c r="A199" s="99" t="s">
        <v>1031</v>
      </c>
      <c r="B199" s="98">
        <v>2</v>
      </c>
      <c r="C199" s="111">
        <v>0.0016220642110015445</v>
      </c>
      <c r="D199" s="98" t="s">
        <v>1055</v>
      </c>
      <c r="E199" s="98" t="b">
        <v>0</v>
      </c>
      <c r="F199" s="98" t="b">
        <v>0</v>
      </c>
      <c r="G199" s="98" t="b">
        <v>0</v>
      </c>
    </row>
    <row r="200" spans="1:7" ht="15">
      <c r="A200" s="99" t="s">
        <v>1033</v>
      </c>
      <c r="B200" s="98">
        <v>2</v>
      </c>
      <c r="C200" s="111">
        <v>0.0016220642110015445</v>
      </c>
      <c r="D200" s="98" t="s">
        <v>1055</v>
      </c>
      <c r="E200" s="98" t="b">
        <v>0</v>
      </c>
      <c r="F200" s="98" t="b">
        <v>0</v>
      </c>
      <c r="G200" s="98" t="b">
        <v>0</v>
      </c>
    </row>
    <row r="201" spans="1:7" ht="15">
      <c r="A201" s="99" t="s">
        <v>1034</v>
      </c>
      <c r="B201" s="98">
        <v>2</v>
      </c>
      <c r="C201" s="111">
        <v>0.0016220642110015445</v>
      </c>
      <c r="D201" s="98" t="s">
        <v>1055</v>
      </c>
      <c r="E201" s="98" t="b">
        <v>0</v>
      </c>
      <c r="F201" s="98" t="b">
        <v>0</v>
      </c>
      <c r="G201" s="98" t="b">
        <v>0</v>
      </c>
    </row>
    <row r="202" spans="1:7" ht="15">
      <c r="A202" s="99" t="s">
        <v>1035</v>
      </c>
      <c r="B202" s="98">
        <v>2</v>
      </c>
      <c r="C202" s="111">
        <v>0.0016220642110015445</v>
      </c>
      <c r="D202" s="98" t="s">
        <v>1055</v>
      </c>
      <c r="E202" s="98" t="b">
        <v>0</v>
      </c>
      <c r="F202" s="98" t="b">
        <v>0</v>
      </c>
      <c r="G202" s="98" t="b">
        <v>0</v>
      </c>
    </row>
    <row r="203" spans="1:7" ht="15">
      <c r="A203" s="99" t="s">
        <v>1037</v>
      </c>
      <c r="B203" s="98">
        <v>2</v>
      </c>
      <c r="C203" s="111">
        <v>0.0016220642110015445</v>
      </c>
      <c r="D203" s="98" t="s">
        <v>1055</v>
      </c>
      <c r="E203" s="98" t="b">
        <v>0</v>
      </c>
      <c r="F203" s="98" t="b">
        <v>0</v>
      </c>
      <c r="G203" s="98" t="b">
        <v>0</v>
      </c>
    </row>
    <row r="204" spans="1:7" ht="15">
      <c r="A204" s="99" t="s">
        <v>1038</v>
      </c>
      <c r="B204" s="98">
        <v>2</v>
      </c>
      <c r="C204" s="111">
        <v>0.0016220642110015445</v>
      </c>
      <c r="D204" s="98" t="s">
        <v>1055</v>
      </c>
      <c r="E204" s="98" t="b">
        <v>0</v>
      </c>
      <c r="F204" s="98" t="b">
        <v>0</v>
      </c>
      <c r="G204" s="98" t="b">
        <v>0</v>
      </c>
    </row>
    <row r="205" spans="1:7" ht="15">
      <c r="A205" s="99" t="s">
        <v>1039</v>
      </c>
      <c r="B205" s="98">
        <v>2</v>
      </c>
      <c r="C205" s="111">
        <v>0.0016220642110015445</v>
      </c>
      <c r="D205" s="98" t="s">
        <v>1055</v>
      </c>
      <c r="E205" s="98" t="b">
        <v>0</v>
      </c>
      <c r="F205" s="98" t="b">
        <v>0</v>
      </c>
      <c r="G205" s="98" t="b">
        <v>0</v>
      </c>
    </row>
    <row r="206" spans="1:7" ht="15">
      <c r="A206" s="99" t="s">
        <v>1040</v>
      </c>
      <c r="B206" s="98">
        <v>2</v>
      </c>
      <c r="C206" s="111">
        <v>0.0016220642110015445</v>
      </c>
      <c r="D206" s="98" t="s">
        <v>1055</v>
      </c>
      <c r="E206" s="98" t="b">
        <v>0</v>
      </c>
      <c r="F206" s="98" t="b">
        <v>0</v>
      </c>
      <c r="G206" s="98" t="b">
        <v>0</v>
      </c>
    </row>
    <row r="207" spans="1:7" ht="15">
      <c r="A207" s="99" t="s">
        <v>1041</v>
      </c>
      <c r="B207" s="98">
        <v>2</v>
      </c>
      <c r="C207" s="111">
        <v>0.0016220642110015445</v>
      </c>
      <c r="D207" s="98" t="s">
        <v>1055</v>
      </c>
      <c r="E207" s="98" t="b">
        <v>0</v>
      </c>
      <c r="F207" s="98" t="b">
        <v>0</v>
      </c>
      <c r="G207" s="98" t="b">
        <v>0</v>
      </c>
    </row>
    <row r="208" spans="1:7" ht="15">
      <c r="A208" s="99" t="s">
        <v>1042</v>
      </c>
      <c r="B208" s="98">
        <v>2</v>
      </c>
      <c r="C208" s="111">
        <v>0.0016220642110015445</v>
      </c>
      <c r="D208" s="98" t="s">
        <v>1055</v>
      </c>
      <c r="E208" s="98" t="b">
        <v>0</v>
      </c>
      <c r="F208" s="98" t="b">
        <v>0</v>
      </c>
      <c r="G208" s="98" t="b">
        <v>0</v>
      </c>
    </row>
    <row r="209" spans="1:7" ht="15">
      <c r="A209" s="99" t="s">
        <v>1043</v>
      </c>
      <c r="B209" s="98">
        <v>2</v>
      </c>
      <c r="C209" s="111">
        <v>0.0016220642110015445</v>
      </c>
      <c r="D209" s="98" t="s">
        <v>1055</v>
      </c>
      <c r="E209" s="98" t="b">
        <v>0</v>
      </c>
      <c r="F209" s="98" t="b">
        <v>0</v>
      </c>
      <c r="G209" s="98" t="b">
        <v>0</v>
      </c>
    </row>
    <row r="210" spans="1:7" ht="15">
      <c r="A210" s="99" t="s">
        <v>1044</v>
      </c>
      <c r="B210" s="98">
        <v>2</v>
      </c>
      <c r="C210" s="111">
        <v>0.0016220642110015445</v>
      </c>
      <c r="D210" s="98" t="s">
        <v>1055</v>
      </c>
      <c r="E210" s="98" t="b">
        <v>0</v>
      </c>
      <c r="F210" s="98" t="b">
        <v>0</v>
      </c>
      <c r="G210" s="98" t="b">
        <v>0</v>
      </c>
    </row>
    <row r="211" spans="1:7" ht="15">
      <c r="A211" s="99" t="s">
        <v>1045</v>
      </c>
      <c r="B211" s="98">
        <v>2</v>
      </c>
      <c r="C211" s="111">
        <v>0.0016220642110015445</v>
      </c>
      <c r="D211" s="98" t="s">
        <v>1055</v>
      </c>
      <c r="E211" s="98" t="b">
        <v>0</v>
      </c>
      <c r="F211" s="98" t="b">
        <v>0</v>
      </c>
      <c r="G211" s="98" t="b">
        <v>0</v>
      </c>
    </row>
    <row r="212" spans="1:7" ht="15">
      <c r="A212" s="99" t="s">
        <v>1046</v>
      </c>
      <c r="B212" s="98">
        <v>2</v>
      </c>
      <c r="C212" s="111">
        <v>0.0016220642110015445</v>
      </c>
      <c r="D212" s="98" t="s">
        <v>1055</v>
      </c>
      <c r="E212" s="98" t="b">
        <v>0</v>
      </c>
      <c r="F212" s="98" t="b">
        <v>0</v>
      </c>
      <c r="G212" s="98" t="b">
        <v>0</v>
      </c>
    </row>
    <row r="213" spans="1:7" ht="15">
      <c r="A213" s="99" t="s">
        <v>1047</v>
      </c>
      <c r="B213" s="98">
        <v>2</v>
      </c>
      <c r="C213" s="111">
        <v>0.0016220642110015445</v>
      </c>
      <c r="D213" s="98" t="s">
        <v>1055</v>
      </c>
      <c r="E213" s="98" t="b">
        <v>0</v>
      </c>
      <c r="F213" s="98" t="b">
        <v>0</v>
      </c>
      <c r="G213" s="98" t="b">
        <v>0</v>
      </c>
    </row>
    <row r="214" spans="1:7" ht="15">
      <c r="A214" s="99" t="s">
        <v>1049</v>
      </c>
      <c r="B214" s="98">
        <v>2</v>
      </c>
      <c r="C214" s="111">
        <v>0.0016220642110015445</v>
      </c>
      <c r="D214" s="98" t="s">
        <v>1055</v>
      </c>
      <c r="E214" s="98" t="b">
        <v>0</v>
      </c>
      <c r="F214" s="98" t="b">
        <v>0</v>
      </c>
      <c r="G214" s="98" t="b">
        <v>0</v>
      </c>
    </row>
    <row r="215" spans="1:7" ht="15">
      <c r="A215" s="99" t="s">
        <v>930</v>
      </c>
      <c r="B215" s="98">
        <v>88</v>
      </c>
      <c r="C215" s="111">
        <v>0.009652015050159184</v>
      </c>
      <c r="D215" s="98" t="s">
        <v>909</v>
      </c>
      <c r="E215" s="98" t="b">
        <v>0</v>
      </c>
      <c r="F215" s="98" t="b">
        <v>0</v>
      </c>
      <c r="G215" s="98" t="b">
        <v>0</v>
      </c>
    </row>
    <row r="216" spans="1:7" ht="15">
      <c r="A216" s="99" t="s">
        <v>931</v>
      </c>
      <c r="B216" s="98">
        <v>88</v>
      </c>
      <c r="C216" s="111">
        <v>0.009652015050159184</v>
      </c>
      <c r="D216" s="98" t="s">
        <v>909</v>
      </c>
      <c r="E216" s="98" t="b">
        <v>0</v>
      </c>
      <c r="F216" s="98" t="b">
        <v>0</v>
      </c>
      <c r="G216" s="98" t="b">
        <v>0</v>
      </c>
    </row>
    <row r="217" spans="1:7" ht="15">
      <c r="A217" s="99" t="s">
        <v>299</v>
      </c>
      <c r="B217" s="98">
        <v>57</v>
      </c>
      <c r="C217" s="111">
        <v>0</v>
      </c>
      <c r="D217" s="98" t="s">
        <v>909</v>
      </c>
      <c r="E217" s="98" t="b">
        <v>0</v>
      </c>
      <c r="F217" s="98" t="b">
        <v>0</v>
      </c>
      <c r="G217" s="98" t="b">
        <v>0</v>
      </c>
    </row>
    <row r="218" spans="1:7" ht="15">
      <c r="A218" s="99" t="s">
        <v>302</v>
      </c>
      <c r="B218" s="98">
        <v>56</v>
      </c>
      <c r="C218" s="111">
        <v>0.00045989573217125373</v>
      </c>
      <c r="D218" s="98" t="s">
        <v>909</v>
      </c>
      <c r="E218" s="98" t="b">
        <v>0</v>
      </c>
      <c r="F218" s="98" t="b">
        <v>0</v>
      </c>
      <c r="G218" s="98" t="b">
        <v>0</v>
      </c>
    </row>
    <row r="219" spans="1:7" ht="15">
      <c r="A219" s="99" t="s">
        <v>932</v>
      </c>
      <c r="B219" s="98">
        <v>52</v>
      </c>
      <c r="C219" s="111">
        <v>0.0022150840020940155</v>
      </c>
      <c r="D219" s="98" t="s">
        <v>909</v>
      </c>
      <c r="E219" s="98" t="b">
        <v>0</v>
      </c>
      <c r="F219" s="98" t="b">
        <v>0</v>
      </c>
      <c r="G219" s="98" t="b">
        <v>0</v>
      </c>
    </row>
    <row r="220" spans="1:7" ht="15">
      <c r="A220" s="99" t="s">
        <v>934</v>
      </c>
      <c r="B220" s="98">
        <v>45</v>
      </c>
      <c r="C220" s="111">
        <v>0.004935689514285947</v>
      </c>
      <c r="D220" s="98" t="s">
        <v>909</v>
      </c>
      <c r="E220" s="98" t="b">
        <v>0</v>
      </c>
      <c r="F220" s="98" t="b">
        <v>0</v>
      </c>
      <c r="G220" s="98" t="b">
        <v>0</v>
      </c>
    </row>
    <row r="221" spans="1:7" ht="15">
      <c r="A221" s="99" t="s">
        <v>936</v>
      </c>
      <c r="B221" s="98">
        <v>45</v>
      </c>
      <c r="C221" s="111">
        <v>0.004935689514285947</v>
      </c>
      <c r="D221" s="98" t="s">
        <v>909</v>
      </c>
      <c r="E221" s="98" t="b">
        <v>0</v>
      </c>
      <c r="F221" s="98" t="b">
        <v>0</v>
      </c>
      <c r="G221" s="98" t="b">
        <v>0</v>
      </c>
    </row>
    <row r="222" spans="1:7" ht="15">
      <c r="A222" s="99" t="s">
        <v>933</v>
      </c>
      <c r="B222" s="98">
        <v>45</v>
      </c>
      <c r="C222" s="111">
        <v>0.004935689514285947</v>
      </c>
      <c r="D222" s="98" t="s">
        <v>909</v>
      </c>
      <c r="E222" s="98" t="b">
        <v>0</v>
      </c>
      <c r="F222" s="98" t="b">
        <v>0</v>
      </c>
      <c r="G222" s="98" t="b">
        <v>0</v>
      </c>
    </row>
    <row r="223" spans="1:7" ht="15">
      <c r="A223" s="99" t="s">
        <v>938</v>
      </c>
      <c r="B223" s="98">
        <v>44</v>
      </c>
      <c r="C223" s="111">
        <v>0.005284803295082664</v>
      </c>
      <c r="D223" s="98" t="s">
        <v>909</v>
      </c>
      <c r="E223" s="98" t="b">
        <v>0</v>
      </c>
      <c r="F223" s="98" t="b">
        <v>0</v>
      </c>
      <c r="G223" s="98" t="b">
        <v>0</v>
      </c>
    </row>
    <row r="224" spans="1:7" ht="15">
      <c r="A224" s="99" t="s">
        <v>935</v>
      </c>
      <c r="B224" s="98">
        <v>44</v>
      </c>
      <c r="C224" s="111">
        <v>0.005284803295082664</v>
      </c>
      <c r="D224" s="98" t="s">
        <v>909</v>
      </c>
      <c r="E224" s="98" t="b">
        <v>0</v>
      </c>
      <c r="F224" s="98" t="b">
        <v>0</v>
      </c>
      <c r="G224" s="98" t="b">
        <v>0</v>
      </c>
    </row>
    <row r="225" spans="1:7" ht="15">
      <c r="A225" s="99" t="s">
        <v>939</v>
      </c>
      <c r="B225" s="98">
        <v>43</v>
      </c>
      <c r="C225" s="111">
        <v>0.005623370944439005</v>
      </c>
      <c r="D225" s="98" t="s">
        <v>909</v>
      </c>
      <c r="E225" s="98" t="b">
        <v>0</v>
      </c>
      <c r="F225" s="98" t="b">
        <v>0</v>
      </c>
      <c r="G225" s="98" t="b">
        <v>0</v>
      </c>
    </row>
    <row r="226" spans="1:7" ht="15">
      <c r="A226" s="99" t="s">
        <v>940</v>
      </c>
      <c r="B226" s="98">
        <v>43</v>
      </c>
      <c r="C226" s="111">
        <v>0.005623370944439005</v>
      </c>
      <c r="D226" s="98" t="s">
        <v>909</v>
      </c>
      <c r="E226" s="98" t="b">
        <v>0</v>
      </c>
      <c r="F226" s="98" t="b">
        <v>0</v>
      </c>
      <c r="G226" s="98" t="b">
        <v>0</v>
      </c>
    </row>
    <row r="227" spans="1:7" ht="15">
      <c r="A227" s="99" t="s">
        <v>941</v>
      </c>
      <c r="B227" s="98">
        <v>43</v>
      </c>
      <c r="C227" s="111">
        <v>0.005623370944439005</v>
      </c>
      <c r="D227" s="98" t="s">
        <v>909</v>
      </c>
      <c r="E227" s="98" t="b">
        <v>0</v>
      </c>
      <c r="F227" s="98" t="b">
        <v>0</v>
      </c>
      <c r="G227" s="98" t="b">
        <v>0</v>
      </c>
    </row>
    <row r="228" spans="1:7" ht="15">
      <c r="A228" s="99" t="s">
        <v>942</v>
      </c>
      <c r="B228" s="98">
        <v>43</v>
      </c>
      <c r="C228" s="111">
        <v>0.005623370944439005</v>
      </c>
      <c r="D228" s="98" t="s">
        <v>909</v>
      </c>
      <c r="E228" s="98" t="b">
        <v>0</v>
      </c>
      <c r="F228" s="98" t="b">
        <v>0</v>
      </c>
      <c r="G228" s="98" t="b">
        <v>0</v>
      </c>
    </row>
    <row r="229" spans="1:7" ht="15">
      <c r="A229" s="99" t="s">
        <v>937</v>
      </c>
      <c r="B229" s="98">
        <v>43</v>
      </c>
      <c r="C229" s="111">
        <v>0.005623370944439005</v>
      </c>
      <c r="D229" s="98" t="s">
        <v>909</v>
      </c>
      <c r="E229" s="98" t="b">
        <v>0</v>
      </c>
      <c r="F229" s="98" t="b">
        <v>0</v>
      </c>
      <c r="G229" s="98" t="b">
        <v>0</v>
      </c>
    </row>
    <row r="230" spans="1:7" ht="15">
      <c r="A230" s="99" t="s">
        <v>943</v>
      </c>
      <c r="B230" s="98">
        <v>43</v>
      </c>
      <c r="C230" s="111">
        <v>0.005623370944439005</v>
      </c>
      <c r="D230" s="98" t="s">
        <v>909</v>
      </c>
      <c r="E230" s="98" t="b">
        <v>0</v>
      </c>
      <c r="F230" s="98" t="b">
        <v>0</v>
      </c>
      <c r="G230" s="98" t="b">
        <v>0</v>
      </c>
    </row>
    <row r="231" spans="1:7" ht="15">
      <c r="A231" s="99" t="s">
        <v>945</v>
      </c>
      <c r="B231" s="98">
        <v>11</v>
      </c>
      <c r="C231" s="111">
        <v>0.008396692174847146</v>
      </c>
      <c r="D231" s="98" t="s">
        <v>909</v>
      </c>
      <c r="E231" s="98" t="b">
        <v>0</v>
      </c>
      <c r="F231" s="98" t="b">
        <v>0</v>
      </c>
      <c r="G231" s="98" t="b">
        <v>0</v>
      </c>
    </row>
    <row r="232" spans="1:7" ht="15">
      <c r="A232" s="99" t="s">
        <v>293</v>
      </c>
      <c r="B232" s="98">
        <v>6</v>
      </c>
      <c r="C232" s="111">
        <v>0.006267459008261844</v>
      </c>
      <c r="D232" s="98" t="s">
        <v>909</v>
      </c>
      <c r="E232" s="98" t="b">
        <v>0</v>
      </c>
      <c r="F232" s="98" t="b">
        <v>0</v>
      </c>
      <c r="G232" s="98" t="b">
        <v>0</v>
      </c>
    </row>
    <row r="233" spans="1:7" ht="15">
      <c r="A233" s="99" t="s">
        <v>2365</v>
      </c>
      <c r="B233" s="98">
        <v>5</v>
      </c>
      <c r="C233" s="111">
        <v>0.005645859248592269</v>
      </c>
      <c r="D233" s="98" t="s">
        <v>909</v>
      </c>
      <c r="E233" s="98" t="b">
        <v>0</v>
      </c>
      <c r="F233" s="98" t="b">
        <v>0</v>
      </c>
      <c r="G233" s="98" t="b">
        <v>0</v>
      </c>
    </row>
    <row r="234" spans="1:7" ht="15">
      <c r="A234" s="99" t="s">
        <v>2392</v>
      </c>
      <c r="B234" s="98">
        <v>5</v>
      </c>
      <c r="C234" s="111">
        <v>0.005645859248592269</v>
      </c>
      <c r="D234" s="98" t="s">
        <v>909</v>
      </c>
      <c r="E234" s="98" t="b">
        <v>0</v>
      </c>
      <c r="F234" s="98" t="b">
        <v>0</v>
      </c>
      <c r="G234" s="98" t="b">
        <v>0</v>
      </c>
    </row>
    <row r="235" spans="1:7" ht="15">
      <c r="A235" s="99" t="s">
        <v>2393</v>
      </c>
      <c r="B235" s="98">
        <v>5</v>
      </c>
      <c r="C235" s="111">
        <v>0.005645859248592269</v>
      </c>
      <c r="D235" s="98" t="s">
        <v>909</v>
      </c>
      <c r="E235" s="98" t="b">
        <v>0</v>
      </c>
      <c r="F235" s="98" t="b">
        <v>0</v>
      </c>
      <c r="G235" s="98" t="b">
        <v>0</v>
      </c>
    </row>
    <row r="236" spans="1:7" ht="15">
      <c r="A236" s="99" t="s">
        <v>338</v>
      </c>
      <c r="B236" s="98">
        <v>5</v>
      </c>
      <c r="C236" s="111">
        <v>0.005645859248592269</v>
      </c>
      <c r="D236" s="98" t="s">
        <v>909</v>
      </c>
      <c r="E236" s="98" t="b">
        <v>0</v>
      </c>
      <c r="F236" s="98" t="b">
        <v>0</v>
      </c>
      <c r="G236" s="98" t="b">
        <v>0</v>
      </c>
    </row>
    <row r="237" spans="1:7" ht="15">
      <c r="A237" s="99" t="s">
        <v>980</v>
      </c>
      <c r="B237" s="98">
        <v>4</v>
      </c>
      <c r="C237" s="111">
        <v>0.004930832753609098</v>
      </c>
      <c r="D237" s="98" t="s">
        <v>909</v>
      </c>
      <c r="E237" s="98" t="b">
        <v>0</v>
      </c>
      <c r="F237" s="98" t="b">
        <v>0</v>
      </c>
      <c r="G237" s="98" t="b">
        <v>0</v>
      </c>
    </row>
    <row r="238" spans="1:7" ht="15">
      <c r="A238" s="99" t="s">
        <v>959</v>
      </c>
      <c r="B238" s="98">
        <v>4</v>
      </c>
      <c r="C238" s="111">
        <v>0.004930832753609098</v>
      </c>
      <c r="D238" s="98" t="s">
        <v>909</v>
      </c>
      <c r="E238" s="98" t="b">
        <v>0</v>
      </c>
      <c r="F238" s="98" t="b">
        <v>0</v>
      </c>
      <c r="G238" s="98" t="b">
        <v>0</v>
      </c>
    </row>
    <row r="239" spans="1:7" ht="15">
      <c r="A239" s="99" t="s">
        <v>960</v>
      </c>
      <c r="B239" s="98">
        <v>4</v>
      </c>
      <c r="C239" s="111">
        <v>0.004930832753609098</v>
      </c>
      <c r="D239" s="98" t="s">
        <v>909</v>
      </c>
      <c r="E239" s="98" t="b">
        <v>0</v>
      </c>
      <c r="F239" s="98" t="b">
        <v>0</v>
      </c>
      <c r="G239" s="98" t="b">
        <v>0</v>
      </c>
    </row>
    <row r="240" spans="1:7" ht="15">
      <c r="A240" s="99" t="s">
        <v>961</v>
      </c>
      <c r="B240" s="98">
        <v>4</v>
      </c>
      <c r="C240" s="111">
        <v>0.004930832753609098</v>
      </c>
      <c r="D240" s="98" t="s">
        <v>909</v>
      </c>
      <c r="E240" s="98" t="b">
        <v>0</v>
      </c>
      <c r="F240" s="98" t="b">
        <v>0</v>
      </c>
      <c r="G240" s="98" t="b">
        <v>0</v>
      </c>
    </row>
    <row r="241" spans="1:7" ht="15">
      <c r="A241" s="99" t="s">
        <v>962</v>
      </c>
      <c r="B241" s="98">
        <v>4</v>
      </c>
      <c r="C241" s="111">
        <v>0.004930832753609098</v>
      </c>
      <c r="D241" s="98" t="s">
        <v>909</v>
      </c>
      <c r="E241" s="98" t="b">
        <v>0</v>
      </c>
      <c r="F241" s="98" t="b">
        <v>0</v>
      </c>
      <c r="G241" s="98" t="b">
        <v>0</v>
      </c>
    </row>
    <row r="242" spans="1:7" ht="15">
      <c r="A242" s="99" t="s">
        <v>963</v>
      </c>
      <c r="B242" s="98">
        <v>4</v>
      </c>
      <c r="C242" s="111">
        <v>0.004930832753609098</v>
      </c>
      <c r="D242" s="98" t="s">
        <v>909</v>
      </c>
      <c r="E242" s="98" t="b">
        <v>0</v>
      </c>
      <c r="F242" s="98" t="b">
        <v>0</v>
      </c>
      <c r="G242" s="98" t="b">
        <v>0</v>
      </c>
    </row>
    <row r="243" spans="1:7" ht="15">
      <c r="A243" s="99" t="s">
        <v>964</v>
      </c>
      <c r="B243" s="98">
        <v>4</v>
      </c>
      <c r="C243" s="111">
        <v>0.004930832753609098</v>
      </c>
      <c r="D243" s="98" t="s">
        <v>909</v>
      </c>
      <c r="E243" s="98" t="b">
        <v>0</v>
      </c>
      <c r="F243" s="98" t="b">
        <v>0</v>
      </c>
      <c r="G243" s="98" t="b">
        <v>0</v>
      </c>
    </row>
    <row r="244" spans="1:7" ht="15">
      <c r="A244" s="99" t="s">
        <v>965</v>
      </c>
      <c r="B244" s="98">
        <v>4</v>
      </c>
      <c r="C244" s="111">
        <v>0.004930832753609098</v>
      </c>
      <c r="D244" s="98" t="s">
        <v>909</v>
      </c>
      <c r="E244" s="98" t="b">
        <v>0</v>
      </c>
      <c r="F244" s="98" t="b">
        <v>0</v>
      </c>
      <c r="G244" s="98" t="b">
        <v>0</v>
      </c>
    </row>
    <row r="245" spans="1:7" ht="15">
      <c r="A245" s="99" t="s">
        <v>981</v>
      </c>
      <c r="B245" s="98">
        <v>4</v>
      </c>
      <c r="C245" s="111">
        <v>0.004930832753609098</v>
      </c>
      <c r="D245" s="98" t="s">
        <v>909</v>
      </c>
      <c r="E245" s="98" t="b">
        <v>0</v>
      </c>
      <c r="F245" s="98" t="b">
        <v>0</v>
      </c>
      <c r="G245" s="98" t="b">
        <v>0</v>
      </c>
    </row>
    <row r="246" spans="1:7" ht="15">
      <c r="A246" s="99" t="s">
        <v>982</v>
      </c>
      <c r="B246" s="98">
        <v>4</v>
      </c>
      <c r="C246" s="111">
        <v>0.004930832753609098</v>
      </c>
      <c r="D246" s="98" t="s">
        <v>909</v>
      </c>
      <c r="E246" s="98" t="b">
        <v>0</v>
      </c>
      <c r="F246" s="98" t="b">
        <v>0</v>
      </c>
      <c r="G246" s="98" t="b">
        <v>0</v>
      </c>
    </row>
    <row r="247" spans="1:7" ht="15">
      <c r="A247" s="99" t="s">
        <v>983</v>
      </c>
      <c r="B247" s="98">
        <v>4</v>
      </c>
      <c r="C247" s="111">
        <v>0.004930832753609098</v>
      </c>
      <c r="D247" s="98" t="s">
        <v>909</v>
      </c>
      <c r="E247" s="98" t="b">
        <v>0</v>
      </c>
      <c r="F247" s="98" t="b">
        <v>0</v>
      </c>
      <c r="G247" s="98" t="b">
        <v>0</v>
      </c>
    </row>
    <row r="248" spans="1:7" ht="15">
      <c r="A248" s="99" t="s">
        <v>984</v>
      </c>
      <c r="B248" s="98">
        <v>4</v>
      </c>
      <c r="C248" s="111">
        <v>0.004930832753609098</v>
      </c>
      <c r="D248" s="98" t="s">
        <v>909</v>
      </c>
      <c r="E248" s="98" t="b">
        <v>0</v>
      </c>
      <c r="F248" s="98" t="b">
        <v>0</v>
      </c>
      <c r="G248" s="98" t="b">
        <v>0</v>
      </c>
    </row>
    <row r="249" spans="1:7" ht="15">
      <c r="A249" s="99" t="s">
        <v>1000</v>
      </c>
      <c r="B249" s="98">
        <v>2</v>
      </c>
      <c r="C249" s="111">
        <v>0.0031086428632660476</v>
      </c>
      <c r="D249" s="98" t="s">
        <v>909</v>
      </c>
      <c r="E249" s="98" t="b">
        <v>0</v>
      </c>
      <c r="F249" s="98" t="b">
        <v>0</v>
      </c>
      <c r="G249" s="98" t="b">
        <v>0</v>
      </c>
    </row>
    <row r="250" spans="1:7" ht="15">
      <c r="A250" s="99" t="s">
        <v>293</v>
      </c>
      <c r="B250" s="98">
        <v>30</v>
      </c>
      <c r="C250" s="111">
        <v>0.006969311044420102</v>
      </c>
      <c r="D250" s="98" t="s">
        <v>910</v>
      </c>
      <c r="E250" s="98" t="b">
        <v>0</v>
      </c>
      <c r="F250" s="98" t="b">
        <v>0</v>
      </c>
      <c r="G250" s="98" t="b">
        <v>0</v>
      </c>
    </row>
    <row r="251" spans="1:7" ht="15">
      <c r="A251" s="99" t="s">
        <v>930</v>
      </c>
      <c r="B251" s="98">
        <v>23</v>
      </c>
      <c r="C251" s="111">
        <v>0.011918744706400279</v>
      </c>
      <c r="D251" s="98" t="s">
        <v>910</v>
      </c>
      <c r="E251" s="98" t="b">
        <v>0</v>
      </c>
      <c r="F251" s="98" t="b">
        <v>0</v>
      </c>
      <c r="G251" s="98" t="b">
        <v>0</v>
      </c>
    </row>
    <row r="252" spans="1:7" ht="15">
      <c r="A252" s="99" t="s">
        <v>295</v>
      </c>
      <c r="B252" s="98">
        <v>20</v>
      </c>
      <c r="C252" s="111">
        <v>0.008501828357095497</v>
      </c>
      <c r="D252" s="98" t="s">
        <v>910</v>
      </c>
      <c r="E252" s="98" t="b">
        <v>0</v>
      </c>
      <c r="F252" s="98" t="b">
        <v>0</v>
      </c>
      <c r="G252" s="98" t="b">
        <v>0</v>
      </c>
    </row>
    <row r="253" spans="1:7" ht="15">
      <c r="A253" s="99" t="s">
        <v>932</v>
      </c>
      <c r="B253" s="98">
        <v>20</v>
      </c>
      <c r="C253" s="111">
        <v>0.008501828357095497</v>
      </c>
      <c r="D253" s="98" t="s">
        <v>910</v>
      </c>
      <c r="E253" s="98" t="b">
        <v>0</v>
      </c>
      <c r="F253" s="98" t="b">
        <v>0</v>
      </c>
      <c r="G253" s="98" t="b">
        <v>0</v>
      </c>
    </row>
    <row r="254" spans="1:7" ht="15">
      <c r="A254" s="99" t="s">
        <v>260</v>
      </c>
      <c r="B254" s="98">
        <v>17</v>
      </c>
      <c r="C254" s="111">
        <v>0.008809506956904554</v>
      </c>
      <c r="D254" s="98" t="s">
        <v>910</v>
      </c>
      <c r="E254" s="98" t="b">
        <v>0</v>
      </c>
      <c r="F254" s="98" t="b">
        <v>0</v>
      </c>
      <c r="G254" s="98" t="b">
        <v>0</v>
      </c>
    </row>
    <row r="255" spans="1:7" ht="15">
      <c r="A255" s="99" t="s">
        <v>299</v>
      </c>
      <c r="B255" s="98">
        <v>16</v>
      </c>
      <c r="C255" s="111">
        <v>0.00884705662779896</v>
      </c>
      <c r="D255" s="98" t="s">
        <v>910</v>
      </c>
      <c r="E255" s="98" t="b">
        <v>0</v>
      </c>
      <c r="F255" s="98" t="b">
        <v>0</v>
      </c>
      <c r="G255" s="98" t="b">
        <v>0</v>
      </c>
    </row>
    <row r="256" spans="1:7" ht="15">
      <c r="A256" s="99" t="s">
        <v>933</v>
      </c>
      <c r="B256" s="98">
        <v>15</v>
      </c>
      <c r="C256" s="111">
        <v>0.008848773707299853</v>
      </c>
      <c r="D256" s="98" t="s">
        <v>910</v>
      </c>
      <c r="E256" s="98" t="b">
        <v>0</v>
      </c>
      <c r="F256" s="98" t="b">
        <v>0</v>
      </c>
      <c r="G256" s="98" t="b">
        <v>0</v>
      </c>
    </row>
    <row r="257" spans="1:7" ht="15">
      <c r="A257" s="99" t="s">
        <v>931</v>
      </c>
      <c r="B257" s="98">
        <v>13</v>
      </c>
      <c r="C257" s="111">
        <v>0.013345601919508399</v>
      </c>
      <c r="D257" s="98" t="s">
        <v>910</v>
      </c>
      <c r="E257" s="98" t="b">
        <v>0</v>
      </c>
      <c r="F257" s="98" t="b">
        <v>0</v>
      </c>
      <c r="G257" s="98" t="b">
        <v>0</v>
      </c>
    </row>
    <row r="258" spans="1:7" ht="15">
      <c r="A258" s="99" t="s">
        <v>935</v>
      </c>
      <c r="B258" s="98">
        <v>12</v>
      </c>
      <c r="C258" s="111">
        <v>0.008613214422431806</v>
      </c>
      <c r="D258" s="98" t="s">
        <v>910</v>
      </c>
      <c r="E258" s="98" t="b">
        <v>0</v>
      </c>
      <c r="F258" s="98" t="b">
        <v>0</v>
      </c>
      <c r="G258" s="98" t="b">
        <v>0</v>
      </c>
    </row>
    <row r="259" spans="1:7" ht="15">
      <c r="A259" s="99" t="s">
        <v>996</v>
      </c>
      <c r="B259" s="98">
        <v>11</v>
      </c>
      <c r="C259" s="111">
        <v>0.00844382936363645</v>
      </c>
      <c r="D259" s="98" t="s">
        <v>910</v>
      </c>
      <c r="E259" s="98" t="b">
        <v>0</v>
      </c>
      <c r="F259" s="98" t="b">
        <v>0</v>
      </c>
      <c r="G259" s="98" t="b">
        <v>0</v>
      </c>
    </row>
    <row r="260" spans="1:7" ht="15">
      <c r="A260" s="99" t="s">
        <v>997</v>
      </c>
      <c r="B260" s="98">
        <v>11</v>
      </c>
      <c r="C260" s="111">
        <v>0.00844382936363645</v>
      </c>
      <c r="D260" s="98" t="s">
        <v>910</v>
      </c>
      <c r="E260" s="98" t="b">
        <v>0</v>
      </c>
      <c r="F260" s="98" t="b">
        <v>0</v>
      </c>
      <c r="G260" s="98" t="b">
        <v>0</v>
      </c>
    </row>
    <row r="261" spans="1:7" ht="15">
      <c r="A261" s="99" t="s">
        <v>998</v>
      </c>
      <c r="B261" s="98">
        <v>11</v>
      </c>
      <c r="C261" s="111">
        <v>0.00844382936363645</v>
      </c>
      <c r="D261" s="98" t="s">
        <v>910</v>
      </c>
      <c r="E261" s="98" t="b">
        <v>0</v>
      </c>
      <c r="F261" s="98" t="b">
        <v>0</v>
      </c>
      <c r="G261" s="98" t="b">
        <v>0</v>
      </c>
    </row>
    <row r="262" spans="1:7" ht="15">
      <c r="A262" s="99" t="s">
        <v>949</v>
      </c>
      <c r="B262" s="98">
        <v>10</v>
      </c>
      <c r="C262" s="111">
        <v>0.008222286153006603</v>
      </c>
      <c r="D262" s="98" t="s">
        <v>910</v>
      </c>
      <c r="E262" s="98" t="b">
        <v>0</v>
      </c>
      <c r="F262" s="98" t="b">
        <v>0</v>
      </c>
      <c r="G262" s="98" t="b">
        <v>0</v>
      </c>
    </row>
    <row r="263" spans="1:7" ht="15">
      <c r="A263" s="99" t="s">
        <v>934</v>
      </c>
      <c r="B263" s="98">
        <v>10</v>
      </c>
      <c r="C263" s="111">
        <v>0.008825946978345324</v>
      </c>
      <c r="D263" s="98" t="s">
        <v>910</v>
      </c>
      <c r="E263" s="98" t="b">
        <v>0</v>
      </c>
      <c r="F263" s="98" t="b">
        <v>0</v>
      </c>
      <c r="G263" s="98" t="b">
        <v>0</v>
      </c>
    </row>
    <row r="264" spans="1:7" ht="15">
      <c r="A264" s="99" t="s">
        <v>944</v>
      </c>
      <c r="B264" s="98">
        <v>9</v>
      </c>
      <c r="C264" s="111">
        <v>0.010034145593836821</v>
      </c>
      <c r="D264" s="98" t="s">
        <v>910</v>
      </c>
      <c r="E264" s="98" t="b">
        <v>0</v>
      </c>
      <c r="F264" s="98" t="b">
        <v>0</v>
      </c>
      <c r="G264" s="98" t="b">
        <v>0</v>
      </c>
    </row>
    <row r="265" spans="1:7" ht="15">
      <c r="A265" s="99" t="s">
        <v>2366</v>
      </c>
      <c r="B265" s="98">
        <v>9</v>
      </c>
      <c r="C265" s="111">
        <v>0.00794335228051079</v>
      </c>
      <c r="D265" s="98" t="s">
        <v>910</v>
      </c>
      <c r="E265" s="98" t="b">
        <v>0</v>
      </c>
      <c r="F265" s="98" t="b">
        <v>0</v>
      </c>
      <c r="G265" s="98" t="b">
        <v>0</v>
      </c>
    </row>
    <row r="266" spans="1:7" ht="15">
      <c r="A266" s="99" t="s">
        <v>2367</v>
      </c>
      <c r="B266" s="98">
        <v>9</v>
      </c>
      <c r="C266" s="111">
        <v>0.00794335228051079</v>
      </c>
      <c r="D266" s="98" t="s">
        <v>910</v>
      </c>
      <c r="E266" s="98" t="b">
        <v>0</v>
      </c>
      <c r="F266" s="98" t="b">
        <v>0</v>
      </c>
      <c r="G266" s="98" t="b">
        <v>0</v>
      </c>
    </row>
    <row r="267" spans="1:7" ht="15">
      <c r="A267" s="99" t="s">
        <v>2368</v>
      </c>
      <c r="B267" s="98">
        <v>9</v>
      </c>
      <c r="C267" s="111">
        <v>0.00794335228051079</v>
      </c>
      <c r="D267" s="98" t="s">
        <v>910</v>
      </c>
      <c r="E267" s="98" t="b">
        <v>0</v>
      </c>
      <c r="F267" s="98" t="b">
        <v>0</v>
      </c>
      <c r="G267" s="98" t="b">
        <v>0</v>
      </c>
    </row>
    <row r="268" spans="1:7" ht="15">
      <c r="A268" s="99" t="s">
        <v>2369</v>
      </c>
      <c r="B268" s="98">
        <v>9</v>
      </c>
      <c r="C268" s="111">
        <v>0.00794335228051079</v>
      </c>
      <c r="D268" s="98" t="s">
        <v>910</v>
      </c>
      <c r="E268" s="98" t="b">
        <v>0</v>
      </c>
      <c r="F268" s="98" t="b">
        <v>0</v>
      </c>
      <c r="G268" s="98" t="b">
        <v>0</v>
      </c>
    </row>
    <row r="269" spans="1:7" ht="15">
      <c r="A269" s="99" t="s">
        <v>2370</v>
      </c>
      <c r="B269" s="98">
        <v>9</v>
      </c>
      <c r="C269" s="111">
        <v>0.00794335228051079</v>
      </c>
      <c r="D269" s="98" t="s">
        <v>910</v>
      </c>
      <c r="E269" s="98" t="b">
        <v>0</v>
      </c>
      <c r="F269" s="98" t="b">
        <v>0</v>
      </c>
      <c r="G269" s="98" t="b">
        <v>0</v>
      </c>
    </row>
    <row r="270" spans="1:7" ht="15">
      <c r="A270" s="99" t="s">
        <v>2371</v>
      </c>
      <c r="B270" s="98">
        <v>9</v>
      </c>
      <c r="C270" s="111">
        <v>0.00794335228051079</v>
      </c>
      <c r="D270" s="98" t="s">
        <v>910</v>
      </c>
      <c r="E270" s="98" t="b">
        <v>0</v>
      </c>
      <c r="F270" s="98" t="b">
        <v>0</v>
      </c>
      <c r="G270" s="98" t="b">
        <v>0</v>
      </c>
    </row>
    <row r="271" spans="1:7" ht="15">
      <c r="A271" s="99" t="s">
        <v>2372</v>
      </c>
      <c r="B271" s="98">
        <v>9</v>
      </c>
      <c r="C271" s="111">
        <v>0.00794335228051079</v>
      </c>
      <c r="D271" s="98" t="s">
        <v>910</v>
      </c>
      <c r="E271" s="98" t="b">
        <v>0</v>
      </c>
      <c r="F271" s="98" t="b">
        <v>0</v>
      </c>
      <c r="G271" s="98" t="b">
        <v>0</v>
      </c>
    </row>
    <row r="272" spans="1:7" ht="15">
      <c r="A272" s="99" t="s">
        <v>2373</v>
      </c>
      <c r="B272" s="98">
        <v>9</v>
      </c>
      <c r="C272" s="111">
        <v>0.00794335228051079</v>
      </c>
      <c r="D272" s="98" t="s">
        <v>910</v>
      </c>
      <c r="E272" s="98" t="b">
        <v>0</v>
      </c>
      <c r="F272" s="98" t="b">
        <v>0</v>
      </c>
      <c r="G272" s="98" t="b">
        <v>0</v>
      </c>
    </row>
    <row r="273" spans="1:7" ht="15">
      <c r="A273" s="99" t="s">
        <v>2374</v>
      </c>
      <c r="B273" s="98">
        <v>9</v>
      </c>
      <c r="C273" s="111">
        <v>0.00794335228051079</v>
      </c>
      <c r="D273" s="98" t="s">
        <v>910</v>
      </c>
      <c r="E273" s="98" t="b">
        <v>0</v>
      </c>
      <c r="F273" s="98" t="b">
        <v>0</v>
      </c>
      <c r="G273" s="98" t="b">
        <v>0</v>
      </c>
    </row>
    <row r="274" spans="1:7" ht="15">
      <c r="A274" s="99" t="s">
        <v>2375</v>
      </c>
      <c r="B274" s="98">
        <v>9</v>
      </c>
      <c r="C274" s="111">
        <v>0.00794335228051079</v>
      </c>
      <c r="D274" s="98" t="s">
        <v>910</v>
      </c>
      <c r="E274" s="98" t="b">
        <v>0</v>
      </c>
      <c r="F274" s="98" t="b">
        <v>0</v>
      </c>
      <c r="G274" s="98" t="b">
        <v>0</v>
      </c>
    </row>
    <row r="275" spans="1:7" ht="15">
      <c r="A275" s="99" t="s">
        <v>2376</v>
      </c>
      <c r="B275" s="98">
        <v>9</v>
      </c>
      <c r="C275" s="111">
        <v>0.00794335228051079</v>
      </c>
      <c r="D275" s="98" t="s">
        <v>910</v>
      </c>
      <c r="E275" s="98" t="b">
        <v>0</v>
      </c>
      <c r="F275" s="98" t="b">
        <v>0</v>
      </c>
      <c r="G275" s="98" t="b">
        <v>0</v>
      </c>
    </row>
    <row r="276" spans="1:7" ht="15">
      <c r="A276" s="99" t="s">
        <v>252</v>
      </c>
      <c r="B276" s="98">
        <v>9</v>
      </c>
      <c r="C276" s="111">
        <v>0.00794335228051079</v>
      </c>
      <c r="D276" s="98" t="s">
        <v>910</v>
      </c>
      <c r="E276" s="98" t="b">
        <v>0</v>
      </c>
      <c r="F276" s="98" t="b">
        <v>0</v>
      </c>
      <c r="G276" s="98" t="b">
        <v>0</v>
      </c>
    </row>
    <row r="277" spans="1:7" ht="15">
      <c r="A277" s="99" t="s">
        <v>2377</v>
      </c>
      <c r="B277" s="98">
        <v>9</v>
      </c>
      <c r="C277" s="111">
        <v>0.00794335228051079</v>
      </c>
      <c r="D277" s="98" t="s">
        <v>910</v>
      </c>
      <c r="E277" s="98" t="b">
        <v>0</v>
      </c>
      <c r="F277" s="98" t="b">
        <v>0</v>
      </c>
      <c r="G277" s="98" t="b">
        <v>0</v>
      </c>
    </row>
    <row r="278" spans="1:7" ht="15">
      <c r="A278" s="99" t="s">
        <v>2378</v>
      </c>
      <c r="B278" s="98">
        <v>9</v>
      </c>
      <c r="C278" s="111">
        <v>0.00794335228051079</v>
      </c>
      <c r="D278" s="98" t="s">
        <v>910</v>
      </c>
      <c r="E278" s="98" t="b">
        <v>0</v>
      </c>
      <c r="F278" s="98" t="b">
        <v>0</v>
      </c>
      <c r="G278" s="98" t="b">
        <v>0</v>
      </c>
    </row>
    <row r="279" spans="1:7" ht="15">
      <c r="A279" s="99" t="s">
        <v>302</v>
      </c>
      <c r="B279" s="98">
        <v>9</v>
      </c>
      <c r="C279" s="111">
        <v>0.00794335228051079</v>
      </c>
      <c r="D279" s="98" t="s">
        <v>910</v>
      </c>
      <c r="E279" s="98" t="b">
        <v>0</v>
      </c>
      <c r="F279" s="98" t="b">
        <v>0</v>
      </c>
      <c r="G279" s="98" t="b">
        <v>0</v>
      </c>
    </row>
    <row r="280" spans="1:7" ht="15">
      <c r="A280" s="99" t="s">
        <v>1048</v>
      </c>
      <c r="B280" s="98">
        <v>7</v>
      </c>
      <c r="C280" s="111">
        <v>0.007186093341273754</v>
      </c>
      <c r="D280" s="98" t="s">
        <v>910</v>
      </c>
      <c r="E280" s="98" t="b">
        <v>0</v>
      </c>
      <c r="F280" s="98" t="b">
        <v>0</v>
      </c>
      <c r="G280" s="98" t="b">
        <v>0</v>
      </c>
    </row>
    <row r="281" spans="1:7" ht="15">
      <c r="A281" s="99" t="s">
        <v>2380</v>
      </c>
      <c r="B281" s="98">
        <v>7</v>
      </c>
      <c r="C281" s="111">
        <v>0.007186093341273754</v>
      </c>
      <c r="D281" s="98" t="s">
        <v>910</v>
      </c>
      <c r="E281" s="98" t="b">
        <v>0</v>
      </c>
      <c r="F281" s="98" t="b">
        <v>0</v>
      </c>
      <c r="G281" s="98" t="b">
        <v>0</v>
      </c>
    </row>
    <row r="282" spans="1:7" ht="15">
      <c r="A282" s="99" t="s">
        <v>2381</v>
      </c>
      <c r="B282" s="98">
        <v>7</v>
      </c>
      <c r="C282" s="111">
        <v>0.007186093341273754</v>
      </c>
      <c r="D282" s="98" t="s">
        <v>910</v>
      </c>
      <c r="E282" s="98" t="b">
        <v>0</v>
      </c>
      <c r="F282" s="98" t="b">
        <v>0</v>
      </c>
      <c r="G282" s="98" t="b">
        <v>0</v>
      </c>
    </row>
    <row r="283" spans="1:7" ht="15">
      <c r="A283" s="99" t="s">
        <v>2382</v>
      </c>
      <c r="B283" s="98">
        <v>7</v>
      </c>
      <c r="C283" s="111">
        <v>0.007186093341273754</v>
      </c>
      <c r="D283" s="98" t="s">
        <v>910</v>
      </c>
      <c r="E283" s="98" t="b">
        <v>0</v>
      </c>
      <c r="F283" s="98" t="b">
        <v>0</v>
      </c>
      <c r="G283" s="98" t="b">
        <v>0</v>
      </c>
    </row>
    <row r="284" spans="1:7" ht="15">
      <c r="A284" s="99" t="s">
        <v>2383</v>
      </c>
      <c r="B284" s="98">
        <v>7</v>
      </c>
      <c r="C284" s="111">
        <v>0.007186093341273754</v>
      </c>
      <c r="D284" s="98" t="s">
        <v>910</v>
      </c>
      <c r="E284" s="98" t="b">
        <v>0</v>
      </c>
      <c r="F284" s="98" t="b">
        <v>0</v>
      </c>
      <c r="G284" s="98" t="b">
        <v>0</v>
      </c>
    </row>
    <row r="285" spans="1:7" ht="15">
      <c r="A285" s="99" t="s">
        <v>2379</v>
      </c>
      <c r="B285" s="98">
        <v>7</v>
      </c>
      <c r="C285" s="111">
        <v>0.007186093341273754</v>
      </c>
      <c r="D285" s="98" t="s">
        <v>910</v>
      </c>
      <c r="E285" s="98" t="b">
        <v>0</v>
      </c>
      <c r="F285" s="98" t="b">
        <v>0</v>
      </c>
      <c r="G285" s="98" t="b">
        <v>0</v>
      </c>
    </row>
    <row r="286" spans="1:7" ht="15">
      <c r="A286" s="99" t="s">
        <v>2384</v>
      </c>
      <c r="B286" s="98">
        <v>7</v>
      </c>
      <c r="C286" s="111">
        <v>0.007186093341273754</v>
      </c>
      <c r="D286" s="98" t="s">
        <v>910</v>
      </c>
      <c r="E286" s="98" t="b">
        <v>0</v>
      </c>
      <c r="F286" s="98" t="b">
        <v>0</v>
      </c>
      <c r="G286" s="98" t="b">
        <v>0</v>
      </c>
    </row>
    <row r="287" spans="1:7" ht="15">
      <c r="A287" s="99" t="s">
        <v>2385</v>
      </c>
      <c r="B287" s="98">
        <v>7</v>
      </c>
      <c r="C287" s="111">
        <v>0.007186093341273754</v>
      </c>
      <c r="D287" s="98" t="s">
        <v>910</v>
      </c>
      <c r="E287" s="98" t="b">
        <v>0</v>
      </c>
      <c r="F287" s="98" t="b">
        <v>0</v>
      </c>
      <c r="G287" s="98" t="b">
        <v>0</v>
      </c>
    </row>
    <row r="288" spans="1:7" ht="15">
      <c r="A288" s="99" t="s">
        <v>2386</v>
      </c>
      <c r="B288" s="98">
        <v>7</v>
      </c>
      <c r="C288" s="111">
        <v>0.007186093341273754</v>
      </c>
      <c r="D288" s="98" t="s">
        <v>910</v>
      </c>
      <c r="E288" s="98" t="b">
        <v>0</v>
      </c>
      <c r="F288" s="98" t="b">
        <v>0</v>
      </c>
      <c r="G288" s="98" t="b">
        <v>0</v>
      </c>
    </row>
    <row r="289" spans="1:7" ht="15">
      <c r="A289" s="99" t="s">
        <v>2387</v>
      </c>
      <c r="B289" s="98">
        <v>7</v>
      </c>
      <c r="C289" s="111">
        <v>0.007186093341273754</v>
      </c>
      <c r="D289" s="98" t="s">
        <v>910</v>
      </c>
      <c r="E289" s="98" t="b">
        <v>0</v>
      </c>
      <c r="F289" s="98" t="b">
        <v>0</v>
      </c>
      <c r="G289" s="98" t="b">
        <v>0</v>
      </c>
    </row>
    <row r="290" spans="1:7" ht="15">
      <c r="A290" s="99" t="s">
        <v>2388</v>
      </c>
      <c r="B290" s="98">
        <v>7</v>
      </c>
      <c r="C290" s="111">
        <v>0.007186093341273754</v>
      </c>
      <c r="D290" s="98" t="s">
        <v>910</v>
      </c>
      <c r="E290" s="98" t="b">
        <v>0</v>
      </c>
      <c r="F290" s="98" t="b">
        <v>0</v>
      </c>
      <c r="G290" s="98" t="b">
        <v>0</v>
      </c>
    </row>
    <row r="291" spans="1:7" ht="15">
      <c r="A291" s="99" t="s">
        <v>2389</v>
      </c>
      <c r="B291" s="98">
        <v>7</v>
      </c>
      <c r="C291" s="111">
        <v>0.007186093341273754</v>
      </c>
      <c r="D291" s="98" t="s">
        <v>910</v>
      </c>
      <c r="E291" s="98" t="b">
        <v>0</v>
      </c>
      <c r="F291" s="98" t="b">
        <v>0</v>
      </c>
      <c r="G291" s="98" t="b">
        <v>0</v>
      </c>
    </row>
    <row r="292" spans="1:7" ht="15">
      <c r="A292" s="99" t="s">
        <v>2390</v>
      </c>
      <c r="B292" s="98">
        <v>7</v>
      </c>
      <c r="C292" s="111">
        <v>0.007186093341273754</v>
      </c>
      <c r="D292" s="98" t="s">
        <v>910</v>
      </c>
      <c r="E292" s="98" t="b">
        <v>0</v>
      </c>
      <c r="F292" s="98" t="b">
        <v>0</v>
      </c>
      <c r="G292" s="98" t="b">
        <v>0</v>
      </c>
    </row>
    <row r="293" spans="1:7" ht="15">
      <c r="A293" s="99" t="s">
        <v>937</v>
      </c>
      <c r="B293" s="98">
        <v>7</v>
      </c>
      <c r="C293" s="111">
        <v>0.007186093341273754</v>
      </c>
      <c r="D293" s="98" t="s">
        <v>910</v>
      </c>
      <c r="E293" s="98" t="b">
        <v>0</v>
      </c>
      <c r="F293" s="98" t="b">
        <v>0</v>
      </c>
      <c r="G293" s="98" t="b">
        <v>0</v>
      </c>
    </row>
    <row r="294" spans="1:7" ht="15">
      <c r="A294" s="99" t="s">
        <v>939</v>
      </c>
      <c r="B294" s="98">
        <v>6</v>
      </c>
      <c r="C294" s="111">
        <v>0.006689430395891215</v>
      </c>
      <c r="D294" s="98" t="s">
        <v>910</v>
      </c>
      <c r="E294" s="98" t="b">
        <v>0</v>
      </c>
      <c r="F294" s="98" t="b">
        <v>0</v>
      </c>
      <c r="G294" s="98" t="b">
        <v>0</v>
      </c>
    </row>
    <row r="295" spans="1:7" ht="15">
      <c r="A295" s="99" t="s">
        <v>940</v>
      </c>
      <c r="B295" s="98">
        <v>6</v>
      </c>
      <c r="C295" s="111">
        <v>0.006689430395891215</v>
      </c>
      <c r="D295" s="98" t="s">
        <v>910</v>
      </c>
      <c r="E295" s="98" t="b">
        <v>0</v>
      </c>
      <c r="F295" s="98" t="b">
        <v>0</v>
      </c>
      <c r="G295" s="98" t="b">
        <v>0</v>
      </c>
    </row>
    <row r="296" spans="1:7" ht="15">
      <c r="A296" s="99" t="s">
        <v>941</v>
      </c>
      <c r="B296" s="98">
        <v>6</v>
      </c>
      <c r="C296" s="111">
        <v>0.006689430395891215</v>
      </c>
      <c r="D296" s="98" t="s">
        <v>910</v>
      </c>
      <c r="E296" s="98" t="b">
        <v>0</v>
      </c>
      <c r="F296" s="98" t="b">
        <v>0</v>
      </c>
      <c r="G296" s="98" t="b">
        <v>0</v>
      </c>
    </row>
    <row r="297" spans="1:7" ht="15">
      <c r="A297" s="99" t="s">
        <v>942</v>
      </c>
      <c r="B297" s="98">
        <v>6</v>
      </c>
      <c r="C297" s="111">
        <v>0.006689430395891215</v>
      </c>
      <c r="D297" s="98" t="s">
        <v>910</v>
      </c>
      <c r="E297" s="98" t="b">
        <v>0</v>
      </c>
      <c r="F297" s="98" t="b">
        <v>0</v>
      </c>
      <c r="G297" s="98" t="b">
        <v>0</v>
      </c>
    </row>
    <row r="298" spans="1:7" ht="15">
      <c r="A298" s="99" t="s">
        <v>938</v>
      </c>
      <c r="B298" s="98">
        <v>6</v>
      </c>
      <c r="C298" s="111">
        <v>0.006689430395891215</v>
      </c>
      <c r="D298" s="98" t="s">
        <v>910</v>
      </c>
      <c r="E298" s="98" t="b">
        <v>0</v>
      </c>
      <c r="F298" s="98" t="b">
        <v>0</v>
      </c>
      <c r="G298" s="98" t="b">
        <v>0</v>
      </c>
    </row>
    <row r="299" spans="1:7" ht="15">
      <c r="A299" s="99" t="s">
        <v>936</v>
      </c>
      <c r="B299" s="98">
        <v>6</v>
      </c>
      <c r="C299" s="111">
        <v>0.006689430395891215</v>
      </c>
      <c r="D299" s="98" t="s">
        <v>910</v>
      </c>
      <c r="E299" s="98" t="b">
        <v>0</v>
      </c>
      <c r="F299" s="98" t="b">
        <v>0</v>
      </c>
      <c r="G299" s="98" t="b">
        <v>0</v>
      </c>
    </row>
    <row r="300" spans="1:7" ht="15">
      <c r="A300" s="99" t="s">
        <v>943</v>
      </c>
      <c r="B300" s="98">
        <v>6</v>
      </c>
      <c r="C300" s="111">
        <v>0.006689430395891215</v>
      </c>
      <c r="D300" s="98" t="s">
        <v>910</v>
      </c>
      <c r="E300" s="98" t="b">
        <v>0</v>
      </c>
      <c r="F300" s="98" t="b">
        <v>0</v>
      </c>
      <c r="G300" s="98" t="b">
        <v>0</v>
      </c>
    </row>
    <row r="301" spans="1:7" ht="15">
      <c r="A301" s="99" t="s">
        <v>2391</v>
      </c>
      <c r="B301" s="98">
        <v>6</v>
      </c>
      <c r="C301" s="111">
        <v>0.009072253580566528</v>
      </c>
      <c r="D301" s="98" t="s">
        <v>910</v>
      </c>
      <c r="E301" s="98" t="b">
        <v>0</v>
      </c>
      <c r="F301" s="98" t="b">
        <v>0</v>
      </c>
      <c r="G301" s="98" t="b">
        <v>0</v>
      </c>
    </row>
    <row r="302" spans="1:7" ht="15">
      <c r="A302" s="99" t="s">
        <v>1032</v>
      </c>
      <c r="B302" s="98">
        <v>5</v>
      </c>
      <c r="C302" s="111">
        <v>0.006096829063732729</v>
      </c>
      <c r="D302" s="98" t="s">
        <v>910</v>
      </c>
      <c r="E302" s="98" t="b">
        <v>0</v>
      </c>
      <c r="F302" s="98" t="b">
        <v>0</v>
      </c>
      <c r="G302" s="98" t="b">
        <v>0</v>
      </c>
    </row>
    <row r="303" spans="1:7" ht="15">
      <c r="A303" s="99" t="s">
        <v>945</v>
      </c>
      <c r="B303" s="98">
        <v>4</v>
      </c>
      <c r="C303" s="111">
        <v>0.005388861736516823</v>
      </c>
      <c r="D303" s="98" t="s">
        <v>910</v>
      </c>
      <c r="E303" s="98" t="b">
        <v>0</v>
      </c>
      <c r="F303" s="98" t="b">
        <v>0</v>
      </c>
      <c r="G303" s="98" t="b">
        <v>0</v>
      </c>
    </row>
    <row r="304" spans="1:7" ht="15">
      <c r="A304" s="99" t="s">
        <v>946</v>
      </c>
      <c r="B304" s="98">
        <v>4</v>
      </c>
      <c r="C304" s="111">
        <v>0.005388861736516823</v>
      </c>
      <c r="D304" s="98" t="s">
        <v>910</v>
      </c>
      <c r="E304" s="98" t="b">
        <v>0</v>
      </c>
      <c r="F304" s="98" t="b">
        <v>0</v>
      </c>
      <c r="G304" s="98" t="b">
        <v>0</v>
      </c>
    </row>
    <row r="305" spans="1:7" ht="15">
      <c r="A305" s="99" t="s">
        <v>947</v>
      </c>
      <c r="B305" s="98">
        <v>4</v>
      </c>
      <c r="C305" s="111">
        <v>0.005388861736516823</v>
      </c>
      <c r="D305" s="98" t="s">
        <v>910</v>
      </c>
      <c r="E305" s="98" t="b">
        <v>0</v>
      </c>
      <c r="F305" s="98" t="b">
        <v>0</v>
      </c>
      <c r="G305" s="98" t="b">
        <v>0</v>
      </c>
    </row>
    <row r="306" spans="1:7" ht="15">
      <c r="A306" s="99" t="s">
        <v>948</v>
      </c>
      <c r="B306" s="98">
        <v>4</v>
      </c>
      <c r="C306" s="111">
        <v>0.005388861736516823</v>
      </c>
      <c r="D306" s="98" t="s">
        <v>910</v>
      </c>
      <c r="E306" s="98" t="b">
        <v>0</v>
      </c>
      <c r="F306" s="98" t="b">
        <v>0</v>
      </c>
      <c r="G306" s="98" t="b">
        <v>0</v>
      </c>
    </row>
    <row r="307" spans="1:7" ht="15">
      <c r="A307" s="99" t="s">
        <v>985</v>
      </c>
      <c r="B307" s="98">
        <v>4</v>
      </c>
      <c r="C307" s="111">
        <v>0.005388861736516823</v>
      </c>
      <c r="D307" s="98" t="s">
        <v>910</v>
      </c>
      <c r="E307" s="98" t="b">
        <v>0</v>
      </c>
      <c r="F307" s="98" t="b">
        <v>0</v>
      </c>
      <c r="G307" s="98" t="b">
        <v>0</v>
      </c>
    </row>
    <row r="308" spans="1:7" ht="15">
      <c r="A308" s="99" t="s">
        <v>979</v>
      </c>
      <c r="B308" s="98">
        <v>4</v>
      </c>
      <c r="C308" s="111">
        <v>0.006977410526300365</v>
      </c>
      <c r="D308" s="98" t="s">
        <v>910</v>
      </c>
      <c r="E308" s="98" t="b">
        <v>0</v>
      </c>
      <c r="F308" s="98" t="b">
        <v>0</v>
      </c>
      <c r="G308" s="98" t="b">
        <v>0</v>
      </c>
    </row>
    <row r="309" spans="1:7" ht="15">
      <c r="A309" s="99" t="s">
        <v>967</v>
      </c>
      <c r="B309" s="98">
        <v>4</v>
      </c>
      <c r="C309" s="111">
        <v>0.005388861736516823</v>
      </c>
      <c r="D309" s="98" t="s">
        <v>910</v>
      </c>
      <c r="E309" s="98" t="b">
        <v>0</v>
      </c>
      <c r="F309" s="98" t="b">
        <v>0</v>
      </c>
      <c r="G309" s="98" t="b">
        <v>0</v>
      </c>
    </row>
    <row r="310" spans="1:7" ht="15">
      <c r="A310" s="99" t="s">
        <v>968</v>
      </c>
      <c r="B310" s="98">
        <v>4</v>
      </c>
      <c r="C310" s="111">
        <v>0.005388861736516823</v>
      </c>
      <c r="D310" s="98" t="s">
        <v>910</v>
      </c>
      <c r="E310" s="98" t="b">
        <v>0</v>
      </c>
      <c r="F310" s="98" t="b">
        <v>0</v>
      </c>
      <c r="G310" s="98" t="b">
        <v>0</v>
      </c>
    </row>
    <row r="311" spans="1:7" ht="15">
      <c r="A311" s="99" t="s">
        <v>969</v>
      </c>
      <c r="B311" s="98">
        <v>4</v>
      </c>
      <c r="C311" s="111">
        <v>0.005388861736516823</v>
      </c>
      <c r="D311" s="98" t="s">
        <v>910</v>
      </c>
      <c r="E311" s="98" t="b">
        <v>0</v>
      </c>
      <c r="F311" s="98" t="b">
        <v>0</v>
      </c>
      <c r="G311" s="98" t="b">
        <v>0</v>
      </c>
    </row>
    <row r="312" spans="1:7" ht="15">
      <c r="A312" s="99" t="s">
        <v>970</v>
      </c>
      <c r="B312" s="98">
        <v>4</v>
      </c>
      <c r="C312" s="111">
        <v>0.005388861736516823</v>
      </c>
      <c r="D312" s="98" t="s">
        <v>910</v>
      </c>
      <c r="E312" s="98" t="b">
        <v>0</v>
      </c>
      <c r="F312" s="98" t="b">
        <v>0</v>
      </c>
      <c r="G312" s="98" t="b">
        <v>0</v>
      </c>
    </row>
    <row r="313" spans="1:7" ht="15">
      <c r="A313" s="99" t="s">
        <v>971</v>
      </c>
      <c r="B313" s="98">
        <v>4</v>
      </c>
      <c r="C313" s="111">
        <v>0.005388861736516823</v>
      </c>
      <c r="D313" s="98" t="s">
        <v>910</v>
      </c>
      <c r="E313" s="98" t="b">
        <v>0</v>
      </c>
      <c r="F313" s="98" t="b">
        <v>0</v>
      </c>
      <c r="G313" s="98" t="b">
        <v>0</v>
      </c>
    </row>
    <row r="314" spans="1:7" ht="15">
      <c r="A314" s="99" t="s">
        <v>972</v>
      </c>
      <c r="B314" s="98">
        <v>4</v>
      </c>
      <c r="C314" s="111">
        <v>0.005388861736516823</v>
      </c>
      <c r="D314" s="98" t="s">
        <v>910</v>
      </c>
      <c r="E314" s="98" t="b">
        <v>0</v>
      </c>
      <c r="F314" s="98" t="b">
        <v>0</v>
      </c>
      <c r="G314" s="98" t="b">
        <v>0</v>
      </c>
    </row>
    <row r="315" spans="1:7" ht="15">
      <c r="A315" s="99" t="s">
        <v>973</v>
      </c>
      <c r="B315" s="98">
        <v>4</v>
      </c>
      <c r="C315" s="111">
        <v>0.005388861736516823</v>
      </c>
      <c r="D315" s="98" t="s">
        <v>910</v>
      </c>
      <c r="E315" s="98" t="b">
        <v>0</v>
      </c>
      <c r="F315" s="98" t="b">
        <v>0</v>
      </c>
      <c r="G315" s="98" t="b">
        <v>0</v>
      </c>
    </row>
    <row r="316" spans="1:7" ht="15">
      <c r="A316" s="99" t="s">
        <v>974</v>
      </c>
      <c r="B316" s="98">
        <v>4</v>
      </c>
      <c r="C316" s="111">
        <v>0.005388861736516823</v>
      </c>
      <c r="D316" s="98" t="s">
        <v>910</v>
      </c>
      <c r="E316" s="98" t="b">
        <v>0</v>
      </c>
      <c r="F316" s="98" t="b">
        <v>0</v>
      </c>
      <c r="G316" s="98" t="b">
        <v>0</v>
      </c>
    </row>
    <row r="317" spans="1:7" ht="15">
      <c r="A317" s="99" t="s">
        <v>975</v>
      </c>
      <c r="B317" s="98">
        <v>4</v>
      </c>
      <c r="C317" s="111">
        <v>0.005388861736516823</v>
      </c>
      <c r="D317" s="98" t="s">
        <v>910</v>
      </c>
      <c r="E317" s="98" t="b">
        <v>0</v>
      </c>
      <c r="F317" s="98" t="b">
        <v>0</v>
      </c>
      <c r="G317" s="98" t="b">
        <v>0</v>
      </c>
    </row>
    <row r="318" spans="1:7" ht="15">
      <c r="A318" s="99" t="s">
        <v>976</v>
      </c>
      <c r="B318" s="98">
        <v>4</v>
      </c>
      <c r="C318" s="111">
        <v>0.005388861736516823</v>
      </c>
      <c r="D318" s="98" t="s">
        <v>910</v>
      </c>
      <c r="E318" s="98" t="b">
        <v>0</v>
      </c>
      <c r="F318" s="98" t="b">
        <v>0</v>
      </c>
      <c r="G318" s="98" t="b">
        <v>0</v>
      </c>
    </row>
    <row r="319" spans="1:7" ht="15">
      <c r="A319" s="99" t="s">
        <v>977</v>
      </c>
      <c r="B319" s="98">
        <v>4</v>
      </c>
      <c r="C319" s="111">
        <v>0.005388861736516823</v>
      </c>
      <c r="D319" s="98" t="s">
        <v>910</v>
      </c>
      <c r="E319" s="98" t="b">
        <v>0</v>
      </c>
      <c r="F319" s="98" t="b">
        <v>0</v>
      </c>
      <c r="G319" s="98" t="b">
        <v>0</v>
      </c>
    </row>
    <row r="320" spans="1:7" ht="15">
      <c r="A320" s="99" t="s">
        <v>297</v>
      </c>
      <c r="B320" s="98">
        <v>4</v>
      </c>
      <c r="C320" s="111">
        <v>0.005388861736516823</v>
      </c>
      <c r="D320" s="98" t="s">
        <v>910</v>
      </c>
      <c r="E320" s="98" t="b">
        <v>0</v>
      </c>
      <c r="F320" s="98" t="b">
        <v>0</v>
      </c>
      <c r="G320" s="98" t="b">
        <v>0</v>
      </c>
    </row>
    <row r="321" spans="1:7" ht="15">
      <c r="A321" s="99" t="s">
        <v>978</v>
      </c>
      <c r="B321" s="98">
        <v>4</v>
      </c>
      <c r="C321" s="111">
        <v>0.005388861736516823</v>
      </c>
      <c r="D321" s="98" t="s">
        <v>910</v>
      </c>
      <c r="E321" s="98" t="b">
        <v>0</v>
      </c>
      <c r="F321" s="98" t="b">
        <v>0</v>
      </c>
      <c r="G321" s="98" t="b">
        <v>0</v>
      </c>
    </row>
    <row r="322" spans="1:7" ht="15">
      <c r="A322" s="99" t="s">
        <v>966</v>
      </c>
      <c r="B322" s="98">
        <v>3</v>
      </c>
      <c r="C322" s="111">
        <v>0.004536126790283264</v>
      </c>
      <c r="D322" s="98" t="s">
        <v>910</v>
      </c>
      <c r="E322" s="98" t="b">
        <v>0</v>
      </c>
      <c r="F322" s="98" t="b">
        <v>0</v>
      </c>
      <c r="G322" s="98" t="b">
        <v>0</v>
      </c>
    </row>
    <row r="323" spans="1:7" ht="15">
      <c r="A323" s="99" t="s">
        <v>1027</v>
      </c>
      <c r="B323" s="98">
        <v>3</v>
      </c>
      <c r="C323" s="111">
        <v>0.004536126790283264</v>
      </c>
      <c r="D323" s="98" t="s">
        <v>910</v>
      </c>
      <c r="E323" s="98" t="b">
        <v>0</v>
      </c>
      <c r="F323" s="98" t="b">
        <v>0</v>
      </c>
      <c r="G323" s="98" t="b">
        <v>0</v>
      </c>
    </row>
    <row r="324" spans="1:7" ht="15">
      <c r="A324" s="99" t="s">
        <v>950</v>
      </c>
      <c r="B324" s="98">
        <v>3</v>
      </c>
      <c r="C324" s="111">
        <v>0.004536126790283264</v>
      </c>
      <c r="D324" s="98" t="s">
        <v>910</v>
      </c>
      <c r="E324" s="98" t="b">
        <v>0</v>
      </c>
      <c r="F324" s="98" t="b">
        <v>0</v>
      </c>
      <c r="G324" s="98" t="b">
        <v>0</v>
      </c>
    </row>
    <row r="325" spans="1:7" ht="15">
      <c r="A325" s="99" t="s">
        <v>303</v>
      </c>
      <c r="B325" s="98">
        <v>3</v>
      </c>
      <c r="C325" s="111">
        <v>0.004536126790283264</v>
      </c>
      <c r="D325" s="98" t="s">
        <v>910</v>
      </c>
      <c r="E325" s="98" t="b">
        <v>0</v>
      </c>
      <c r="F325" s="98" t="b">
        <v>0</v>
      </c>
      <c r="G325" s="98" t="b">
        <v>0</v>
      </c>
    </row>
    <row r="326" spans="1:7" ht="15">
      <c r="A326" s="99" t="s">
        <v>951</v>
      </c>
      <c r="B326" s="98">
        <v>3</v>
      </c>
      <c r="C326" s="111">
        <v>0.004536126790283264</v>
      </c>
      <c r="D326" s="98" t="s">
        <v>910</v>
      </c>
      <c r="E326" s="98" t="b">
        <v>0</v>
      </c>
      <c r="F326" s="98" t="b">
        <v>0</v>
      </c>
      <c r="G326" s="98" t="b">
        <v>0</v>
      </c>
    </row>
    <row r="327" spans="1:7" ht="15">
      <c r="A327" s="99" t="s">
        <v>952</v>
      </c>
      <c r="B327" s="98">
        <v>3</v>
      </c>
      <c r="C327" s="111">
        <v>0.004536126790283264</v>
      </c>
      <c r="D327" s="98" t="s">
        <v>910</v>
      </c>
      <c r="E327" s="98" t="b">
        <v>0</v>
      </c>
      <c r="F327" s="98" t="b">
        <v>0</v>
      </c>
      <c r="G327" s="98" t="b">
        <v>0</v>
      </c>
    </row>
    <row r="328" spans="1:7" ht="15">
      <c r="A328" s="99" t="s">
        <v>953</v>
      </c>
      <c r="B328" s="98">
        <v>3</v>
      </c>
      <c r="C328" s="111">
        <v>0.004536126790283264</v>
      </c>
      <c r="D328" s="98" t="s">
        <v>910</v>
      </c>
      <c r="E328" s="98" t="b">
        <v>0</v>
      </c>
      <c r="F328" s="98" t="b">
        <v>0</v>
      </c>
      <c r="G328" s="98" t="b">
        <v>0</v>
      </c>
    </row>
    <row r="329" spans="1:7" ht="15">
      <c r="A329" s="99" t="s">
        <v>954</v>
      </c>
      <c r="B329" s="98">
        <v>3</v>
      </c>
      <c r="C329" s="111">
        <v>0.004536126790283264</v>
      </c>
      <c r="D329" s="98" t="s">
        <v>910</v>
      </c>
      <c r="E329" s="98" t="b">
        <v>0</v>
      </c>
      <c r="F329" s="98" t="b">
        <v>0</v>
      </c>
      <c r="G329" s="98" t="b">
        <v>0</v>
      </c>
    </row>
    <row r="330" spans="1:7" ht="15">
      <c r="A330" s="99" t="s">
        <v>955</v>
      </c>
      <c r="B330" s="98">
        <v>3</v>
      </c>
      <c r="C330" s="111">
        <v>0.004536126790283264</v>
      </c>
      <c r="D330" s="98" t="s">
        <v>910</v>
      </c>
      <c r="E330" s="98" t="b">
        <v>0</v>
      </c>
      <c r="F330" s="98" t="b">
        <v>0</v>
      </c>
      <c r="G330" s="98" t="b">
        <v>0</v>
      </c>
    </row>
    <row r="331" spans="1:7" ht="15">
      <c r="A331" s="99" t="s">
        <v>956</v>
      </c>
      <c r="B331" s="98">
        <v>3</v>
      </c>
      <c r="C331" s="111">
        <v>0.004536126790283264</v>
      </c>
      <c r="D331" s="98" t="s">
        <v>910</v>
      </c>
      <c r="E331" s="98" t="b">
        <v>0</v>
      </c>
      <c r="F331" s="98" t="b">
        <v>0</v>
      </c>
      <c r="G331" s="98" t="b">
        <v>0</v>
      </c>
    </row>
    <row r="332" spans="1:7" ht="15">
      <c r="A332" s="99" t="s">
        <v>957</v>
      </c>
      <c r="B332" s="98">
        <v>3</v>
      </c>
      <c r="C332" s="111">
        <v>0.004536126790283264</v>
      </c>
      <c r="D332" s="98" t="s">
        <v>910</v>
      </c>
      <c r="E332" s="98" t="b">
        <v>0</v>
      </c>
      <c r="F332" s="98" t="b">
        <v>0</v>
      </c>
      <c r="G332" s="98" t="b">
        <v>0</v>
      </c>
    </row>
    <row r="333" spans="1:7" ht="15">
      <c r="A333" s="99" t="s">
        <v>958</v>
      </c>
      <c r="B333" s="98">
        <v>3</v>
      </c>
      <c r="C333" s="111">
        <v>0.004536126790283264</v>
      </c>
      <c r="D333" s="98" t="s">
        <v>910</v>
      </c>
      <c r="E333" s="98" t="b">
        <v>0</v>
      </c>
      <c r="F333" s="98" t="b">
        <v>0</v>
      </c>
      <c r="G333" s="98" t="b">
        <v>0</v>
      </c>
    </row>
    <row r="334" spans="1:7" ht="15">
      <c r="A334" s="99" t="s">
        <v>2420</v>
      </c>
      <c r="B334" s="98">
        <v>3</v>
      </c>
      <c r="C334" s="111">
        <v>0.004536126790283264</v>
      </c>
      <c r="D334" s="98" t="s">
        <v>910</v>
      </c>
      <c r="E334" s="98" t="b">
        <v>0</v>
      </c>
      <c r="F334" s="98" t="b">
        <v>0</v>
      </c>
      <c r="G334" s="98" t="b">
        <v>0</v>
      </c>
    </row>
    <row r="335" spans="1:7" ht="15">
      <c r="A335" s="99" t="s">
        <v>2421</v>
      </c>
      <c r="B335" s="98">
        <v>3</v>
      </c>
      <c r="C335" s="111">
        <v>0.004536126790283264</v>
      </c>
      <c r="D335" s="98" t="s">
        <v>910</v>
      </c>
      <c r="E335" s="98" t="b">
        <v>0</v>
      </c>
      <c r="F335" s="98" t="b">
        <v>0</v>
      </c>
      <c r="G335" s="98" t="b">
        <v>0</v>
      </c>
    </row>
    <row r="336" spans="1:7" ht="15">
      <c r="A336" s="99" t="s">
        <v>2422</v>
      </c>
      <c r="B336" s="98">
        <v>3</v>
      </c>
      <c r="C336" s="111">
        <v>0.004536126790283264</v>
      </c>
      <c r="D336" s="98" t="s">
        <v>910</v>
      </c>
      <c r="E336" s="98" t="b">
        <v>0</v>
      </c>
      <c r="F336" s="98" t="b">
        <v>0</v>
      </c>
      <c r="G336" s="98" t="b">
        <v>0</v>
      </c>
    </row>
    <row r="337" spans="1:7" ht="15">
      <c r="A337" s="99" t="s">
        <v>2423</v>
      </c>
      <c r="B337" s="98">
        <v>3</v>
      </c>
      <c r="C337" s="111">
        <v>0.004536126790283264</v>
      </c>
      <c r="D337" s="98" t="s">
        <v>910</v>
      </c>
      <c r="E337" s="98" t="b">
        <v>0</v>
      </c>
      <c r="F337" s="98" t="b">
        <v>0</v>
      </c>
      <c r="G337" s="98" t="b">
        <v>0</v>
      </c>
    </row>
    <row r="338" spans="1:7" ht="15">
      <c r="A338" s="99" t="s">
        <v>2424</v>
      </c>
      <c r="B338" s="98">
        <v>3</v>
      </c>
      <c r="C338" s="111">
        <v>0.004536126790283264</v>
      </c>
      <c r="D338" s="98" t="s">
        <v>910</v>
      </c>
      <c r="E338" s="98" t="b">
        <v>0</v>
      </c>
      <c r="F338" s="98" t="b">
        <v>0</v>
      </c>
      <c r="G338" s="98" t="b">
        <v>0</v>
      </c>
    </row>
    <row r="339" spans="1:7" ht="15">
      <c r="A339" s="99" t="s">
        <v>2425</v>
      </c>
      <c r="B339" s="98">
        <v>3</v>
      </c>
      <c r="C339" s="111">
        <v>0.004536126790283264</v>
      </c>
      <c r="D339" s="98" t="s">
        <v>910</v>
      </c>
      <c r="E339" s="98" t="b">
        <v>0</v>
      </c>
      <c r="F339" s="98" t="b">
        <v>0</v>
      </c>
      <c r="G339" s="98" t="b">
        <v>0</v>
      </c>
    </row>
    <row r="340" spans="1:7" ht="15">
      <c r="A340" s="99" t="s">
        <v>2405</v>
      </c>
      <c r="B340" s="98">
        <v>3</v>
      </c>
      <c r="C340" s="111">
        <v>0.004536126790283264</v>
      </c>
      <c r="D340" s="98" t="s">
        <v>910</v>
      </c>
      <c r="E340" s="98" t="b">
        <v>0</v>
      </c>
      <c r="F340" s="98" t="b">
        <v>0</v>
      </c>
      <c r="G340" s="98" t="b">
        <v>0</v>
      </c>
    </row>
    <row r="341" spans="1:7" ht="15">
      <c r="A341" s="99" t="s">
        <v>2426</v>
      </c>
      <c r="B341" s="98">
        <v>3</v>
      </c>
      <c r="C341" s="111">
        <v>0.004536126790283264</v>
      </c>
      <c r="D341" s="98" t="s">
        <v>910</v>
      </c>
      <c r="E341" s="98" t="b">
        <v>0</v>
      </c>
      <c r="F341" s="98" t="b">
        <v>0</v>
      </c>
      <c r="G341" s="98" t="b">
        <v>0</v>
      </c>
    </row>
    <row r="342" spans="1:7" ht="15">
      <c r="A342" s="99" t="s">
        <v>2427</v>
      </c>
      <c r="B342" s="98">
        <v>3</v>
      </c>
      <c r="C342" s="111">
        <v>0.004536126790283264</v>
      </c>
      <c r="D342" s="98" t="s">
        <v>910</v>
      </c>
      <c r="E342" s="98" t="b">
        <v>0</v>
      </c>
      <c r="F342" s="98" t="b">
        <v>0</v>
      </c>
      <c r="G342" s="98" t="b">
        <v>0</v>
      </c>
    </row>
    <row r="343" spans="1:7" ht="15">
      <c r="A343" s="99" t="s">
        <v>2428</v>
      </c>
      <c r="B343" s="98">
        <v>3</v>
      </c>
      <c r="C343" s="111">
        <v>0.004536126790283264</v>
      </c>
      <c r="D343" s="98" t="s">
        <v>910</v>
      </c>
      <c r="E343" s="98" t="b">
        <v>0</v>
      </c>
      <c r="F343" s="98" t="b">
        <v>0</v>
      </c>
      <c r="G343" s="98" t="b">
        <v>0</v>
      </c>
    </row>
    <row r="344" spans="1:7" ht="15">
      <c r="A344" s="99" t="s">
        <v>959</v>
      </c>
      <c r="B344" s="98">
        <v>2</v>
      </c>
      <c r="C344" s="111">
        <v>0.0034887052631501826</v>
      </c>
      <c r="D344" s="98" t="s">
        <v>910</v>
      </c>
      <c r="E344" s="98" t="b">
        <v>0</v>
      </c>
      <c r="F344" s="98" t="b">
        <v>0</v>
      </c>
      <c r="G344" s="98" t="b">
        <v>0</v>
      </c>
    </row>
    <row r="345" spans="1:7" ht="15">
      <c r="A345" s="99" t="s">
        <v>960</v>
      </c>
      <c r="B345" s="98">
        <v>2</v>
      </c>
      <c r="C345" s="111">
        <v>0.0034887052631501826</v>
      </c>
      <c r="D345" s="98" t="s">
        <v>910</v>
      </c>
      <c r="E345" s="98" t="b">
        <v>0</v>
      </c>
      <c r="F345" s="98" t="b">
        <v>0</v>
      </c>
      <c r="G345" s="98" t="b">
        <v>0</v>
      </c>
    </row>
    <row r="346" spans="1:7" ht="15">
      <c r="A346" s="99" t="s">
        <v>961</v>
      </c>
      <c r="B346" s="98">
        <v>2</v>
      </c>
      <c r="C346" s="111">
        <v>0.0034887052631501826</v>
      </c>
      <c r="D346" s="98" t="s">
        <v>910</v>
      </c>
      <c r="E346" s="98" t="b">
        <v>0</v>
      </c>
      <c r="F346" s="98" t="b">
        <v>0</v>
      </c>
      <c r="G346" s="98" t="b">
        <v>0</v>
      </c>
    </row>
    <row r="347" spans="1:7" ht="15">
      <c r="A347" s="99" t="s">
        <v>962</v>
      </c>
      <c r="B347" s="98">
        <v>2</v>
      </c>
      <c r="C347" s="111">
        <v>0.0034887052631501826</v>
      </c>
      <c r="D347" s="98" t="s">
        <v>910</v>
      </c>
      <c r="E347" s="98" t="b">
        <v>0</v>
      </c>
      <c r="F347" s="98" t="b">
        <v>0</v>
      </c>
      <c r="G347" s="98" t="b">
        <v>0</v>
      </c>
    </row>
    <row r="348" spans="1:7" ht="15">
      <c r="A348" s="99" t="s">
        <v>963</v>
      </c>
      <c r="B348" s="98">
        <v>2</v>
      </c>
      <c r="C348" s="111">
        <v>0.0034887052631501826</v>
      </c>
      <c r="D348" s="98" t="s">
        <v>910</v>
      </c>
      <c r="E348" s="98" t="b">
        <v>0</v>
      </c>
      <c r="F348" s="98" t="b">
        <v>0</v>
      </c>
      <c r="G348" s="98" t="b">
        <v>0</v>
      </c>
    </row>
    <row r="349" spans="1:7" ht="15">
      <c r="A349" s="99" t="s">
        <v>964</v>
      </c>
      <c r="B349" s="98">
        <v>2</v>
      </c>
      <c r="C349" s="111">
        <v>0.0034887052631501826</v>
      </c>
      <c r="D349" s="98" t="s">
        <v>910</v>
      </c>
      <c r="E349" s="98" t="b">
        <v>0</v>
      </c>
      <c r="F349" s="98" t="b">
        <v>0</v>
      </c>
      <c r="G349" s="98" t="b">
        <v>0</v>
      </c>
    </row>
    <row r="350" spans="1:7" ht="15">
      <c r="A350" s="99" t="s">
        <v>1024</v>
      </c>
      <c r="B350" s="98">
        <v>2</v>
      </c>
      <c r="C350" s="111">
        <v>0.0034887052631501826</v>
      </c>
      <c r="D350" s="98" t="s">
        <v>910</v>
      </c>
      <c r="E350" s="98" t="b">
        <v>0</v>
      </c>
      <c r="F350" s="98" t="b">
        <v>0</v>
      </c>
      <c r="G350" s="98" t="b">
        <v>0</v>
      </c>
    </row>
    <row r="351" spans="1:7" ht="15">
      <c r="A351" s="99" t="s">
        <v>1025</v>
      </c>
      <c r="B351" s="98">
        <v>2</v>
      </c>
      <c r="C351" s="111">
        <v>0.0034887052631501826</v>
      </c>
      <c r="D351" s="98" t="s">
        <v>910</v>
      </c>
      <c r="E351" s="98" t="b">
        <v>0</v>
      </c>
      <c r="F351" s="98" t="b">
        <v>0</v>
      </c>
      <c r="G351" s="98" t="b">
        <v>0</v>
      </c>
    </row>
    <row r="352" spans="1:7" ht="15">
      <c r="A352" s="99" t="s">
        <v>1026</v>
      </c>
      <c r="B352" s="98">
        <v>2</v>
      </c>
      <c r="C352" s="111">
        <v>0.0034887052631501826</v>
      </c>
      <c r="D352" s="98" t="s">
        <v>910</v>
      </c>
      <c r="E352" s="98" t="b">
        <v>0</v>
      </c>
      <c r="F352" s="98" t="b">
        <v>0</v>
      </c>
      <c r="G352" s="98" t="b">
        <v>0</v>
      </c>
    </row>
    <row r="353" spans="1:7" ht="15">
      <c r="A353" s="99" t="s">
        <v>1028</v>
      </c>
      <c r="B353" s="98">
        <v>2</v>
      </c>
      <c r="C353" s="111">
        <v>0.0034887052631501826</v>
      </c>
      <c r="D353" s="98" t="s">
        <v>910</v>
      </c>
      <c r="E353" s="98" t="b">
        <v>0</v>
      </c>
      <c r="F353" s="98" t="b">
        <v>0</v>
      </c>
      <c r="G353" s="98" t="b">
        <v>0</v>
      </c>
    </row>
    <row r="354" spans="1:7" ht="15">
      <c r="A354" s="99" t="s">
        <v>1029</v>
      </c>
      <c r="B354" s="98">
        <v>2</v>
      </c>
      <c r="C354" s="111">
        <v>0.0034887052631501826</v>
      </c>
      <c r="D354" s="98" t="s">
        <v>910</v>
      </c>
      <c r="E354" s="98" t="b">
        <v>0</v>
      </c>
      <c r="F354" s="98" t="b">
        <v>0</v>
      </c>
      <c r="G354" s="98" t="b">
        <v>0</v>
      </c>
    </row>
    <row r="355" spans="1:7" ht="15">
      <c r="A355" s="99" t="s">
        <v>1030</v>
      </c>
      <c r="B355" s="98">
        <v>2</v>
      </c>
      <c r="C355" s="111">
        <v>0.0034887052631501826</v>
      </c>
      <c r="D355" s="98" t="s">
        <v>910</v>
      </c>
      <c r="E355" s="98" t="b">
        <v>0</v>
      </c>
      <c r="F355" s="98" t="b">
        <v>0</v>
      </c>
      <c r="G355" s="98" t="b">
        <v>0</v>
      </c>
    </row>
    <row r="356" spans="1:7" ht="15">
      <c r="A356" s="99" t="s">
        <v>1031</v>
      </c>
      <c r="B356" s="98">
        <v>2</v>
      </c>
      <c r="C356" s="111">
        <v>0.0034887052631501826</v>
      </c>
      <c r="D356" s="98" t="s">
        <v>910</v>
      </c>
      <c r="E356" s="98" t="b">
        <v>0</v>
      </c>
      <c r="F356" s="98" t="b">
        <v>0</v>
      </c>
      <c r="G356" s="98" t="b">
        <v>0</v>
      </c>
    </row>
    <row r="357" spans="1:7" ht="15">
      <c r="A357" s="99" t="s">
        <v>2365</v>
      </c>
      <c r="B357" s="98">
        <v>2</v>
      </c>
      <c r="C357" s="111">
        <v>0.0034887052631501826</v>
      </c>
      <c r="D357" s="98" t="s">
        <v>910</v>
      </c>
      <c r="E357" s="98" t="b">
        <v>0</v>
      </c>
      <c r="F357" s="98" t="b">
        <v>0</v>
      </c>
      <c r="G357" s="98" t="b">
        <v>0</v>
      </c>
    </row>
    <row r="358" spans="1:7" ht="15">
      <c r="A358" s="99" t="s">
        <v>1008</v>
      </c>
      <c r="B358" s="98">
        <v>2</v>
      </c>
      <c r="C358" s="111">
        <v>0.0034887052631501826</v>
      </c>
      <c r="D358" s="98" t="s">
        <v>910</v>
      </c>
      <c r="E358" s="98" t="b">
        <v>0</v>
      </c>
      <c r="F358" s="98" t="b">
        <v>0</v>
      </c>
      <c r="G358" s="98" t="b">
        <v>0</v>
      </c>
    </row>
    <row r="359" spans="1:7" ht="15">
      <c r="A359" s="99" t="s">
        <v>1009</v>
      </c>
      <c r="B359" s="98">
        <v>2</v>
      </c>
      <c r="C359" s="111">
        <v>0.0034887052631501826</v>
      </c>
      <c r="D359" s="98" t="s">
        <v>910</v>
      </c>
      <c r="E359" s="98" t="b">
        <v>0</v>
      </c>
      <c r="F359" s="98" t="b">
        <v>0</v>
      </c>
      <c r="G359" s="98" t="b">
        <v>0</v>
      </c>
    </row>
    <row r="360" spans="1:7" ht="15">
      <c r="A360" s="99" t="s">
        <v>1010</v>
      </c>
      <c r="B360" s="98">
        <v>2</v>
      </c>
      <c r="C360" s="111">
        <v>0.0034887052631501826</v>
      </c>
      <c r="D360" s="98" t="s">
        <v>910</v>
      </c>
      <c r="E360" s="98" t="b">
        <v>0</v>
      </c>
      <c r="F360" s="98" t="b">
        <v>0</v>
      </c>
      <c r="G360" s="98" t="b">
        <v>0</v>
      </c>
    </row>
    <row r="361" spans="1:7" ht="15">
      <c r="A361" s="99" t="s">
        <v>1011</v>
      </c>
      <c r="B361" s="98">
        <v>2</v>
      </c>
      <c r="C361" s="111">
        <v>0.0034887052631501826</v>
      </c>
      <c r="D361" s="98" t="s">
        <v>910</v>
      </c>
      <c r="E361" s="98" t="b">
        <v>0</v>
      </c>
      <c r="F361" s="98" t="b">
        <v>0</v>
      </c>
      <c r="G361" s="98" t="b">
        <v>0</v>
      </c>
    </row>
    <row r="362" spans="1:7" ht="15">
      <c r="A362" s="99" t="s">
        <v>1012</v>
      </c>
      <c r="B362" s="98">
        <v>2</v>
      </c>
      <c r="C362" s="111">
        <v>0.0034887052631501826</v>
      </c>
      <c r="D362" s="98" t="s">
        <v>910</v>
      </c>
      <c r="E362" s="98" t="b">
        <v>0</v>
      </c>
      <c r="F362" s="98" t="b">
        <v>0</v>
      </c>
      <c r="G362" s="98" t="b">
        <v>0</v>
      </c>
    </row>
    <row r="363" spans="1:7" ht="15">
      <c r="A363" s="99" t="s">
        <v>1013</v>
      </c>
      <c r="B363" s="98">
        <v>2</v>
      </c>
      <c r="C363" s="111">
        <v>0.0034887052631501826</v>
      </c>
      <c r="D363" s="98" t="s">
        <v>910</v>
      </c>
      <c r="E363" s="98" t="b">
        <v>0</v>
      </c>
      <c r="F363" s="98" t="b">
        <v>0</v>
      </c>
      <c r="G363" s="98" t="b">
        <v>0</v>
      </c>
    </row>
    <row r="364" spans="1:7" ht="15">
      <c r="A364" s="99" t="s">
        <v>1014</v>
      </c>
      <c r="B364" s="98">
        <v>2</v>
      </c>
      <c r="C364" s="111">
        <v>0.0034887052631501826</v>
      </c>
      <c r="D364" s="98" t="s">
        <v>910</v>
      </c>
      <c r="E364" s="98" t="b">
        <v>0</v>
      </c>
      <c r="F364" s="98" t="b">
        <v>0</v>
      </c>
      <c r="G364" s="98" t="b">
        <v>0</v>
      </c>
    </row>
    <row r="365" spans="1:7" ht="15">
      <c r="A365" s="99" t="s">
        <v>1015</v>
      </c>
      <c r="B365" s="98">
        <v>2</v>
      </c>
      <c r="C365" s="111">
        <v>0.0034887052631501826</v>
      </c>
      <c r="D365" s="98" t="s">
        <v>910</v>
      </c>
      <c r="E365" s="98" t="b">
        <v>0</v>
      </c>
      <c r="F365" s="98" t="b">
        <v>0</v>
      </c>
      <c r="G365" s="98" t="b">
        <v>0</v>
      </c>
    </row>
    <row r="366" spans="1:7" ht="15">
      <c r="A366" s="99" t="s">
        <v>986</v>
      </c>
      <c r="B366" s="98">
        <v>2</v>
      </c>
      <c r="C366" s="111">
        <v>0.0034887052631501826</v>
      </c>
      <c r="D366" s="98" t="s">
        <v>910</v>
      </c>
      <c r="E366" s="98" t="b">
        <v>0</v>
      </c>
      <c r="F366" s="98" t="b">
        <v>0</v>
      </c>
      <c r="G366" s="98" t="b">
        <v>0</v>
      </c>
    </row>
    <row r="367" spans="1:7" ht="15">
      <c r="A367" s="99" t="s">
        <v>1016</v>
      </c>
      <c r="B367" s="98">
        <v>2</v>
      </c>
      <c r="C367" s="111">
        <v>0.0034887052631501826</v>
      </c>
      <c r="D367" s="98" t="s">
        <v>910</v>
      </c>
      <c r="E367" s="98" t="b">
        <v>0</v>
      </c>
      <c r="F367" s="98" t="b">
        <v>0</v>
      </c>
      <c r="G367" s="98" t="b">
        <v>0</v>
      </c>
    </row>
    <row r="368" spans="1:7" ht="15">
      <c r="A368" s="99" t="s">
        <v>1017</v>
      </c>
      <c r="B368" s="98">
        <v>2</v>
      </c>
      <c r="C368" s="111">
        <v>0.0034887052631501826</v>
      </c>
      <c r="D368" s="98" t="s">
        <v>910</v>
      </c>
      <c r="E368" s="98" t="b">
        <v>0</v>
      </c>
      <c r="F368" s="98" t="b">
        <v>0</v>
      </c>
      <c r="G368" s="98" t="b">
        <v>0</v>
      </c>
    </row>
    <row r="369" spans="1:7" ht="15">
      <c r="A369" s="99" t="s">
        <v>304</v>
      </c>
      <c r="B369" s="98">
        <v>2</v>
      </c>
      <c r="C369" s="111">
        <v>0.0034887052631501826</v>
      </c>
      <c r="D369" s="98" t="s">
        <v>910</v>
      </c>
      <c r="E369" s="98" t="b">
        <v>0</v>
      </c>
      <c r="F369" s="98" t="b">
        <v>0</v>
      </c>
      <c r="G369" s="98" t="b">
        <v>0</v>
      </c>
    </row>
    <row r="370" spans="1:7" ht="15">
      <c r="A370" s="99" t="s">
        <v>1018</v>
      </c>
      <c r="B370" s="98">
        <v>2</v>
      </c>
      <c r="C370" s="111">
        <v>0.0034887052631501826</v>
      </c>
      <c r="D370" s="98" t="s">
        <v>910</v>
      </c>
      <c r="E370" s="98" t="b">
        <v>0</v>
      </c>
      <c r="F370" s="98" t="b">
        <v>0</v>
      </c>
      <c r="G370" s="98" t="b">
        <v>0</v>
      </c>
    </row>
    <row r="371" spans="1:7" ht="15">
      <c r="A371" s="99" t="s">
        <v>932</v>
      </c>
      <c r="B371" s="98">
        <v>17</v>
      </c>
      <c r="C371" s="111">
        <v>0.009600686432363592</v>
      </c>
      <c r="D371" s="98" t="s">
        <v>911</v>
      </c>
      <c r="E371" s="98" t="b">
        <v>0</v>
      </c>
      <c r="F371" s="98" t="b">
        <v>0</v>
      </c>
      <c r="G371" s="98" t="b">
        <v>0</v>
      </c>
    </row>
    <row r="372" spans="1:7" ht="15">
      <c r="A372" s="99" t="s">
        <v>934</v>
      </c>
      <c r="B372" s="98">
        <v>17</v>
      </c>
      <c r="C372" s="111">
        <v>0.013887687891702189</v>
      </c>
      <c r="D372" s="98" t="s">
        <v>911</v>
      </c>
      <c r="E372" s="98" t="b">
        <v>0</v>
      </c>
      <c r="F372" s="98" t="b">
        <v>0</v>
      </c>
      <c r="G372" s="98" t="b">
        <v>0</v>
      </c>
    </row>
    <row r="373" spans="1:7" ht="15">
      <c r="A373" s="99" t="s">
        <v>930</v>
      </c>
      <c r="B373" s="98">
        <v>15</v>
      </c>
      <c r="C373" s="111">
        <v>0.014609383398572975</v>
      </c>
      <c r="D373" s="98" t="s">
        <v>911</v>
      </c>
      <c r="E373" s="98" t="b">
        <v>0</v>
      </c>
      <c r="F373" s="98" t="b">
        <v>0</v>
      </c>
      <c r="G373" s="98" t="b">
        <v>0</v>
      </c>
    </row>
    <row r="374" spans="1:7" ht="15">
      <c r="A374" s="99" t="s">
        <v>945</v>
      </c>
      <c r="B374" s="98">
        <v>12</v>
      </c>
      <c r="C374" s="111">
        <v>0.01070598565679605</v>
      </c>
      <c r="D374" s="98" t="s">
        <v>911</v>
      </c>
      <c r="E374" s="98" t="b">
        <v>0</v>
      </c>
      <c r="F374" s="98" t="b">
        <v>0</v>
      </c>
      <c r="G374" s="98" t="b">
        <v>0</v>
      </c>
    </row>
    <row r="375" spans="1:7" ht="15">
      <c r="A375" s="99" t="s">
        <v>933</v>
      </c>
      <c r="B375" s="98">
        <v>12</v>
      </c>
      <c r="C375" s="111">
        <v>0.01070598565679605</v>
      </c>
      <c r="D375" s="98" t="s">
        <v>911</v>
      </c>
      <c r="E375" s="98" t="b">
        <v>0</v>
      </c>
      <c r="F375" s="98" t="b">
        <v>0</v>
      </c>
      <c r="G375" s="98" t="b">
        <v>0</v>
      </c>
    </row>
    <row r="376" spans="1:7" ht="15">
      <c r="A376" s="99" t="s">
        <v>931</v>
      </c>
      <c r="B376" s="98">
        <v>10</v>
      </c>
      <c r="C376" s="111">
        <v>0.015437455485944352</v>
      </c>
      <c r="D376" s="98" t="s">
        <v>911</v>
      </c>
      <c r="E376" s="98" t="b">
        <v>0</v>
      </c>
      <c r="F376" s="98" t="b">
        <v>0</v>
      </c>
      <c r="G376" s="98" t="b">
        <v>0</v>
      </c>
    </row>
    <row r="377" spans="1:7" ht="15">
      <c r="A377" s="99" t="s">
        <v>1027</v>
      </c>
      <c r="B377" s="98">
        <v>8</v>
      </c>
      <c r="C377" s="111">
        <v>0.010186523062204833</v>
      </c>
      <c r="D377" s="98" t="s">
        <v>911</v>
      </c>
      <c r="E377" s="98" t="b">
        <v>0</v>
      </c>
      <c r="F377" s="98" t="b">
        <v>0</v>
      </c>
      <c r="G377" s="98" t="b">
        <v>0</v>
      </c>
    </row>
    <row r="378" spans="1:7" ht="15">
      <c r="A378" s="99" t="s">
        <v>944</v>
      </c>
      <c r="B378" s="98">
        <v>8</v>
      </c>
      <c r="C378" s="111">
        <v>0.01372106821641998</v>
      </c>
      <c r="D378" s="98" t="s">
        <v>911</v>
      </c>
      <c r="E378" s="98" t="b">
        <v>0</v>
      </c>
      <c r="F378" s="98" t="b">
        <v>0</v>
      </c>
      <c r="G378" s="98" t="b">
        <v>0</v>
      </c>
    </row>
    <row r="379" spans="1:7" ht="15">
      <c r="A379" s="99" t="s">
        <v>293</v>
      </c>
      <c r="B379" s="98">
        <v>8</v>
      </c>
      <c r="C379" s="111">
        <v>0.010186523062204833</v>
      </c>
      <c r="D379" s="98" t="s">
        <v>911</v>
      </c>
      <c r="E379" s="98" t="b">
        <v>0</v>
      </c>
      <c r="F379" s="98" t="b">
        <v>0</v>
      </c>
      <c r="G379" s="98" t="b">
        <v>0</v>
      </c>
    </row>
    <row r="380" spans="1:7" ht="15">
      <c r="A380" s="99" t="s">
        <v>996</v>
      </c>
      <c r="B380" s="98">
        <v>7</v>
      </c>
      <c r="C380" s="111">
        <v>0.009791873542727514</v>
      </c>
      <c r="D380" s="98" t="s">
        <v>911</v>
      </c>
      <c r="E380" s="98" t="b">
        <v>0</v>
      </c>
      <c r="F380" s="98" t="b">
        <v>0</v>
      </c>
      <c r="G380" s="98" t="b">
        <v>0</v>
      </c>
    </row>
    <row r="381" spans="1:7" ht="15">
      <c r="A381" s="99" t="s">
        <v>997</v>
      </c>
      <c r="B381" s="98">
        <v>7</v>
      </c>
      <c r="C381" s="111">
        <v>0.009791873542727514</v>
      </c>
      <c r="D381" s="98" t="s">
        <v>911</v>
      </c>
      <c r="E381" s="98" t="b">
        <v>0</v>
      </c>
      <c r="F381" s="98" t="b">
        <v>0</v>
      </c>
      <c r="G381" s="98" t="b">
        <v>0</v>
      </c>
    </row>
    <row r="382" spans="1:7" ht="15">
      <c r="A382" s="99" t="s">
        <v>998</v>
      </c>
      <c r="B382" s="98">
        <v>7</v>
      </c>
      <c r="C382" s="111">
        <v>0.009791873542727514</v>
      </c>
      <c r="D382" s="98" t="s">
        <v>911</v>
      </c>
      <c r="E382" s="98" t="b">
        <v>0</v>
      </c>
      <c r="F382" s="98" t="b">
        <v>0</v>
      </c>
      <c r="G382" s="98" t="b">
        <v>0</v>
      </c>
    </row>
    <row r="383" spans="1:7" ht="15">
      <c r="A383" s="99" t="s">
        <v>299</v>
      </c>
      <c r="B383" s="98">
        <v>7</v>
      </c>
      <c r="C383" s="111">
        <v>0.009791873542727514</v>
      </c>
      <c r="D383" s="98" t="s">
        <v>911</v>
      </c>
      <c r="E383" s="98" t="b">
        <v>0</v>
      </c>
      <c r="F383" s="98" t="b">
        <v>0</v>
      </c>
      <c r="G383" s="98" t="b">
        <v>0</v>
      </c>
    </row>
    <row r="384" spans="1:7" ht="15">
      <c r="A384" s="99" t="s">
        <v>302</v>
      </c>
      <c r="B384" s="98">
        <v>6</v>
      </c>
      <c r="C384" s="111">
        <v>0.009262473291566613</v>
      </c>
      <c r="D384" s="98" t="s">
        <v>911</v>
      </c>
      <c r="E384" s="98" t="b">
        <v>0</v>
      </c>
      <c r="F384" s="98" t="b">
        <v>0</v>
      </c>
      <c r="G384" s="98" t="b">
        <v>0</v>
      </c>
    </row>
    <row r="385" spans="1:7" ht="15">
      <c r="A385" s="99" t="s">
        <v>966</v>
      </c>
      <c r="B385" s="98">
        <v>6</v>
      </c>
      <c r="C385" s="111">
        <v>0.009262473291566613</v>
      </c>
      <c r="D385" s="98" t="s">
        <v>911</v>
      </c>
      <c r="E385" s="98" t="b">
        <v>0</v>
      </c>
      <c r="F385" s="98" t="b">
        <v>0</v>
      </c>
      <c r="G385" s="98" t="b">
        <v>0</v>
      </c>
    </row>
    <row r="386" spans="1:7" ht="15">
      <c r="A386" s="99" t="s">
        <v>338</v>
      </c>
      <c r="B386" s="98">
        <v>5</v>
      </c>
      <c r="C386" s="111">
        <v>0.008575667635262487</v>
      </c>
      <c r="D386" s="98" t="s">
        <v>911</v>
      </c>
      <c r="E386" s="98" t="b">
        <v>0</v>
      </c>
      <c r="F386" s="98" t="b">
        <v>0</v>
      </c>
      <c r="G386" s="98" t="b">
        <v>0</v>
      </c>
    </row>
    <row r="387" spans="1:7" ht="15">
      <c r="A387" s="99" t="s">
        <v>936</v>
      </c>
      <c r="B387" s="98">
        <v>5</v>
      </c>
      <c r="C387" s="111">
        <v>0.008575667635262487</v>
      </c>
      <c r="D387" s="98" t="s">
        <v>911</v>
      </c>
      <c r="E387" s="98" t="b">
        <v>0</v>
      </c>
      <c r="F387" s="98" t="b">
        <v>0</v>
      </c>
      <c r="G387" s="98" t="b">
        <v>0</v>
      </c>
    </row>
    <row r="388" spans="1:7" ht="15">
      <c r="A388" s="99" t="s">
        <v>937</v>
      </c>
      <c r="B388" s="98">
        <v>5</v>
      </c>
      <c r="C388" s="111">
        <v>0.008575667635262487</v>
      </c>
      <c r="D388" s="98" t="s">
        <v>911</v>
      </c>
      <c r="E388" s="98" t="b">
        <v>0</v>
      </c>
      <c r="F388" s="98" t="b">
        <v>0</v>
      </c>
      <c r="G388" s="98" t="b">
        <v>0</v>
      </c>
    </row>
    <row r="389" spans="1:7" ht="15">
      <c r="A389" s="99" t="s">
        <v>949</v>
      </c>
      <c r="B389" s="98">
        <v>5</v>
      </c>
      <c r="C389" s="111">
        <v>0.008575667635262487</v>
      </c>
      <c r="D389" s="98" t="s">
        <v>911</v>
      </c>
      <c r="E389" s="98" t="b">
        <v>0</v>
      </c>
      <c r="F389" s="98" t="b">
        <v>0</v>
      </c>
      <c r="G389" s="98" t="b">
        <v>0</v>
      </c>
    </row>
    <row r="390" spans="1:7" ht="15">
      <c r="A390" s="99" t="s">
        <v>2365</v>
      </c>
      <c r="B390" s="98">
        <v>5</v>
      </c>
      <c r="C390" s="111">
        <v>0.008575667635262487</v>
      </c>
      <c r="D390" s="98" t="s">
        <v>911</v>
      </c>
      <c r="E390" s="98" t="b">
        <v>0</v>
      </c>
      <c r="F390" s="98" t="b">
        <v>0</v>
      </c>
      <c r="G390" s="98" t="b">
        <v>0</v>
      </c>
    </row>
    <row r="391" spans="1:7" ht="15">
      <c r="A391" s="99" t="s">
        <v>2406</v>
      </c>
      <c r="B391" s="98">
        <v>4</v>
      </c>
      <c r="C391" s="111">
        <v>0.007699581839881474</v>
      </c>
      <c r="D391" s="98" t="s">
        <v>911</v>
      </c>
      <c r="E391" s="98" t="b">
        <v>0</v>
      </c>
      <c r="F391" s="98" t="b">
        <v>0</v>
      </c>
      <c r="G391" s="98" t="b">
        <v>0</v>
      </c>
    </row>
    <row r="392" spans="1:7" ht="15">
      <c r="A392" s="99" t="s">
        <v>2407</v>
      </c>
      <c r="B392" s="98">
        <v>4</v>
      </c>
      <c r="C392" s="111">
        <v>0.007699581839881474</v>
      </c>
      <c r="D392" s="98" t="s">
        <v>911</v>
      </c>
      <c r="E392" s="98" t="b">
        <v>0</v>
      </c>
      <c r="F392" s="98" t="b">
        <v>0</v>
      </c>
      <c r="G392" s="98" t="b">
        <v>0</v>
      </c>
    </row>
    <row r="393" spans="1:7" ht="15">
      <c r="A393" s="99" t="s">
        <v>2408</v>
      </c>
      <c r="B393" s="98">
        <v>4</v>
      </c>
      <c r="C393" s="111">
        <v>0.007699581839881474</v>
      </c>
      <c r="D393" s="98" t="s">
        <v>911</v>
      </c>
      <c r="E393" s="98" t="b">
        <v>0</v>
      </c>
      <c r="F393" s="98" t="b">
        <v>0</v>
      </c>
      <c r="G393" s="98" t="b">
        <v>0</v>
      </c>
    </row>
    <row r="394" spans="1:7" ht="15">
      <c r="A394" s="99" t="s">
        <v>2409</v>
      </c>
      <c r="B394" s="98">
        <v>4</v>
      </c>
      <c r="C394" s="111">
        <v>0.007699581839881474</v>
      </c>
      <c r="D394" s="98" t="s">
        <v>911</v>
      </c>
      <c r="E394" s="98" t="b">
        <v>0</v>
      </c>
      <c r="F394" s="98" t="b">
        <v>0</v>
      </c>
      <c r="G394" s="98" t="b">
        <v>0</v>
      </c>
    </row>
    <row r="395" spans="1:7" ht="15">
      <c r="A395" s="99" t="s">
        <v>2410</v>
      </c>
      <c r="B395" s="98">
        <v>4</v>
      </c>
      <c r="C395" s="111">
        <v>0.007699581839881474</v>
      </c>
      <c r="D395" s="98" t="s">
        <v>911</v>
      </c>
      <c r="E395" s="98" t="b">
        <v>0</v>
      </c>
      <c r="F395" s="98" t="b">
        <v>0</v>
      </c>
      <c r="G395" s="98" t="b">
        <v>0</v>
      </c>
    </row>
    <row r="396" spans="1:7" ht="15">
      <c r="A396" s="99" t="s">
        <v>2411</v>
      </c>
      <c r="B396" s="98">
        <v>4</v>
      </c>
      <c r="C396" s="111">
        <v>0.007699581839881474</v>
      </c>
      <c r="D396" s="98" t="s">
        <v>911</v>
      </c>
      <c r="E396" s="98" t="b">
        <v>0</v>
      </c>
      <c r="F396" s="98" t="b">
        <v>0</v>
      </c>
      <c r="G396" s="98" t="b">
        <v>0</v>
      </c>
    </row>
    <row r="397" spans="1:7" ht="15">
      <c r="A397" s="99" t="s">
        <v>2412</v>
      </c>
      <c r="B397" s="98">
        <v>4</v>
      </c>
      <c r="C397" s="111">
        <v>0.007699581839881474</v>
      </c>
      <c r="D397" s="98" t="s">
        <v>911</v>
      </c>
      <c r="E397" s="98" t="b">
        <v>0</v>
      </c>
      <c r="F397" s="98" t="b">
        <v>0</v>
      </c>
      <c r="G397" s="98" t="b">
        <v>0</v>
      </c>
    </row>
    <row r="398" spans="1:7" ht="15">
      <c r="A398" s="99" t="s">
        <v>2413</v>
      </c>
      <c r="B398" s="98">
        <v>4</v>
      </c>
      <c r="C398" s="111">
        <v>0.007699581839881474</v>
      </c>
      <c r="D398" s="98" t="s">
        <v>911</v>
      </c>
      <c r="E398" s="98" t="b">
        <v>0</v>
      </c>
      <c r="F398" s="98" t="b">
        <v>0</v>
      </c>
      <c r="G398" s="98" t="b">
        <v>0</v>
      </c>
    </row>
    <row r="399" spans="1:7" ht="15">
      <c r="A399" s="99" t="s">
        <v>2414</v>
      </c>
      <c r="B399" s="98">
        <v>4</v>
      </c>
      <c r="C399" s="111">
        <v>0.007699581839881474</v>
      </c>
      <c r="D399" s="98" t="s">
        <v>911</v>
      </c>
      <c r="E399" s="98" t="b">
        <v>0</v>
      </c>
      <c r="F399" s="98" t="b">
        <v>0</v>
      </c>
      <c r="G399" s="98" t="b">
        <v>0</v>
      </c>
    </row>
    <row r="400" spans="1:7" ht="15">
      <c r="A400" s="99" t="s">
        <v>2415</v>
      </c>
      <c r="B400" s="98">
        <v>4</v>
      </c>
      <c r="C400" s="111">
        <v>0.007699581839881474</v>
      </c>
      <c r="D400" s="98" t="s">
        <v>911</v>
      </c>
      <c r="E400" s="98" t="b">
        <v>0</v>
      </c>
      <c r="F400" s="98" t="b">
        <v>0</v>
      </c>
      <c r="G400" s="98" t="b">
        <v>0</v>
      </c>
    </row>
    <row r="401" spans="1:7" ht="15">
      <c r="A401" s="99" t="s">
        <v>2416</v>
      </c>
      <c r="B401" s="98">
        <v>4</v>
      </c>
      <c r="C401" s="111">
        <v>0.007699581839881474</v>
      </c>
      <c r="D401" s="98" t="s">
        <v>911</v>
      </c>
      <c r="E401" s="98" t="b">
        <v>0</v>
      </c>
      <c r="F401" s="98" t="b">
        <v>0</v>
      </c>
      <c r="G401" s="98" t="b">
        <v>0</v>
      </c>
    </row>
    <row r="402" spans="1:7" ht="15">
      <c r="A402" s="99" t="s">
        <v>2417</v>
      </c>
      <c r="B402" s="98">
        <v>4</v>
      </c>
      <c r="C402" s="111">
        <v>0.007699581839881474</v>
      </c>
      <c r="D402" s="98" t="s">
        <v>911</v>
      </c>
      <c r="E402" s="98" t="b">
        <v>0</v>
      </c>
      <c r="F402" s="98" t="b">
        <v>0</v>
      </c>
      <c r="G402" s="98" t="b">
        <v>0</v>
      </c>
    </row>
    <row r="403" spans="1:7" ht="15">
      <c r="A403" s="99" t="s">
        <v>2418</v>
      </c>
      <c r="B403" s="98">
        <v>4</v>
      </c>
      <c r="C403" s="111">
        <v>0.007699581839881474</v>
      </c>
      <c r="D403" s="98" t="s">
        <v>911</v>
      </c>
      <c r="E403" s="98" t="b">
        <v>0</v>
      </c>
      <c r="F403" s="98" t="b">
        <v>0</v>
      </c>
      <c r="G403" s="98" t="b">
        <v>0</v>
      </c>
    </row>
    <row r="404" spans="1:7" ht="15">
      <c r="A404" s="99" t="s">
        <v>2419</v>
      </c>
      <c r="B404" s="98">
        <v>4</v>
      </c>
      <c r="C404" s="111">
        <v>0.007699581839881474</v>
      </c>
      <c r="D404" s="98" t="s">
        <v>911</v>
      </c>
      <c r="E404" s="98" t="b">
        <v>0</v>
      </c>
      <c r="F404" s="98" t="b">
        <v>0</v>
      </c>
      <c r="G404" s="98" t="b">
        <v>0</v>
      </c>
    </row>
    <row r="405" spans="1:7" ht="15">
      <c r="A405" s="99" t="s">
        <v>946</v>
      </c>
      <c r="B405" s="98">
        <v>4</v>
      </c>
      <c r="C405" s="111">
        <v>0.007699581839881474</v>
      </c>
      <c r="D405" s="98" t="s">
        <v>911</v>
      </c>
      <c r="E405" s="98" t="b">
        <v>0</v>
      </c>
      <c r="F405" s="98" t="b">
        <v>0</v>
      </c>
      <c r="G405" s="98" t="b">
        <v>0</v>
      </c>
    </row>
    <row r="406" spans="1:7" ht="15">
      <c r="A406" s="99" t="s">
        <v>947</v>
      </c>
      <c r="B406" s="98">
        <v>4</v>
      </c>
      <c r="C406" s="111">
        <v>0.007699581839881474</v>
      </c>
      <c r="D406" s="98" t="s">
        <v>911</v>
      </c>
      <c r="E406" s="98" t="b">
        <v>0</v>
      </c>
      <c r="F406" s="98" t="b">
        <v>0</v>
      </c>
      <c r="G406" s="98" t="b">
        <v>0</v>
      </c>
    </row>
    <row r="407" spans="1:7" ht="15">
      <c r="A407" s="99" t="s">
        <v>948</v>
      </c>
      <c r="B407" s="98">
        <v>4</v>
      </c>
      <c r="C407" s="111">
        <v>0.007699581839881474</v>
      </c>
      <c r="D407" s="98" t="s">
        <v>911</v>
      </c>
      <c r="E407" s="98" t="b">
        <v>0</v>
      </c>
      <c r="F407" s="98" t="b">
        <v>0</v>
      </c>
      <c r="G407" s="98" t="b">
        <v>0</v>
      </c>
    </row>
    <row r="408" spans="1:7" ht="15">
      <c r="A408" s="99" t="s">
        <v>939</v>
      </c>
      <c r="B408" s="98">
        <v>4</v>
      </c>
      <c r="C408" s="111">
        <v>0.007699581839881474</v>
      </c>
      <c r="D408" s="98" t="s">
        <v>911</v>
      </c>
      <c r="E408" s="98" t="b">
        <v>0</v>
      </c>
      <c r="F408" s="98" t="b">
        <v>0</v>
      </c>
      <c r="G408" s="98" t="b">
        <v>0</v>
      </c>
    </row>
    <row r="409" spans="1:7" ht="15">
      <c r="A409" s="99" t="s">
        <v>940</v>
      </c>
      <c r="B409" s="98">
        <v>4</v>
      </c>
      <c r="C409" s="111">
        <v>0.007699581839881474</v>
      </c>
      <c r="D409" s="98" t="s">
        <v>911</v>
      </c>
      <c r="E409" s="98" t="b">
        <v>0</v>
      </c>
      <c r="F409" s="98" t="b">
        <v>0</v>
      </c>
      <c r="G409" s="98" t="b">
        <v>0</v>
      </c>
    </row>
    <row r="410" spans="1:7" ht="15">
      <c r="A410" s="99" t="s">
        <v>941</v>
      </c>
      <c r="B410" s="98">
        <v>4</v>
      </c>
      <c r="C410" s="111">
        <v>0.007699581839881474</v>
      </c>
      <c r="D410" s="98" t="s">
        <v>911</v>
      </c>
      <c r="E410" s="98" t="b">
        <v>0</v>
      </c>
      <c r="F410" s="98" t="b">
        <v>0</v>
      </c>
      <c r="G410" s="98" t="b">
        <v>0</v>
      </c>
    </row>
    <row r="411" spans="1:7" ht="15">
      <c r="A411" s="99" t="s">
        <v>942</v>
      </c>
      <c r="B411" s="98">
        <v>4</v>
      </c>
      <c r="C411" s="111">
        <v>0.007699581839881474</v>
      </c>
      <c r="D411" s="98" t="s">
        <v>911</v>
      </c>
      <c r="E411" s="98" t="b">
        <v>0</v>
      </c>
      <c r="F411" s="98" t="b">
        <v>0</v>
      </c>
      <c r="G411" s="98" t="b">
        <v>0</v>
      </c>
    </row>
    <row r="412" spans="1:7" ht="15">
      <c r="A412" s="99" t="s">
        <v>938</v>
      </c>
      <c r="B412" s="98">
        <v>4</v>
      </c>
      <c r="C412" s="111">
        <v>0.007699581839881474</v>
      </c>
      <c r="D412" s="98" t="s">
        <v>911</v>
      </c>
      <c r="E412" s="98" t="b">
        <v>0</v>
      </c>
      <c r="F412" s="98" t="b">
        <v>0</v>
      </c>
      <c r="G412" s="98" t="b">
        <v>0</v>
      </c>
    </row>
    <row r="413" spans="1:7" ht="15">
      <c r="A413" s="99" t="s">
        <v>935</v>
      </c>
      <c r="B413" s="98">
        <v>4</v>
      </c>
      <c r="C413" s="111">
        <v>0.007699581839881474</v>
      </c>
      <c r="D413" s="98" t="s">
        <v>911</v>
      </c>
      <c r="E413" s="98" t="b">
        <v>0</v>
      </c>
      <c r="F413" s="98" t="b">
        <v>0</v>
      </c>
      <c r="G413" s="98" t="b">
        <v>0</v>
      </c>
    </row>
    <row r="414" spans="1:7" ht="15">
      <c r="A414" s="99" t="s">
        <v>943</v>
      </c>
      <c r="B414" s="98">
        <v>4</v>
      </c>
      <c r="C414" s="111">
        <v>0.007699581839881474</v>
      </c>
      <c r="D414" s="98" t="s">
        <v>911</v>
      </c>
      <c r="E414" s="98" t="b">
        <v>0</v>
      </c>
      <c r="F414" s="98" t="b">
        <v>0</v>
      </c>
      <c r="G414" s="98" t="b">
        <v>0</v>
      </c>
    </row>
    <row r="415" spans="1:7" ht="15">
      <c r="A415" s="99" t="s">
        <v>2394</v>
      </c>
      <c r="B415" s="98">
        <v>4</v>
      </c>
      <c r="C415" s="111">
        <v>0.007699581839881474</v>
      </c>
      <c r="D415" s="98" t="s">
        <v>911</v>
      </c>
      <c r="E415" s="98" t="b">
        <v>0</v>
      </c>
      <c r="F415" s="98" t="b">
        <v>0</v>
      </c>
      <c r="G415" s="98" t="b">
        <v>0</v>
      </c>
    </row>
    <row r="416" spans="1:7" ht="15">
      <c r="A416" s="99" t="s">
        <v>2395</v>
      </c>
      <c r="B416" s="98">
        <v>4</v>
      </c>
      <c r="C416" s="111">
        <v>0.007699581839881474</v>
      </c>
      <c r="D416" s="98" t="s">
        <v>911</v>
      </c>
      <c r="E416" s="98" t="b">
        <v>0</v>
      </c>
      <c r="F416" s="98" t="b">
        <v>0</v>
      </c>
      <c r="G416" s="98" t="b">
        <v>0</v>
      </c>
    </row>
    <row r="417" spans="1:7" ht="15">
      <c r="A417" s="99" t="s">
        <v>2396</v>
      </c>
      <c r="B417" s="98">
        <v>4</v>
      </c>
      <c r="C417" s="111">
        <v>0.007699581839881474</v>
      </c>
      <c r="D417" s="98" t="s">
        <v>911</v>
      </c>
      <c r="E417" s="98" t="b">
        <v>0</v>
      </c>
      <c r="F417" s="98" t="b">
        <v>0</v>
      </c>
      <c r="G417" s="98" t="b">
        <v>0</v>
      </c>
    </row>
    <row r="418" spans="1:7" ht="15">
      <c r="A418" s="99" t="s">
        <v>2397</v>
      </c>
      <c r="B418" s="98">
        <v>4</v>
      </c>
      <c r="C418" s="111">
        <v>0.007699581839881474</v>
      </c>
      <c r="D418" s="98" t="s">
        <v>911</v>
      </c>
      <c r="E418" s="98" t="b">
        <v>0</v>
      </c>
      <c r="F418" s="98" t="b">
        <v>0</v>
      </c>
      <c r="G418" s="98" t="b">
        <v>0</v>
      </c>
    </row>
    <row r="419" spans="1:7" ht="15">
      <c r="A419" s="99" t="s">
        <v>2398</v>
      </c>
      <c r="B419" s="98">
        <v>4</v>
      </c>
      <c r="C419" s="111">
        <v>0.007699581839881474</v>
      </c>
      <c r="D419" s="98" t="s">
        <v>911</v>
      </c>
      <c r="E419" s="98" t="b">
        <v>0</v>
      </c>
      <c r="F419" s="98" t="b">
        <v>0</v>
      </c>
      <c r="G419" s="98" t="b">
        <v>0</v>
      </c>
    </row>
    <row r="420" spans="1:7" ht="15">
      <c r="A420" s="99" t="s">
        <v>2399</v>
      </c>
      <c r="B420" s="98">
        <v>4</v>
      </c>
      <c r="C420" s="111">
        <v>0.007699581839881474</v>
      </c>
      <c r="D420" s="98" t="s">
        <v>911</v>
      </c>
      <c r="E420" s="98" t="b">
        <v>0</v>
      </c>
      <c r="F420" s="98" t="b">
        <v>0</v>
      </c>
      <c r="G420" s="98" t="b">
        <v>0</v>
      </c>
    </row>
    <row r="421" spans="1:7" ht="15">
      <c r="A421" s="99" t="s">
        <v>2400</v>
      </c>
      <c r="B421" s="98">
        <v>4</v>
      </c>
      <c r="C421" s="111">
        <v>0.007699581839881474</v>
      </c>
      <c r="D421" s="98" t="s">
        <v>911</v>
      </c>
      <c r="E421" s="98" t="b">
        <v>0</v>
      </c>
      <c r="F421" s="98" t="b">
        <v>0</v>
      </c>
      <c r="G421" s="98" t="b">
        <v>0</v>
      </c>
    </row>
    <row r="422" spans="1:7" ht="15">
      <c r="A422" s="99" t="s">
        <v>2401</v>
      </c>
      <c r="B422" s="98">
        <v>4</v>
      </c>
      <c r="C422" s="111">
        <v>0.007699581839881474</v>
      </c>
      <c r="D422" s="98" t="s">
        <v>911</v>
      </c>
      <c r="E422" s="98" t="b">
        <v>0</v>
      </c>
      <c r="F422" s="98" t="b">
        <v>0</v>
      </c>
      <c r="G422" s="98" t="b">
        <v>0</v>
      </c>
    </row>
    <row r="423" spans="1:7" ht="15">
      <c r="A423" s="99" t="s">
        <v>2402</v>
      </c>
      <c r="B423" s="98">
        <v>4</v>
      </c>
      <c r="C423" s="111">
        <v>0.007699581839881474</v>
      </c>
      <c r="D423" s="98" t="s">
        <v>911</v>
      </c>
      <c r="E423" s="98" t="b">
        <v>0</v>
      </c>
      <c r="F423" s="98" t="b">
        <v>0</v>
      </c>
      <c r="G423" s="98" t="b">
        <v>0</v>
      </c>
    </row>
    <row r="424" spans="1:7" ht="15">
      <c r="A424" s="99" t="s">
        <v>2403</v>
      </c>
      <c r="B424" s="98">
        <v>4</v>
      </c>
      <c r="C424" s="111">
        <v>0.007699581839881474</v>
      </c>
      <c r="D424" s="98" t="s">
        <v>911</v>
      </c>
      <c r="E424" s="98" t="b">
        <v>0</v>
      </c>
      <c r="F424" s="98" t="b">
        <v>0</v>
      </c>
      <c r="G424" s="98" t="b">
        <v>0</v>
      </c>
    </row>
    <row r="425" spans="1:7" ht="15">
      <c r="A425" s="99" t="s">
        <v>2404</v>
      </c>
      <c r="B425" s="98">
        <v>4</v>
      </c>
      <c r="C425" s="111">
        <v>0.007699581839881474</v>
      </c>
      <c r="D425" s="98" t="s">
        <v>911</v>
      </c>
      <c r="E425" s="98" t="b">
        <v>0</v>
      </c>
      <c r="F425" s="98" t="b">
        <v>0</v>
      </c>
      <c r="G425" s="98" t="b">
        <v>0</v>
      </c>
    </row>
    <row r="426" spans="1:7" ht="15">
      <c r="A426" s="99" t="s">
        <v>985</v>
      </c>
      <c r="B426" s="98">
        <v>3</v>
      </c>
      <c r="C426" s="111">
        <v>0.0065859768773676</v>
      </c>
      <c r="D426" s="98" t="s">
        <v>911</v>
      </c>
      <c r="E426" s="98" t="b">
        <v>0</v>
      </c>
      <c r="F426" s="98" t="b">
        <v>0</v>
      </c>
      <c r="G426" s="98" t="b">
        <v>0</v>
      </c>
    </row>
    <row r="427" spans="1:7" ht="15">
      <c r="A427" s="99" t="s">
        <v>950</v>
      </c>
      <c r="B427" s="98">
        <v>3</v>
      </c>
      <c r="C427" s="111">
        <v>0.0065859768773676</v>
      </c>
      <c r="D427" s="98" t="s">
        <v>911</v>
      </c>
      <c r="E427" s="98" t="b">
        <v>0</v>
      </c>
      <c r="F427" s="98" t="b">
        <v>0</v>
      </c>
      <c r="G427" s="98" t="b">
        <v>0</v>
      </c>
    </row>
    <row r="428" spans="1:7" ht="15">
      <c r="A428" s="99" t="s">
        <v>303</v>
      </c>
      <c r="B428" s="98">
        <v>3</v>
      </c>
      <c r="C428" s="111">
        <v>0.0065859768773676</v>
      </c>
      <c r="D428" s="98" t="s">
        <v>911</v>
      </c>
      <c r="E428" s="98" t="b">
        <v>0</v>
      </c>
      <c r="F428" s="98" t="b">
        <v>0</v>
      </c>
      <c r="G428" s="98" t="b">
        <v>0</v>
      </c>
    </row>
    <row r="429" spans="1:7" ht="15">
      <c r="A429" s="99" t="s">
        <v>951</v>
      </c>
      <c r="B429" s="98">
        <v>3</v>
      </c>
      <c r="C429" s="111">
        <v>0.0065859768773676</v>
      </c>
      <c r="D429" s="98" t="s">
        <v>911</v>
      </c>
      <c r="E429" s="98" t="b">
        <v>0</v>
      </c>
      <c r="F429" s="98" t="b">
        <v>0</v>
      </c>
      <c r="G429" s="98" t="b">
        <v>0</v>
      </c>
    </row>
    <row r="430" spans="1:7" ht="15">
      <c r="A430" s="99" t="s">
        <v>952</v>
      </c>
      <c r="B430" s="98">
        <v>3</v>
      </c>
      <c r="C430" s="111">
        <v>0.0065859768773676</v>
      </c>
      <c r="D430" s="98" t="s">
        <v>911</v>
      </c>
      <c r="E430" s="98" t="b">
        <v>0</v>
      </c>
      <c r="F430" s="98" t="b">
        <v>0</v>
      </c>
      <c r="G430" s="98" t="b">
        <v>0</v>
      </c>
    </row>
    <row r="431" spans="1:7" ht="15">
      <c r="A431" s="99" t="s">
        <v>953</v>
      </c>
      <c r="B431" s="98">
        <v>3</v>
      </c>
      <c r="C431" s="111">
        <v>0.0065859768773676</v>
      </c>
      <c r="D431" s="98" t="s">
        <v>911</v>
      </c>
      <c r="E431" s="98" t="b">
        <v>0</v>
      </c>
      <c r="F431" s="98" t="b">
        <v>0</v>
      </c>
      <c r="G431" s="98" t="b">
        <v>0</v>
      </c>
    </row>
    <row r="432" spans="1:7" ht="15">
      <c r="A432" s="99" t="s">
        <v>954</v>
      </c>
      <c r="B432" s="98">
        <v>3</v>
      </c>
      <c r="C432" s="111">
        <v>0.0065859768773676</v>
      </c>
      <c r="D432" s="98" t="s">
        <v>911</v>
      </c>
      <c r="E432" s="98" t="b">
        <v>0</v>
      </c>
      <c r="F432" s="98" t="b">
        <v>0</v>
      </c>
      <c r="G432" s="98" t="b">
        <v>0</v>
      </c>
    </row>
    <row r="433" spans="1:7" ht="15">
      <c r="A433" s="99" t="s">
        <v>955</v>
      </c>
      <c r="B433" s="98">
        <v>3</v>
      </c>
      <c r="C433" s="111">
        <v>0.0065859768773676</v>
      </c>
      <c r="D433" s="98" t="s">
        <v>911</v>
      </c>
      <c r="E433" s="98" t="b">
        <v>0</v>
      </c>
      <c r="F433" s="98" t="b">
        <v>0</v>
      </c>
      <c r="G433" s="98" t="b">
        <v>0</v>
      </c>
    </row>
    <row r="434" spans="1:7" ht="15">
      <c r="A434" s="99" t="s">
        <v>956</v>
      </c>
      <c r="B434" s="98">
        <v>3</v>
      </c>
      <c r="C434" s="111">
        <v>0.0065859768773676</v>
      </c>
      <c r="D434" s="98" t="s">
        <v>911</v>
      </c>
      <c r="E434" s="98" t="b">
        <v>0</v>
      </c>
      <c r="F434" s="98" t="b">
        <v>0</v>
      </c>
      <c r="G434" s="98" t="b">
        <v>0</v>
      </c>
    </row>
    <row r="435" spans="1:7" ht="15">
      <c r="A435" s="99" t="s">
        <v>957</v>
      </c>
      <c r="B435" s="98">
        <v>3</v>
      </c>
      <c r="C435" s="111">
        <v>0.0065859768773676</v>
      </c>
      <c r="D435" s="98" t="s">
        <v>911</v>
      </c>
      <c r="E435" s="98" t="b">
        <v>0</v>
      </c>
      <c r="F435" s="98" t="b">
        <v>0</v>
      </c>
      <c r="G435" s="98" t="b">
        <v>0</v>
      </c>
    </row>
    <row r="436" spans="1:7" ht="15">
      <c r="A436" s="99" t="s">
        <v>958</v>
      </c>
      <c r="B436" s="98">
        <v>3</v>
      </c>
      <c r="C436" s="111">
        <v>0.0065859768773676</v>
      </c>
      <c r="D436" s="98" t="s">
        <v>911</v>
      </c>
      <c r="E436" s="98" t="b">
        <v>0</v>
      </c>
      <c r="F436" s="98" t="b">
        <v>0</v>
      </c>
      <c r="G436" s="98" t="b">
        <v>0</v>
      </c>
    </row>
    <row r="437" spans="1:7" ht="15">
      <c r="A437" s="99" t="s">
        <v>1048</v>
      </c>
      <c r="B437" s="98">
        <v>3</v>
      </c>
      <c r="C437" s="111">
        <v>0.0065859768773676</v>
      </c>
      <c r="D437" s="98" t="s">
        <v>911</v>
      </c>
      <c r="E437" s="98" t="b">
        <v>0</v>
      </c>
      <c r="F437" s="98" t="b">
        <v>0</v>
      </c>
      <c r="G437" s="98" t="b">
        <v>0</v>
      </c>
    </row>
    <row r="438" spans="1:7" ht="15">
      <c r="A438" s="99" t="s">
        <v>260</v>
      </c>
      <c r="B438" s="98">
        <v>3</v>
      </c>
      <c r="C438" s="111">
        <v>0.0065859768773676</v>
      </c>
      <c r="D438" s="98" t="s">
        <v>911</v>
      </c>
      <c r="E438" s="98" t="b">
        <v>0</v>
      </c>
      <c r="F438" s="98" t="b">
        <v>0</v>
      </c>
      <c r="G438" s="98" t="b">
        <v>0</v>
      </c>
    </row>
    <row r="439" spans="1:7" ht="15">
      <c r="A439" s="99" t="s">
        <v>987</v>
      </c>
      <c r="B439" s="98">
        <v>2</v>
      </c>
      <c r="C439" s="111">
        <v>0.005152951074330266</v>
      </c>
      <c r="D439" s="98" t="s">
        <v>911</v>
      </c>
      <c r="E439" s="98" t="b">
        <v>0</v>
      </c>
      <c r="F439" s="98" t="b">
        <v>0</v>
      </c>
      <c r="G439" s="98" t="b">
        <v>0</v>
      </c>
    </row>
    <row r="440" spans="1:7" ht="15">
      <c r="A440" s="99" t="s">
        <v>988</v>
      </c>
      <c r="B440" s="98">
        <v>2</v>
      </c>
      <c r="C440" s="111">
        <v>0.005152951074330266</v>
      </c>
      <c r="D440" s="98" t="s">
        <v>911</v>
      </c>
      <c r="E440" s="98" t="b">
        <v>0</v>
      </c>
      <c r="F440" s="98" t="b">
        <v>0</v>
      </c>
      <c r="G440" s="98" t="b">
        <v>0</v>
      </c>
    </row>
    <row r="441" spans="1:7" ht="15">
      <c r="A441" s="99" t="s">
        <v>989</v>
      </c>
      <c r="B441" s="98">
        <v>2</v>
      </c>
      <c r="C441" s="111">
        <v>0.005152951074330266</v>
      </c>
      <c r="D441" s="98" t="s">
        <v>911</v>
      </c>
      <c r="E441" s="98" t="b">
        <v>0</v>
      </c>
      <c r="F441" s="98" t="b">
        <v>0</v>
      </c>
      <c r="G441" s="98" t="b">
        <v>0</v>
      </c>
    </row>
    <row r="442" spans="1:7" ht="15">
      <c r="A442" s="99" t="s">
        <v>990</v>
      </c>
      <c r="B442" s="98">
        <v>2</v>
      </c>
      <c r="C442" s="111">
        <v>0.005152951074330266</v>
      </c>
      <c r="D442" s="98" t="s">
        <v>911</v>
      </c>
      <c r="E442" s="98" t="b">
        <v>0</v>
      </c>
      <c r="F442" s="98" t="b">
        <v>0</v>
      </c>
      <c r="G442" s="98" t="b">
        <v>0</v>
      </c>
    </row>
    <row r="443" spans="1:7" ht="15">
      <c r="A443" s="99" t="s">
        <v>991</v>
      </c>
      <c r="B443" s="98">
        <v>2</v>
      </c>
      <c r="C443" s="111">
        <v>0.005152951074330266</v>
      </c>
      <c r="D443" s="98" t="s">
        <v>911</v>
      </c>
      <c r="E443" s="98" t="b">
        <v>0</v>
      </c>
      <c r="F443" s="98" t="b">
        <v>0</v>
      </c>
      <c r="G443" s="98" t="b">
        <v>0</v>
      </c>
    </row>
    <row r="444" spans="1:7" ht="15">
      <c r="A444" s="99" t="s">
        <v>992</v>
      </c>
      <c r="B444" s="98">
        <v>2</v>
      </c>
      <c r="C444" s="111">
        <v>0.005152951074330266</v>
      </c>
      <c r="D444" s="98" t="s">
        <v>911</v>
      </c>
      <c r="E444" s="98" t="b">
        <v>0</v>
      </c>
      <c r="F444" s="98" t="b">
        <v>0</v>
      </c>
      <c r="G444" s="98" t="b">
        <v>0</v>
      </c>
    </row>
    <row r="445" spans="1:7" ht="15">
      <c r="A445" s="99" t="s">
        <v>993</v>
      </c>
      <c r="B445" s="98">
        <v>2</v>
      </c>
      <c r="C445" s="111">
        <v>0.005152951074330266</v>
      </c>
      <c r="D445" s="98" t="s">
        <v>911</v>
      </c>
      <c r="E445" s="98" t="b">
        <v>0</v>
      </c>
      <c r="F445" s="98" t="b">
        <v>0</v>
      </c>
      <c r="G445" s="98" t="b">
        <v>0</v>
      </c>
    </row>
    <row r="446" spans="1:7" ht="15">
      <c r="A446" s="99" t="s">
        <v>994</v>
      </c>
      <c r="B446" s="98">
        <v>2</v>
      </c>
      <c r="C446" s="111">
        <v>0.005152951074330266</v>
      </c>
      <c r="D446" s="98" t="s">
        <v>911</v>
      </c>
      <c r="E446" s="98" t="b">
        <v>0</v>
      </c>
      <c r="F446" s="98" t="b">
        <v>0</v>
      </c>
      <c r="G446" s="98" t="b">
        <v>0</v>
      </c>
    </row>
    <row r="447" spans="1:7" ht="15">
      <c r="A447" s="99" t="s">
        <v>995</v>
      </c>
      <c r="B447" s="98">
        <v>2</v>
      </c>
      <c r="C447" s="111">
        <v>0.005152951074330266</v>
      </c>
      <c r="D447" s="98" t="s">
        <v>911</v>
      </c>
      <c r="E447" s="98" t="b">
        <v>0</v>
      </c>
      <c r="F447" s="98" t="b">
        <v>0</v>
      </c>
      <c r="G447" s="98" t="b">
        <v>0</v>
      </c>
    </row>
    <row r="448" spans="1:7" ht="15">
      <c r="A448" s="99" t="s">
        <v>999</v>
      </c>
      <c r="B448" s="98">
        <v>2</v>
      </c>
      <c r="C448" s="111">
        <v>0.005152951074330266</v>
      </c>
      <c r="D448" s="98" t="s">
        <v>911</v>
      </c>
      <c r="E448" s="98" t="b">
        <v>0</v>
      </c>
      <c r="F448" s="98" t="b">
        <v>0</v>
      </c>
      <c r="G448" s="98" t="b">
        <v>0</v>
      </c>
    </row>
    <row r="449" spans="1:7" ht="15">
      <c r="A449" s="99" t="s">
        <v>295</v>
      </c>
      <c r="B449" s="98">
        <v>2</v>
      </c>
      <c r="C449" s="111">
        <v>0.005152951074330266</v>
      </c>
      <c r="D449" s="98" t="s">
        <v>911</v>
      </c>
      <c r="E449" s="98" t="b">
        <v>0</v>
      </c>
      <c r="F449" s="98" t="b">
        <v>0</v>
      </c>
      <c r="G449" s="98" t="b">
        <v>0</v>
      </c>
    </row>
    <row r="450" spans="1:7" ht="15">
      <c r="A450" s="99" t="s">
        <v>2391</v>
      </c>
      <c r="B450" s="98">
        <v>2</v>
      </c>
      <c r="C450" s="111">
        <v>0.006456111228719795</v>
      </c>
      <c r="D450" s="98" t="s">
        <v>911</v>
      </c>
      <c r="E450" s="98" t="b">
        <v>0</v>
      </c>
      <c r="F450" s="98" t="b">
        <v>0</v>
      </c>
      <c r="G450" s="98" t="b">
        <v>0</v>
      </c>
    </row>
    <row r="451" spans="1:7" ht="15">
      <c r="A451" s="99" t="s">
        <v>1045</v>
      </c>
      <c r="B451" s="98">
        <v>2</v>
      </c>
      <c r="C451" s="111">
        <v>0.005152951074330266</v>
      </c>
      <c r="D451" s="98" t="s">
        <v>911</v>
      </c>
      <c r="E451" s="98" t="b">
        <v>0</v>
      </c>
      <c r="F451" s="98" t="b">
        <v>0</v>
      </c>
      <c r="G451" s="98" t="b">
        <v>0</v>
      </c>
    </row>
    <row r="452" spans="1:7" ht="15">
      <c r="A452" s="99" t="s">
        <v>1046</v>
      </c>
      <c r="B452" s="98">
        <v>2</v>
      </c>
      <c r="C452" s="111">
        <v>0.005152951074330266</v>
      </c>
      <c r="D452" s="98" t="s">
        <v>911</v>
      </c>
      <c r="E452" s="98" t="b">
        <v>0</v>
      </c>
      <c r="F452" s="98" t="b">
        <v>0</v>
      </c>
      <c r="G452" s="98" t="b">
        <v>0</v>
      </c>
    </row>
    <row r="453" spans="1:7" ht="15">
      <c r="A453" s="99" t="s">
        <v>1047</v>
      </c>
      <c r="B453" s="98">
        <v>2</v>
      </c>
      <c r="C453" s="111">
        <v>0.005152951074330266</v>
      </c>
      <c r="D453" s="98" t="s">
        <v>911</v>
      </c>
      <c r="E453" s="98" t="b">
        <v>0</v>
      </c>
      <c r="F453" s="98" t="b">
        <v>0</v>
      </c>
      <c r="G453" s="98" t="b">
        <v>0</v>
      </c>
    </row>
    <row r="454" spans="1:7" ht="15">
      <c r="A454" s="99" t="s">
        <v>1049</v>
      </c>
      <c r="B454" s="98">
        <v>2</v>
      </c>
      <c r="C454" s="111">
        <v>0.005152951074330266</v>
      </c>
      <c r="D454" s="98" t="s">
        <v>911</v>
      </c>
      <c r="E454" s="98" t="b">
        <v>0</v>
      </c>
      <c r="F454" s="98" t="b">
        <v>0</v>
      </c>
      <c r="G454" s="98" t="b">
        <v>0</v>
      </c>
    </row>
    <row r="455" spans="1:7" ht="15">
      <c r="A455" s="99" t="s">
        <v>930</v>
      </c>
      <c r="B455" s="98">
        <v>3</v>
      </c>
      <c r="C455" s="111">
        <v>0.02426040278235572</v>
      </c>
      <c r="D455" s="98" t="s">
        <v>912</v>
      </c>
      <c r="E455" s="98" t="b">
        <v>0</v>
      </c>
      <c r="F455" s="98" t="b">
        <v>0</v>
      </c>
      <c r="G455" s="98" t="b">
        <v>0</v>
      </c>
    </row>
    <row r="456" spans="1:7" ht="15">
      <c r="A456" s="99" t="s">
        <v>933</v>
      </c>
      <c r="B456" s="98">
        <v>2</v>
      </c>
      <c r="C456" s="111">
        <v>0.01617360185490381</v>
      </c>
      <c r="D456" s="98" t="s">
        <v>912</v>
      </c>
      <c r="E456" s="98" t="b">
        <v>0</v>
      </c>
      <c r="F456" s="98" t="b">
        <v>0</v>
      </c>
      <c r="G456" s="98" t="b">
        <v>0</v>
      </c>
    </row>
    <row r="457" spans="1:7" ht="15">
      <c r="A457" s="99" t="s">
        <v>932</v>
      </c>
      <c r="B457" s="98">
        <v>2</v>
      </c>
      <c r="C457" s="111">
        <v>0.01617360185490381</v>
      </c>
      <c r="D457" s="98" t="s">
        <v>912</v>
      </c>
      <c r="E457" s="98" t="b">
        <v>0</v>
      </c>
      <c r="F457" s="98" t="b">
        <v>0</v>
      </c>
      <c r="G457" s="98" t="b">
        <v>0</v>
      </c>
    </row>
    <row r="458" spans="1:7" ht="15">
      <c r="A458" s="99" t="s">
        <v>966</v>
      </c>
      <c r="B458" s="98">
        <v>2</v>
      </c>
      <c r="C458" s="111">
        <v>0.01617360185490381</v>
      </c>
      <c r="D458" s="98" t="s">
        <v>912</v>
      </c>
      <c r="E458" s="98" t="b">
        <v>0</v>
      </c>
      <c r="F458" s="98" t="b">
        <v>0</v>
      </c>
      <c r="G458" s="98" t="b">
        <v>0</v>
      </c>
    </row>
    <row r="459" spans="1:7" ht="15">
      <c r="A459" s="99" t="s">
        <v>945</v>
      </c>
      <c r="B459" s="98">
        <v>2</v>
      </c>
      <c r="C459" s="111">
        <v>0.01617360185490381</v>
      </c>
      <c r="D459" s="98" t="s">
        <v>912</v>
      </c>
      <c r="E459" s="98" t="b">
        <v>0</v>
      </c>
      <c r="F459" s="98" t="b">
        <v>0</v>
      </c>
      <c r="G459" s="98" t="b">
        <v>0</v>
      </c>
    </row>
    <row r="460" spans="1:7" ht="15">
      <c r="A460" s="99" t="s">
        <v>2431</v>
      </c>
      <c r="B460" s="98">
        <v>2</v>
      </c>
      <c r="C460" s="111">
        <v>0</v>
      </c>
      <c r="D460" s="98" t="s">
        <v>2361</v>
      </c>
      <c r="E460" s="98" t="b">
        <v>0</v>
      </c>
      <c r="F460" s="98" t="b">
        <v>0</v>
      </c>
      <c r="G460" s="98" t="b">
        <v>0</v>
      </c>
    </row>
    <row r="461" spans="1:7" ht="15">
      <c r="A461" s="99" t="s">
        <v>2432</v>
      </c>
      <c r="B461" s="98">
        <v>2</v>
      </c>
      <c r="C461" s="111">
        <v>0</v>
      </c>
      <c r="D461" s="98" t="s">
        <v>2361</v>
      </c>
      <c r="E461" s="98" t="b">
        <v>0</v>
      </c>
      <c r="F461" s="98" t="b">
        <v>0</v>
      </c>
      <c r="G461" s="98" t="b">
        <v>0</v>
      </c>
    </row>
    <row r="462" spans="1:7" ht="15">
      <c r="A462" s="99" t="s">
        <v>2433</v>
      </c>
      <c r="B462" s="98">
        <v>2</v>
      </c>
      <c r="C462" s="111">
        <v>0</v>
      </c>
      <c r="D462" s="98" t="s">
        <v>2361</v>
      </c>
      <c r="E462" s="98" t="b">
        <v>0</v>
      </c>
      <c r="F462" s="98" t="b">
        <v>0</v>
      </c>
      <c r="G462" s="98" t="b">
        <v>0</v>
      </c>
    </row>
    <row r="463" spans="1:7" ht="15">
      <c r="A463" s="99" t="s">
        <v>2429</v>
      </c>
      <c r="B463" s="98">
        <v>2</v>
      </c>
      <c r="C463" s="111">
        <v>0</v>
      </c>
      <c r="D463" s="98" t="s">
        <v>2361</v>
      </c>
      <c r="E463" s="98" t="b">
        <v>0</v>
      </c>
      <c r="F463" s="98" t="b">
        <v>0</v>
      </c>
      <c r="G463" s="98" t="b">
        <v>0</v>
      </c>
    </row>
    <row r="464" spans="1:7" ht="15">
      <c r="A464" s="99" t="s">
        <v>2434</v>
      </c>
      <c r="B464" s="98">
        <v>2</v>
      </c>
      <c r="C464" s="111">
        <v>0</v>
      </c>
      <c r="D464" s="98" t="s">
        <v>2361</v>
      </c>
      <c r="E464" s="98" t="b">
        <v>0</v>
      </c>
      <c r="F464" s="98" t="b">
        <v>0</v>
      </c>
      <c r="G464" s="98" t="b">
        <v>0</v>
      </c>
    </row>
    <row r="465" spans="1:7" ht="15">
      <c r="A465" s="99" t="s">
        <v>2435</v>
      </c>
      <c r="B465" s="98">
        <v>2</v>
      </c>
      <c r="C465" s="111">
        <v>0</v>
      </c>
      <c r="D465" s="98" t="s">
        <v>2361</v>
      </c>
      <c r="E465" s="98" t="b">
        <v>0</v>
      </c>
      <c r="F465" s="98" t="b">
        <v>0</v>
      </c>
      <c r="G465" s="98" t="b">
        <v>0</v>
      </c>
    </row>
    <row r="466" spans="1:7" ht="15">
      <c r="A466" s="99" t="s">
        <v>931</v>
      </c>
      <c r="B466" s="98">
        <v>2</v>
      </c>
      <c r="C466" s="111">
        <v>0</v>
      </c>
      <c r="D466" s="98" t="s">
        <v>2361</v>
      </c>
      <c r="E466" s="98" t="b">
        <v>0</v>
      </c>
      <c r="F466" s="98" t="b">
        <v>0</v>
      </c>
      <c r="G466" s="98" t="b">
        <v>0</v>
      </c>
    </row>
    <row r="467" spans="1:7" ht="15">
      <c r="A467" s="99" t="s">
        <v>1206</v>
      </c>
      <c r="B467" s="98">
        <v>2</v>
      </c>
      <c r="C467" s="111">
        <v>0</v>
      </c>
      <c r="D467" s="98" t="s">
        <v>2361</v>
      </c>
      <c r="E467" s="98" t="b">
        <v>0</v>
      </c>
      <c r="F467" s="98" t="b">
        <v>0</v>
      </c>
      <c r="G467" s="98" t="b">
        <v>0</v>
      </c>
    </row>
    <row r="468" spans="1:7" ht="15">
      <c r="A468" s="99" t="s">
        <v>945</v>
      </c>
      <c r="B468" s="98">
        <v>2</v>
      </c>
      <c r="C468" s="111">
        <v>0</v>
      </c>
      <c r="D468" s="98" t="s">
        <v>2361</v>
      </c>
      <c r="E468" s="98" t="b">
        <v>0</v>
      </c>
      <c r="F468" s="98" t="b">
        <v>0</v>
      </c>
      <c r="G468" s="98" t="b">
        <v>0</v>
      </c>
    </row>
    <row r="469" spans="1:7" ht="15">
      <c r="A469" s="99" t="s">
        <v>980</v>
      </c>
      <c r="B469" s="98">
        <v>2</v>
      </c>
      <c r="C469" s="111">
        <v>0</v>
      </c>
      <c r="D469" s="98" t="s">
        <v>2361</v>
      </c>
      <c r="E469" s="98" t="b">
        <v>0</v>
      </c>
      <c r="F469" s="98" t="b">
        <v>0</v>
      </c>
      <c r="G469" s="98" t="b">
        <v>0</v>
      </c>
    </row>
    <row r="470" spans="1:7" ht="15">
      <c r="A470" s="99" t="s">
        <v>966</v>
      </c>
      <c r="B470" s="98">
        <v>2</v>
      </c>
      <c r="C470" s="111">
        <v>0</v>
      </c>
      <c r="D470" s="98" t="s">
        <v>2361</v>
      </c>
      <c r="E470" s="98" t="b">
        <v>0</v>
      </c>
      <c r="F470" s="98" t="b">
        <v>0</v>
      </c>
      <c r="G470" s="98" t="b">
        <v>0</v>
      </c>
    </row>
    <row r="471" spans="1:7" ht="15">
      <c r="A471" s="99" t="s">
        <v>2436</v>
      </c>
      <c r="B471" s="98">
        <v>2</v>
      </c>
      <c r="C471" s="111">
        <v>0</v>
      </c>
      <c r="D471" s="98" t="s">
        <v>2361</v>
      </c>
      <c r="E471" s="98" t="b">
        <v>0</v>
      </c>
      <c r="F471" s="98" t="b">
        <v>0</v>
      </c>
      <c r="G471" s="98" t="b">
        <v>0</v>
      </c>
    </row>
    <row r="472" spans="1:7" ht="15">
      <c r="A472" s="99" t="s">
        <v>2437</v>
      </c>
      <c r="B472" s="98">
        <v>2</v>
      </c>
      <c r="C472" s="111">
        <v>0</v>
      </c>
      <c r="D472" s="98" t="s">
        <v>2361</v>
      </c>
      <c r="E472" s="98" t="b">
        <v>0</v>
      </c>
      <c r="F472" s="98" t="b">
        <v>0</v>
      </c>
      <c r="G472" s="98" t="b">
        <v>0</v>
      </c>
    </row>
    <row r="473" spans="1:7" ht="15">
      <c r="A473" s="99" t="s">
        <v>2430</v>
      </c>
      <c r="B473" s="98">
        <v>2</v>
      </c>
      <c r="C473" s="111">
        <v>0</v>
      </c>
      <c r="D473" s="98" t="s">
        <v>2361</v>
      </c>
      <c r="E473" s="98" t="b">
        <v>0</v>
      </c>
      <c r="F473" s="98" t="b">
        <v>0</v>
      </c>
      <c r="G473" s="98" t="b">
        <v>0</v>
      </c>
    </row>
    <row r="474" spans="1:7" ht="15">
      <c r="A474" s="99" t="s">
        <v>2438</v>
      </c>
      <c r="B474" s="98">
        <v>2</v>
      </c>
      <c r="C474" s="111">
        <v>0</v>
      </c>
      <c r="D474" s="98" t="s">
        <v>2361</v>
      </c>
      <c r="E474" s="98" t="b">
        <v>0</v>
      </c>
      <c r="F474" s="98" t="b">
        <v>0</v>
      </c>
      <c r="G474" s="98" t="b">
        <v>0</v>
      </c>
    </row>
    <row r="475" spans="1:7" ht="15">
      <c r="A475" s="99" t="s">
        <v>984</v>
      </c>
      <c r="B475" s="98">
        <v>2</v>
      </c>
      <c r="C475" s="111">
        <v>0</v>
      </c>
      <c r="D475" s="98" t="s">
        <v>2361</v>
      </c>
      <c r="E475" s="98" t="b">
        <v>0</v>
      </c>
      <c r="F475" s="98" t="b">
        <v>0</v>
      </c>
      <c r="G475" s="98" t="b">
        <v>0</v>
      </c>
    </row>
    <row r="476" spans="1:7" ht="15">
      <c r="A476" s="99" t="s">
        <v>930</v>
      </c>
      <c r="B476" s="98">
        <v>2</v>
      </c>
      <c r="C476" s="111">
        <v>0</v>
      </c>
      <c r="D476" s="98" t="s">
        <v>2362</v>
      </c>
      <c r="E476" s="98" t="b">
        <v>0</v>
      </c>
      <c r="F476" s="98" t="b">
        <v>0</v>
      </c>
      <c r="G476" s="98" t="b">
        <v>0</v>
      </c>
    </row>
    <row r="477" spans="1:7" ht="15">
      <c r="A477" s="99" t="s">
        <v>933</v>
      </c>
      <c r="B477" s="98">
        <v>2</v>
      </c>
      <c r="C477" s="111">
        <v>0</v>
      </c>
      <c r="D477" s="98" t="s">
        <v>2362</v>
      </c>
      <c r="E477" s="98" t="b">
        <v>0</v>
      </c>
      <c r="F477" s="98" t="b">
        <v>0</v>
      </c>
      <c r="G477" s="98" t="b">
        <v>0</v>
      </c>
    </row>
    <row r="478" spans="1:7" ht="15">
      <c r="A478" s="99" t="s">
        <v>966</v>
      </c>
      <c r="B478" s="98">
        <v>2</v>
      </c>
      <c r="C478" s="111">
        <v>0</v>
      </c>
      <c r="D478" s="98" t="s">
        <v>2362</v>
      </c>
      <c r="E478" s="98" t="b">
        <v>0</v>
      </c>
      <c r="F478" s="98" t="b">
        <v>0</v>
      </c>
      <c r="G478" s="98" t="b">
        <v>0</v>
      </c>
    </row>
    <row r="479" spans="1:7" ht="15">
      <c r="A479" s="99" t="s">
        <v>948</v>
      </c>
      <c r="B479" s="98">
        <v>2</v>
      </c>
      <c r="C479" s="111">
        <v>0</v>
      </c>
      <c r="D479" s="98" t="s">
        <v>2362</v>
      </c>
      <c r="E479" s="98" t="b">
        <v>0</v>
      </c>
      <c r="F479" s="98" t="b">
        <v>0</v>
      </c>
      <c r="G479" s="98" t="b">
        <v>0</v>
      </c>
    </row>
    <row r="480" spans="1:7" ht="15">
      <c r="A480" s="99" t="s">
        <v>959</v>
      </c>
      <c r="B480" s="98">
        <v>2</v>
      </c>
      <c r="C480" s="111">
        <v>0</v>
      </c>
      <c r="D480" s="98" t="s">
        <v>2362</v>
      </c>
      <c r="E480" s="98" t="b">
        <v>0</v>
      </c>
      <c r="F480" s="98" t="b">
        <v>0</v>
      </c>
      <c r="G480" s="98" t="b">
        <v>0</v>
      </c>
    </row>
    <row r="481" spans="1:7" ht="15">
      <c r="A481" s="99" t="s">
        <v>960</v>
      </c>
      <c r="B481" s="98">
        <v>2</v>
      </c>
      <c r="C481" s="111">
        <v>0</v>
      </c>
      <c r="D481" s="98" t="s">
        <v>2362</v>
      </c>
      <c r="E481" s="98" t="b">
        <v>0</v>
      </c>
      <c r="F481" s="98" t="b">
        <v>0</v>
      </c>
      <c r="G481" s="98" t="b">
        <v>0</v>
      </c>
    </row>
    <row r="482" spans="1:7" ht="15">
      <c r="A482" s="99" t="s">
        <v>961</v>
      </c>
      <c r="B482" s="98">
        <v>2</v>
      </c>
      <c r="C482" s="111">
        <v>0</v>
      </c>
      <c r="D482" s="98" t="s">
        <v>2362</v>
      </c>
      <c r="E482" s="98" t="b">
        <v>0</v>
      </c>
      <c r="F482" s="98" t="b">
        <v>0</v>
      </c>
      <c r="G482" s="98" t="b">
        <v>0</v>
      </c>
    </row>
    <row r="483" spans="1:7" ht="15">
      <c r="A483" s="99" t="s">
        <v>962</v>
      </c>
      <c r="B483" s="98">
        <v>2</v>
      </c>
      <c r="C483" s="111">
        <v>0</v>
      </c>
      <c r="D483" s="98" t="s">
        <v>2362</v>
      </c>
      <c r="E483" s="98" t="b">
        <v>0</v>
      </c>
      <c r="F483" s="98" t="b">
        <v>0</v>
      </c>
      <c r="G483" s="98" t="b">
        <v>0</v>
      </c>
    </row>
    <row r="484" spans="1:7" ht="15">
      <c r="A484" s="99" t="s">
        <v>963</v>
      </c>
      <c r="B484" s="98">
        <v>2</v>
      </c>
      <c r="C484" s="111">
        <v>0</v>
      </c>
      <c r="D484" s="98" t="s">
        <v>2362</v>
      </c>
      <c r="E484" s="98" t="b">
        <v>0</v>
      </c>
      <c r="F484" s="98" t="b">
        <v>0</v>
      </c>
      <c r="G484" s="98" t="b">
        <v>0</v>
      </c>
    </row>
    <row r="485" spans="1:7" ht="15">
      <c r="A485" s="99" t="s">
        <v>964</v>
      </c>
      <c r="B485" s="98">
        <v>2</v>
      </c>
      <c r="C485" s="111">
        <v>0</v>
      </c>
      <c r="D485" s="98" t="s">
        <v>2362</v>
      </c>
      <c r="E485" s="98" t="b">
        <v>0</v>
      </c>
      <c r="F485" s="98" t="b">
        <v>0</v>
      </c>
      <c r="G485" s="98" t="b">
        <v>0</v>
      </c>
    </row>
    <row r="486" spans="1:7" ht="15">
      <c r="A486" s="99" t="s">
        <v>965</v>
      </c>
      <c r="B486" s="98">
        <v>2</v>
      </c>
      <c r="C486" s="111">
        <v>0</v>
      </c>
      <c r="D486" s="98" t="s">
        <v>2362</v>
      </c>
      <c r="E486" s="98" t="b">
        <v>0</v>
      </c>
      <c r="F486" s="98" t="b">
        <v>0</v>
      </c>
      <c r="G486" s="98" t="b">
        <v>0</v>
      </c>
    </row>
    <row r="487" spans="1:7" ht="15">
      <c r="A487" s="99" t="s">
        <v>981</v>
      </c>
      <c r="B487" s="98">
        <v>2</v>
      </c>
      <c r="C487" s="111">
        <v>0</v>
      </c>
      <c r="D487" s="98" t="s">
        <v>2362</v>
      </c>
      <c r="E487" s="98" t="b">
        <v>0</v>
      </c>
      <c r="F487" s="98" t="b">
        <v>0</v>
      </c>
      <c r="G487" s="98" t="b">
        <v>0</v>
      </c>
    </row>
    <row r="488" spans="1:7" ht="15">
      <c r="A488" s="99" t="s">
        <v>982</v>
      </c>
      <c r="B488" s="98">
        <v>2</v>
      </c>
      <c r="C488" s="111">
        <v>0</v>
      </c>
      <c r="D488" s="98" t="s">
        <v>2362</v>
      </c>
      <c r="E488" s="98" t="b">
        <v>0</v>
      </c>
      <c r="F488" s="98" t="b">
        <v>0</v>
      </c>
      <c r="G488" s="98" t="b">
        <v>0</v>
      </c>
    </row>
    <row r="489" spans="1:7" ht="15">
      <c r="A489" s="99" t="s">
        <v>983</v>
      </c>
      <c r="B489" s="98">
        <v>2</v>
      </c>
      <c r="C489" s="111">
        <v>0</v>
      </c>
      <c r="D489" s="98" t="s">
        <v>2362</v>
      </c>
      <c r="E489" s="98" t="b">
        <v>0</v>
      </c>
      <c r="F489" s="98" t="b">
        <v>0</v>
      </c>
      <c r="G489" s="9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20DD-4BE5-43B1-BDC3-167699AB4B35}">
  <dimension ref="A1:L55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1059</v>
      </c>
      <c r="B1" s="13" t="s">
        <v>1060</v>
      </c>
      <c r="C1" s="13" t="s">
        <v>1050</v>
      </c>
      <c r="D1" s="13" t="s">
        <v>1054</v>
      </c>
      <c r="E1" s="13" t="s">
        <v>1061</v>
      </c>
      <c r="F1" s="13" t="s">
        <v>144</v>
      </c>
      <c r="G1" s="13" t="s">
        <v>1062</v>
      </c>
      <c r="H1" s="13" t="s">
        <v>1063</v>
      </c>
      <c r="I1" s="13" t="s">
        <v>1064</v>
      </c>
      <c r="J1" s="13" t="s">
        <v>1065</v>
      </c>
      <c r="K1" s="13" t="s">
        <v>1066</v>
      </c>
      <c r="L1" s="13" t="s">
        <v>1067</v>
      </c>
    </row>
    <row r="2" spans="1:12" ht="15">
      <c r="A2" s="98" t="s">
        <v>930</v>
      </c>
      <c r="B2" s="98" t="s">
        <v>933</v>
      </c>
      <c r="C2" s="98">
        <v>75</v>
      </c>
      <c r="D2" s="111">
        <v>0.008936267218237516</v>
      </c>
      <c r="E2" s="111">
        <v>1.2065776238116632</v>
      </c>
      <c r="F2" s="98" t="s">
        <v>1055</v>
      </c>
      <c r="G2" s="98" t="b">
        <v>0</v>
      </c>
      <c r="H2" s="98" t="b">
        <v>0</v>
      </c>
      <c r="I2" s="98" t="b">
        <v>0</v>
      </c>
      <c r="J2" s="98" t="b">
        <v>0</v>
      </c>
      <c r="K2" s="98" t="b">
        <v>0</v>
      </c>
      <c r="L2" s="98" t="b">
        <v>0</v>
      </c>
    </row>
    <row r="3" spans="1:12" ht="15">
      <c r="A3" s="99" t="s">
        <v>302</v>
      </c>
      <c r="B3" s="98" t="s">
        <v>299</v>
      </c>
      <c r="C3" s="98">
        <v>69</v>
      </c>
      <c r="D3" s="111">
        <v>0.009319669099308927</v>
      </c>
      <c r="E3" s="111">
        <v>1.4141020033827554</v>
      </c>
      <c r="F3" s="98" t="s">
        <v>1055</v>
      </c>
      <c r="G3" s="98" t="b">
        <v>0</v>
      </c>
      <c r="H3" s="98" t="b">
        <v>0</v>
      </c>
      <c r="I3" s="98" t="b">
        <v>0</v>
      </c>
      <c r="J3" s="98" t="b">
        <v>0</v>
      </c>
      <c r="K3" s="98" t="b">
        <v>0</v>
      </c>
      <c r="L3" s="98" t="b">
        <v>0</v>
      </c>
    </row>
    <row r="4" spans="1:12" ht="15">
      <c r="A4" s="99" t="s">
        <v>932</v>
      </c>
      <c r="B4" s="98" t="s">
        <v>302</v>
      </c>
      <c r="C4" s="98">
        <v>58</v>
      </c>
      <c r="D4" s="111">
        <v>0.00975674832645602</v>
      </c>
      <c r="E4" s="111">
        <v>1.355280168027899</v>
      </c>
      <c r="F4" s="98" t="s">
        <v>1055</v>
      </c>
      <c r="G4" s="98" t="b">
        <v>0</v>
      </c>
      <c r="H4" s="98" t="b">
        <v>0</v>
      </c>
      <c r="I4" s="98" t="b">
        <v>0</v>
      </c>
      <c r="J4" s="98" t="b">
        <v>0</v>
      </c>
      <c r="K4" s="98" t="b">
        <v>0</v>
      </c>
      <c r="L4" s="98" t="b">
        <v>0</v>
      </c>
    </row>
    <row r="5" spans="1:12" ht="15">
      <c r="A5" s="99" t="s">
        <v>934</v>
      </c>
      <c r="B5" s="98" t="s">
        <v>936</v>
      </c>
      <c r="C5" s="98">
        <v>56</v>
      </c>
      <c r="D5" s="111">
        <v>0.009795446367311694</v>
      </c>
      <c r="E5" s="111">
        <v>1.4722687519252504</v>
      </c>
      <c r="F5" s="98" t="s">
        <v>1055</v>
      </c>
      <c r="G5" s="98" t="b">
        <v>0</v>
      </c>
      <c r="H5" s="98" t="b">
        <v>0</v>
      </c>
      <c r="I5" s="98" t="b">
        <v>0</v>
      </c>
      <c r="J5" s="98" t="b">
        <v>0</v>
      </c>
      <c r="K5" s="98" t="b">
        <v>0</v>
      </c>
      <c r="L5" s="98" t="b">
        <v>0</v>
      </c>
    </row>
    <row r="6" spans="1:12" ht="15">
      <c r="A6" s="99" t="s">
        <v>936</v>
      </c>
      <c r="B6" s="98" t="s">
        <v>931</v>
      </c>
      <c r="C6" s="98">
        <v>56</v>
      </c>
      <c r="D6" s="111">
        <v>0.009795446367311694</v>
      </c>
      <c r="E6" s="111">
        <v>1.2765228048730992</v>
      </c>
      <c r="F6" s="98" t="s">
        <v>1055</v>
      </c>
      <c r="G6" s="98" t="b">
        <v>0</v>
      </c>
      <c r="H6" s="98" t="b">
        <v>0</v>
      </c>
      <c r="I6" s="98" t="b">
        <v>0</v>
      </c>
      <c r="J6" s="98" t="b">
        <v>0</v>
      </c>
      <c r="K6" s="98" t="b">
        <v>0</v>
      </c>
      <c r="L6" s="98" t="b">
        <v>0</v>
      </c>
    </row>
    <row r="7" spans="1:12" ht="15">
      <c r="A7" s="99" t="s">
        <v>933</v>
      </c>
      <c r="B7" s="98" t="s">
        <v>932</v>
      </c>
      <c r="C7" s="98">
        <v>54</v>
      </c>
      <c r="D7" s="111">
        <v>0.009820505888432772</v>
      </c>
      <c r="E7" s="111">
        <v>1.255272505103306</v>
      </c>
      <c r="F7" s="98" t="s">
        <v>1055</v>
      </c>
      <c r="G7" s="98" t="b">
        <v>0</v>
      </c>
      <c r="H7" s="98" t="b">
        <v>0</v>
      </c>
      <c r="I7" s="98" t="b">
        <v>0</v>
      </c>
      <c r="J7" s="98" t="b">
        <v>0</v>
      </c>
      <c r="K7" s="98" t="b">
        <v>0</v>
      </c>
      <c r="L7" s="98" t="b">
        <v>0</v>
      </c>
    </row>
    <row r="8" spans="1:12" ht="15">
      <c r="A8" s="99" t="s">
        <v>939</v>
      </c>
      <c r="B8" s="98" t="s">
        <v>930</v>
      </c>
      <c r="C8" s="98">
        <v>53</v>
      </c>
      <c r="D8" s="111">
        <v>0.009827764748177932</v>
      </c>
      <c r="E8" s="111">
        <v>1.225797527400562</v>
      </c>
      <c r="F8" s="98" t="s">
        <v>1055</v>
      </c>
      <c r="G8" s="98" t="b">
        <v>0</v>
      </c>
      <c r="H8" s="98" t="b">
        <v>0</v>
      </c>
      <c r="I8" s="98" t="b">
        <v>0</v>
      </c>
      <c r="J8" s="98" t="b">
        <v>0</v>
      </c>
      <c r="K8" s="98" t="b">
        <v>0</v>
      </c>
      <c r="L8" s="98" t="b">
        <v>0</v>
      </c>
    </row>
    <row r="9" spans="1:12" ht="15">
      <c r="A9" s="99" t="s">
        <v>930</v>
      </c>
      <c r="B9" s="98" t="s">
        <v>940</v>
      </c>
      <c r="C9" s="98">
        <v>53</v>
      </c>
      <c r="D9" s="111">
        <v>0.009827764748177932</v>
      </c>
      <c r="E9" s="111">
        <v>1.2123299527007545</v>
      </c>
      <c r="F9" s="98" t="s">
        <v>1055</v>
      </c>
      <c r="G9" s="98" t="b">
        <v>0</v>
      </c>
      <c r="H9" s="98" t="b">
        <v>0</v>
      </c>
      <c r="I9" s="98" t="b">
        <v>0</v>
      </c>
      <c r="J9" s="98" t="b">
        <v>0</v>
      </c>
      <c r="K9" s="98" t="b">
        <v>0</v>
      </c>
      <c r="L9" s="98" t="b">
        <v>0</v>
      </c>
    </row>
    <row r="10" spans="1:12" ht="15">
      <c r="A10" s="99" t="s">
        <v>940</v>
      </c>
      <c r="B10" s="98" t="s">
        <v>941</v>
      </c>
      <c r="C10" s="98">
        <v>53</v>
      </c>
      <c r="D10" s="111">
        <v>0.009827764748177932</v>
      </c>
      <c r="E10" s="111">
        <v>1.6053253787557298</v>
      </c>
      <c r="F10" s="98" t="s">
        <v>1055</v>
      </c>
      <c r="G10" s="98" t="b">
        <v>0</v>
      </c>
      <c r="H10" s="98" t="b">
        <v>0</v>
      </c>
      <c r="I10" s="98" t="b">
        <v>0</v>
      </c>
      <c r="J10" s="98" t="b">
        <v>0</v>
      </c>
      <c r="K10" s="98" t="b">
        <v>0</v>
      </c>
      <c r="L10" s="98" t="b">
        <v>0</v>
      </c>
    </row>
    <row r="11" spans="1:12" ht="15">
      <c r="A11" s="99" t="s">
        <v>941</v>
      </c>
      <c r="B11" s="98" t="s">
        <v>931</v>
      </c>
      <c r="C11" s="98">
        <v>53</v>
      </c>
      <c r="D11" s="111">
        <v>0.009827764748177932</v>
      </c>
      <c r="E11" s="111">
        <v>1.2765228048730992</v>
      </c>
      <c r="F11" s="98" t="s">
        <v>1055</v>
      </c>
      <c r="G11" s="98" t="b">
        <v>0</v>
      </c>
      <c r="H11" s="98" t="b">
        <v>0</v>
      </c>
      <c r="I11" s="98" t="b">
        <v>0</v>
      </c>
      <c r="J11" s="98" t="b">
        <v>0</v>
      </c>
      <c r="K11" s="98" t="b">
        <v>0</v>
      </c>
      <c r="L11" s="98" t="b">
        <v>0</v>
      </c>
    </row>
    <row r="12" spans="1:12" ht="15">
      <c r="A12" s="99" t="s">
        <v>931</v>
      </c>
      <c r="B12" s="98" t="s">
        <v>942</v>
      </c>
      <c r="C12" s="98">
        <v>53</v>
      </c>
      <c r="D12" s="111">
        <v>0.009827764748177932</v>
      </c>
      <c r="E12" s="111">
        <v>1.2765228048730992</v>
      </c>
      <c r="F12" s="98" t="s">
        <v>1055</v>
      </c>
      <c r="G12" s="98" t="b">
        <v>0</v>
      </c>
      <c r="H12" s="98" t="b">
        <v>0</v>
      </c>
      <c r="I12" s="98" t="b">
        <v>0</v>
      </c>
      <c r="J12" s="98" t="b">
        <v>0</v>
      </c>
      <c r="K12" s="98" t="b">
        <v>0</v>
      </c>
      <c r="L12" s="98" t="b">
        <v>0</v>
      </c>
    </row>
    <row r="13" spans="1:12" ht="15">
      <c r="A13" s="99" t="s">
        <v>942</v>
      </c>
      <c r="B13" s="98" t="s">
        <v>938</v>
      </c>
      <c r="C13" s="98">
        <v>53</v>
      </c>
      <c r="D13" s="111">
        <v>0.009827764748177932</v>
      </c>
      <c r="E13" s="111">
        <v>1.5972074885335503</v>
      </c>
      <c r="F13" s="98" t="s">
        <v>1055</v>
      </c>
      <c r="G13" s="98" t="b">
        <v>0</v>
      </c>
      <c r="H13" s="98" t="b">
        <v>0</v>
      </c>
      <c r="I13" s="98" t="b">
        <v>0</v>
      </c>
      <c r="J13" s="98" t="b">
        <v>0</v>
      </c>
      <c r="K13" s="98" t="b">
        <v>0</v>
      </c>
      <c r="L13" s="98" t="b">
        <v>0</v>
      </c>
    </row>
    <row r="14" spans="1:12" ht="15">
      <c r="A14" s="99" t="s">
        <v>938</v>
      </c>
      <c r="B14" s="98" t="s">
        <v>935</v>
      </c>
      <c r="C14" s="98">
        <v>53</v>
      </c>
      <c r="D14" s="111">
        <v>0.009827764748177932</v>
      </c>
      <c r="E14" s="111">
        <v>1.5433321077506958</v>
      </c>
      <c r="F14" s="98" t="s">
        <v>1055</v>
      </c>
      <c r="G14" s="98" t="b">
        <v>0</v>
      </c>
      <c r="H14" s="98" t="b">
        <v>0</v>
      </c>
      <c r="I14" s="98" t="b">
        <v>0</v>
      </c>
      <c r="J14" s="98" t="b">
        <v>0</v>
      </c>
      <c r="K14" s="98" t="b">
        <v>0</v>
      </c>
      <c r="L14" s="98" t="b">
        <v>0</v>
      </c>
    </row>
    <row r="15" spans="1:12" ht="15">
      <c r="A15" s="99" t="s">
        <v>935</v>
      </c>
      <c r="B15" s="98" t="s">
        <v>934</v>
      </c>
      <c r="C15" s="98">
        <v>53</v>
      </c>
      <c r="D15" s="111">
        <v>0.009827764748177932</v>
      </c>
      <c r="E15" s="111">
        <v>1.4183933711423957</v>
      </c>
      <c r="F15" s="98" t="s">
        <v>1055</v>
      </c>
      <c r="G15" s="98" t="b">
        <v>0</v>
      </c>
      <c r="H15" s="98" t="b">
        <v>0</v>
      </c>
      <c r="I15" s="98" t="b">
        <v>0</v>
      </c>
      <c r="J15" s="98" t="b">
        <v>0</v>
      </c>
      <c r="K15" s="98" t="b">
        <v>0</v>
      </c>
      <c r="L15" s="98" t="b">
        <v>0</v>
      </c>
    </row>
    <row r="16" spans="1:12" ht="15">
      <c r="A16" s="99" t="s">
        <v>931</v>
      </c>
      <c r="B16" s="98" t="s">
        <v>937</v>
      </c>
      <c r="C16" s="98">
        <v>53</v>
      </c>
      <c r="D16" s="111">
        <v>0.009827764748177932</v>
      </c>
      <c r="E16" s="111">
        <v>1.2604359849796443</v>
      </c>
      <c r="F16" s="98" t="s">
        <v>1055</v>
      </c>
      <c r="G16" s="98" t="b">
        <v>0</v>
      </c>
      <c r="H16" s="98" t="b">
        <v>0</v>
      </c>
      <c r="I16" s="98" t="b">
        <v>0</v>
      </c>
      <c r="J16" s="98" t="b">
        <v>0</v>
      </c>
      <c r="K16" s="98" t="b">
        <v>0</v>
      </c>
      <c r="L16" s="98" t="b">
        <v>0</v>
      </c>
    </row>
    <row r="17" spans="1:12" ht="15">
      <c r="A17" s="99" t="s">
        <v>937</v>
      </c>
      <c r="B17" s="98" t="s">
        <v>943</v>
      </c>
      <c r="C17" s="98">
        <v>53</v>
      </c>
      <c r="D17" s="111">
        <v>0.009827764748177932</v>
      </c>
      <c r="E17" s="111">
        <v>1.589238558862275</v>
      </c>
      <c r="F17" s="98" t="s">
        <v>1055</v>
      </c>
      <c r="G17" s="98" t="b">
        <v>0</v>
      </c>
      <c r="H17" s="98" t="b">
        <v>0</v>
      </c>
      <c r="I17" s="98" t="b">
        <v>0</v>
      </c>
      <c r="J17" s="98" t="b">
        <v>0</v>
      </c>
      <c r="K17" s="98" t="b">
        <v>0</v>
      </c>
      <c r="L17" s="98" t="b">
        <v>0</v>
      </c>
    </row>
    <row r="18" spans="1:12" ht="15">
      <c r="A18" s="99" t="s">
        <v>943</v>
      </c>
      <c r="B18" s="98" t="s">
        <v>930</v>
      </c>
      <c r="C18" s="98">
        <v>53</v>
      </c>
      <c r="D18" s="111">
        <v>0.009827764748177932</v>
      </c>
      <c r="E18" s="111">
        <v>1.225797527400562</v>
      </c>
      <c r="F18" s="98" t="s">
        <v>1055</v>
      </c>
      <c r="G18" s="98" t="b">
        <v>0</v>
      </c>
      <c r="H18" s="98" t="b">
        <v>0</v>
      </c>
      <c r="I18" s="98" t="b">
        <v>0</v>
      </c>
      <c r="J18" s="98" t="b">
        <v>0</v>
      </c>
      <c r="K18" s="98" t="b">
        <v>0</v>
      </c>
      <c r="L18" s="98" t="b">
        <v>0</v>
      </c>
    </row>
    <row r="19" spans="1:12" ht="15">
      <c r="A19" s="99" t="s">
        <v>260</v>
      </c>
      <c r="B19" s="98" t="s">
        <v>295</v>
      </c>
      <c r="C19" s="98">
        <v>18</v>
      </c>
      <c r="D19" s="111">
        <v>0.007048527274878582</v>
      </c>
      <c r="E19" s="111">
        <v>1.9414210769736373</v>
      </c>
      <c r="F19" s="98" t="s">
        <v>1055</v>
      </c>
      <c r="G19" s="98" t="b">
        <v>0</v>
      </c>
      <c r="H19" s="98" t="b">
        <v>0</v>
      </c>
      <c r="I19" s="98" t="b">
        <v>0</v>
      </c>
      <c r="J19" s="98" t="b">
        <v>0</v>
      </c>
      <c r="K19" s="98" t="b">
        <v>0</v>
      </c>
      <c r="L19" s="98" t="b">
        <v>0</v>
      </c>
    </row>
    <row r="20" spans="1:12" ht="15">
      <c r="A20" s="99" t="s">
        <v>996</v>
      </c>
      <c r="B20" s="98" t="s">
        <v>997</v>
      </c>
      <c r="C20" s="98">
        <v>18</v>
      </c>
      <c r="D20" s="111">
        <v>0.007048527274878582</v>
      </c>
      <c r="E20" s="111">
        <v>2.0743287432532127</v>
      </c>
      <c r="F20" s="98" t="s">
        <v>1055</v>
      </c>
      <c r="G20" s="98" t="b">
        <v>0</v>
      </c>
      <c r="H20" s="98" t="b">
        <v>0</v>
      </c>
      <c r="I20" s="98" t="b">
        <v>0</v>
      </c>
      <c r="J20" s="98" t="b">
        <v>0</v>
      </c>
      <c r="K20" s="98" t="b">
        <v>0</v>
      </c>
      <c r="L20" s="98" t="b">
        <v>0</v>
      </c>
    </row>
    <row r="21" spans="1:12" ht="15">
      <c r="A21" s="99" t="s">
        <v>997</v>
      </c>
      <c r="B21" s="98" t="s">
        <v>998</v>
      </c>
      <c r="C21" s="98">
        <v>18</v>
      </c>
      <c r="D21" s="111">
        <v>0.007048527274878582</v>
      </c>
      <c r="E21" s="111">
        <v>2.0743287432532127</v>
      </c>
      <c r="F21" s="98" t="s">
        <v>1055</v>
      </c>
      <c r="G21" s="98" t="b">
        <v>0</v>
      </c>
      <c r="H21" s="98" t="b">
        <v>0</v>
      </c>
      <c r="I21" s="98" t="b">
        <v>0</v>
      </c>
      <c r="J21" s="98" t="b">
        <v>0</v>
      </c>
      <c r="K21" s="98" t="b">
        <v>0</v>
      </c>
      <c r="L21" s="98" t="b">
        <v>0</v>
      </c>
    </row>
    <row r="22" spans="1:12" ht="15">
      <c r="A22" s="99" t="s">
        <v>945</v>
      </c>
      <c r="B22" s="98" t="s">
        <v>338</v>
      </c>
      <c r="C22" s="98">
        <v>11</v>
      </c>
      <c r="D22" s="111">
        <v>0.005341577518997866</v>
      </c>
      <c r="E22" s="111">
        <v>1.838239554522246</v>
      </c>
      <c r="F22" s="98" t="s">
        <v>1055</v>
      </c>
      <c r="G22" s="98" t="b">
        <v>0</v>
      </c>
      <c r="H22" s="98" t="b">
        <v>0</v>
      </c>
      <c r="I22" s="98" t="b">
        <v>0</v>
      </c>
      <c r="J22" s="98" t="b">
        <v>0</v>
      </c>
      <c r="K22" s="98" t="b">
        <v>0</v>
      </c>
      <c r="L22" s="98" t="b">
        <v>0</v>
      </c>
    </row>
    <row r="23" spans="1:12" ht="15">
      <c r="A23" s="99" t="s">
        <v>293</v>
      </c>
      <c r="B23" s="98" t="s">
        <v>299</v>
      </c>
      <c r="C23" s="98">
        <v>10</v>
      </c>
      <c r="D23" s="111">
        <v>0.005037925431552694</v>
      </c>
      <c r="E23" s="111">
        <v>0.7830585848783878</v>
      </c>
      <c r="F23" s="98" t="s">
        <v>1055</v>
      </c>
      <c r="G23" s="98" t="b">
        <v>0</v>
      </c>
      <c r="H23" s="98" t="b">
        <v>0</v>
      </c>
      <c r="I23" s="98" t="b">
        <v>0</v>
      </c>
      <c r="J23" s="98" t="b">
        <v>0</v>
      </c>
      <c r="K23" s="98" t="b">
        <v>0</v>
      </c>
      <c r="L23" s="98" t="b">
        <v>0</v>
      </c>
    </row>
    <row r="24" spans="1:12" ht="15">
      <c r="A24" s="99" t="s">
        <v>2366</v>
      </c>
      <c r="B24" s="98" t="s">
        <v>2367</v>
      </c>
      <c r="C24" s="98">
        <v>10</v>
      </c>
      <c r="D24" s="111">
        <v>0.005037925431552694</v>
      </c>
      <c r="E24" s="111">
        <v>2.3296012483565187</v>
      </c>
      <c r="F24" s="98" t="s">
        <v>1055</v>
      </c>
      <c r="G24" s="98" t="b">
        <v>0</v>
      </c>
      <c r="H24" s="98" t="b">
        <v>0</v>
      </c>
      <c r="I24" s="98" t="b">
        <v>0</v>
      </c>
      <c r="J24" s="98" t="b">
        <v>0</v>
      </c>
      <c r="K24" s="98" t="b">
        <v>0</v>
      </c>
      <c r="L24" s="98" t="b">
        <v>0</v>
      </c>
    </row>
    <row r="25" spans="1:12" ht="15">
      <c r="A25" s="99" t="s">
        <v>2367</v>
      </c>
      <c r="B25" s="98" t="s">
        <v>2368</v>
      </c>
      <c r="C25" s="98">
        <v>10</v>
      </c>
      <c r="D25" s="111">
        <v>0.005037925431552694</v>
      </c>
      <c r="E25" s="111">
        <v>2.3296012483565187</v>
      </c>
      <c r="F25" s="98" t="s">
        <v>1055</v>
      </c>
      <c r="G25" s="98" t="b">
        <v>0</v>
      </c>
      <c r="H25" s="98" t="b">
        <v>0</v>
      </c>
      <c r="I25" s="98" t="b">
        <v>0</v>
      </c>
      <c r="J25" s="98" t="b">
        <v>0</v>
      </c>
      <c r="K25" s="98" t="b">
        <v>0</v>
      </c>
      <c r="L25" s="98" t="b">
        <v>0</v>
      </c>
    </row>
    <row r="26" spans="1:12" ht="15">
      <c r="A26" s="99" t="s">
        <v>2368</v>
      </c>
      <c r="B26" s="98" t="s">
        <v>2369</v>
      </c>
      <c r="C26" s="98">
        <v>10</v>
      </c>
      <c r="D26" s="111">
        <v>0.005037925431552694</v>
      </c>
      <c r="E26" s="111">
        <v>2.3296012483565187</v>
      </c>
      <c r="F26" s="98" t="s">
        <v>1055</v>
      </c>
      <c r="G26" s="98" t="b">
        <v>0</v>
      </c>
      <c r="H26" s="98" t="b">
        <v>0</v>
      </c>
      <c r="I26" s="98" t="b">
        <v>0</v>
      </c>
      <c r="J26" s="98" t="b">
        <v>0</v>
      </c>
      <c r="K26" s="98" t="b">
        <v>0</v>
      </c>
      <c r="L26" s="98" t="b">
        <v>0</v>
      </c>
    </row>
    <row r="27" spans="1:12" ht="15">
      <c r="A27" s="99" t="s">
        <v>2369</v>
      </c>
      <c r="B27" s="98" t="s">
        <v>2370</v>
      </c>
      <c r="C27" s="98">
        <v>10</v>
      </c>
      <c r="D27" s="111">
        <v>0.005037925431552694</v>
      </c>
      <c r="E27" s="111">
        <v>2.3296012483565187</v>
      </c>
      <c r="F27" s="98" t="s">
        <v>1055</v>
      </c>
      <c r="G27" s="98" t="b">
        <v>0</v>
      </c>
      <c r="H27" s="98" t="b">
        <v>0</v>
      </c>
      <c r="I27" s="98" t="b">
        <v>0</v>
      </c>
      <c r="J27" s="98" t="b">
        <v>0</v>
      </c>
      <c r="K27" s="98" t="b">
        <v>0</v>
      </c>
      <c r="L27" s="98" t="b">
        <v>0</v>
      </c>
    </row>
    <row r="28" spans="1:12" ht="15">
      <c r="A28" s="99" t="s">
        <v>2370</v>
      </c>
      <c r="B28" s="98" t="s">
        <v>2371</v>
      </c>
      <c r="C28" s="98">
        <v>10</v>
      </c>
      <c r="D28" s="111">
        <v>0.005037925431552694</v>
      </c>
      <c r="E28" s="111">
        <v>2.3296012483565187</v>
      </c>
      <c r="F28" s="98" t="s">
        <v>1055</v>
      </c>
      <c r="G28" s="98" t="b">
        <v>0</v>
      </c>
      <c r="H28" s="98" t="b">
        <v>0</v>
      </c>
      <c r="I28" s="98" t="b">
        <v>0</v>
      </c>
      <c r="J28" s="98" t="b">
        <v>0</v>
      </c>
      <c r="K28" s="98" t="b">
        <v>0</v>
      </c>
      <c r="L28" s="98" t="b">
        <v>0</v>
      </c>
    </row>
    <row r="29" spans="1:12" ht="15">
      <c r="A29" s="99" t="s">
        <v>2371</v>
      </c>
      <c r="B29" s="98" t="s">
        <v>2372</v>
      </c>
      <c r="C29" s="98">
        <v>10</v>
      </c>
      <c r="D29" s="111">
        <v>0.005037925431552694</v>
      </c>
      <c r="E29" s="111">
        <v>2.3296012483565187</v>
      </c>
      <c r="F29" s="98" t="s">
        <v>1055</v>
      </c>
      <c r="G29" s="98" t="b">
        <v>0</v>
      </c>
      <c r="H29" s="98" t="b">
        <v>0</v>
      </c>
      <c r="I29" s="98" t="b">
        <v>0</v>
      </c>
      <c r="J29" s="98" t="b">
        <v>0</v>
      </c>
      <c r="K29" s="98" t="b">
        <v>0</v>
      </c>
      <c r="L29" s="98" t="b">
        <v>0</v>
      </c>
    </row>
    <row r="30" spans="1:12" ht="15">
      <c r="A30" s="99" t="s">
        <v>2372</v>
      </c>
      <c r="B30" s="98" t="s">
        <v>2373</v>
      </c>
      <c r="C30" s="98">
        <v>10</v>
      </c>
      <c r="D30" s="111">
        <v>0.005037925431552694</v>
      </c>
      <c r="E30" s="111">
        <v>2.3296012483565187</v>
      </c>
      <c r="F30" s="98" t="s">
        <v>1055</v>
      </c>
      <c r="G30" s="98" t="b">
        <v>0</v>
      </c>
      <c r="H30" s="98" t="b">
        <v>0</v>
      </c>
      <c r="I30" s="98" t="b">
        <v>0</v>
      </c>
      <c r="J30" s="98" t="b">
        <v>0</v>
      </c>
      <c r="K30" s="98" t="b">
        <v>0</v>
      </c>
      <c r="L30" s="98" t="b">
        <v>0</v>
      </c>
    </row>
    <row r="31" spans="1:12" ht="15">
      <c r="A31" s="99" t="s">
        <v>2373</v>
      </c>
      <c r="B31" s="98" t="s">
        <v>2374</v>
      </c>
      <c r="C31" s="98">
        <v>10</v>
      </c>
      <c r="D31" s="111">
        <v>0.005037925431552694</v>
      </c>
      <c r="E31" s="111">
        <v>2.3296012483565187</v>
      </c>
      <c r="F31" s="98" t="s">
        <v>1055</v>
      </c>
      <c r="G31" s="98" t="b">
        <v>0</v>
      </c>
      <c r="H31" s="98" t="b">
        <v>0</v>
      </c>
      <c r="I31" s="98" t="b">
        <v>0</v>
      </c>
      <c r="J31" s="98" t="b">
        <v>0</v>
      </c>
      <c r="K31" s="98" t="b">
        <v>0</v>
      </c>
      <c r="L31" s="98" t="b">
        <v>0</v>
      </c>
    </row>
    <row r="32" spans="1:12" ht="15">
      <c r="A32" s="99" t="s">
        <v>2374</v>
      </c>
      <c r="B32" s="98" t="s">
        <v>2375</v>
      </c>
      <c r="C32" s="98">
        <v>10</v>
      </c>
      <c r="D32" s="111">
        <v>0.005037925431552694</v>
      </c>
      <c r="E32" s="111">
        <v>2.3296012483565187</v>
      </c>
      <c r="F32" s="98" t="s">
        <v>1055</v>
      </c>
      <c r="G32" s="98" t="b">
        <v>0</v>
      </c>
      <c r="H32" s="98" t="b">
        <v>0</v>
      </c>
      <c r="I32" s="98" t="b">
        <v>0</v>
      </c>
      <c r="J32" s="98" t="b">
        <v>0</v>
      </c>
      <c r="K32" s="98" t="b">
        <v>0</v>
      </c>
      <c r="L32" s="98" t="b">
        <v>0</v>
      </c>
    </row>
    <row r="33" spans="1:12" ht="15">
      <c r="A33" s="99" t="s">
        <v>2375</v>
      </c>
      <c r="B33" s="98" t="s">
        <v>2376</v>
      </c>
      <c r="C33" s="98">
        <v>10</v>
      </c>
      <c r="D33" s="111">
        <v>0.005037925431552694</v>
      </c>
      <c r="E33" s="111">
        <v>2.3296012483565187</v>
      </c>
      <c r="F33" s="98" t="s">
        <v>1055</v>
      </c>
      <c r="G33" s="98" t="b">
        <v>0</v>
      </c>
      <c r="H33" s="98" t="b">
        <v>0</v>
      </c>
      <c r="I33" s="98" t="b">
        <v>0</v>
      </c>
      <c r="J33" s="98" t="b">
        <v>0</v>
      </c>
      <c r="K33" s="98" t="b">
        <v>0</v>
      </c>
      <c r="L33" s="98" t="b">
        <v>0</v>
      </c>
    </row>
    <row r="34" spans="1:12" ht="15">
      <c r="A34" s="99" t="s">
        <v>2376</v>
      </c>
      <c r="B34" s="98" t="s">
        <v>293</v>
      </c>
      <c r="C34" s="98">
        <v>10</v>
      </c>
      <c r="D34" s="111">
        <v>0.005037925431552694</v>
      </c>
      <c r="E34" s="111">
        <v>1.7498176517397086</v>
      </c>
      <c r="F34" s="98" t="s">
        <v>1055</v>
      </c>
      <c r="G34" s="98" t="b">
        <v>0</v>
      </c>
      <c r="H34" s="98" t="b">
        <v>0</v>
      </c>
      <c r="I34" s="98" t="b">
        <v>0</v>
      </c>
      <c r="J34" s="98" t="b">
        <v>0</v>
      </c>
      <c r="K34" s="98" t="b">
        <v>0</v>
      </c>
      <c r="L34" s="98" t="b">
        <v>0</v>
      </c>
    </row>
    <row r="35" spans="1:12" ht="15">
      <c r="A35" s="99" t="s">
        <v>293</v>
      </c>
      <c r="B35" s="98" t="s">
        <v>260</v>
      </c>
      <c r="C35" s="98">
        <v>10</v>
      </c>
      <c r="D35" s="111">
        <v>0.005037925431552694</v>
      </c>
      <c r="E35" s="111">
        <v>1.3851185762063503</v>
      </c>
      <c r="F35" s="98" t="s">
        <v>1055</v>
      </c>
      <c r="G35" s="98" t="b">
        <v>0</v>
      </c>
      <c r="H35" s="98" t="b">
        <v>0</v>
      </c>
      <c r="I35" s="98" t="b">
        <v>0</v>
      </c>
      <c r="J35" s="98" t="b">
        <v>0</v>
      </c>
      <c r="K35" s="98" t="b">
        <v>0</v>
      </c>
      <c r="L35" s="98" t="b">
        <v>0</v>
      </c>
    </row>
    <row r="36" spans="1:12" ht="15">
      <c r="A36" s="99" t="s">
        <v>295</v>
      </c>
      <c r="B36" s="98" t="s">
        <v>252</v>
      </c>
      <c r="C36" s="98">
        <v>10</v>
      </c>
      <c r="D36" s="111">
        <v>0.005037925431552694</v>
      </c>
      <c r="E36" s="111">
        <v>2.183473212678281</v>
      </c>
      <c r="F36" s="98" t="s">
        <v>1055</v>
      </c>
      <c r="G36" s="98" t="b">
        <v>0</v>
      </c>
      <c r="H36" s="98" t="b">
        <v>0</v>
      </c>
      <c r="I36" s="98" t="b">
        <v>0</v>
      </c>
      <c r="J36" s="98" t="b">
        <v>0</v>
      </c>
      <c r="K36" s="98" t="b">
        <v>0</v>
      </c>
      <c r="L36" s="98" t="b">
        <v>0</v>
      </c>
    </row>
    <row r="37" spans="1:12" ht="15">
      <c r="A37" s="99" t="s">
        <v>252</v>
      </c>
      <c r="B37" s="98" t="s">
        <v>2377</v>
      </c>
      <c r="C37" s="98">
        <v>10</v>
      </c>
      <c r="D37" s="111">
        <v>0.005037925431552694</v>
      </c>
      <c r="E37" s="111">
        <v>2.3296012483565187</v>
      </c>
      <c r="F37" s="98" t="s">
        <v>1055</v>
      </c>
      <c r="G37" s="98" t="b">
        <v>0</v>
      </c>
      <c r="H37" s="98" t="b">
        <v>0</v>
      </c>
      <c r="I37" s="98" t="b">
        <v>0</v>
      </c>
      <c r="J37" s="98" t="b">
        <v>0</v>
      </c>
      <c r="K37" s="98" t="b">
        <v>0</v>
      </c>
      <c r="L37" s="98" t="b">
        <v>0</v>
      </c>
    </row>
    <row r="38" spans="1:12" ht="15">
      <c r="A38" s="99" t="s">
        <v>2377</v>
      </c>
      <c r="B38" s="98" t="s">
        <v>996</v>
      </c>
      <c r="C38" s="98">
        <v>10</v>
      </c>
      <c r="D38" s="111">
        <v>0.005037925431552694</v>
      </c>
      <c r="E38" s="111">
        <v>2.0743287432532127</v>
      </c>
      <c r="F38" s="98" t="s">
        <v>1055</v>
      </c>
      <c r="G38" s="98" t="b">
        <v>0</v>
      </c>
      <c r="H38" s="98" t="b">
        <v>0</v>
      </c>
      <c r="I38" s="98" t="b">
        <v>0</v>
      </c>
      <c r="J38" s="98" t="b">
        <v>0</v>
      </c>
      <c r="K38" s="98" t="b">
        <v>0</v>
      </c>
      <c r="L38" s="98" t="b">
        <v>0</v>
      </c>
    </row>
    <row r="39" spans="1:12" ht="15">
      <c r="A39" s="99" t="s">
        <v>998</v>
      </c>
      <c r="B39" s="98" t="s">
        <v>2378</v>
      </c>
      <c r="C39" s="98">
        <v>10</v>
      </c>
      <c r="D39" s="111">
        <v>0.005037925431552694</v>
      </c>
      <c r="E39" s="111">
        <v>2.0743287432532127</v>
      </c>
      <c r="F39" s="98" t="s">
        <v>1055</v>
      </c>
      <c r="G39" s="98" t="b">
        <v>0</v>
      </c>
      <c r="H39" s="98" t="b">
        <v>0</v>
      </c>
      <c r="I39" s="98" t="b">
        <v>0</v>
      </c>
      <c r="J39" s="98" t="b">
        <v>0</v>
      </c>
      <c r="K39" s="98" t="b">
        <v>0</v>
      </c>
      <c r="L39" s="98" t="b">
        <v>0</v>
      </c>
    </row>
    <row r="40" spans="1:12" ht="15">
      <c r="A40" s="99" t="s">
        <v>1048</v>
      </c>
      <c r="B40" s="98" t="s">
        <v>2380</v>
      </c>
      <c r="C40" s="98">
        <v>8</v>
      </c>
      <c r="D40" s="111">
        <v>0.004371122808567189</v>
      </c>
      <c r="E40" s="111">
        <v>2.3296012483565187</v>
      </c>
      <c r="F40" s="98" t="s">
        <v>1055</v>
      </c>
      <c r="G40" s="98" t="b">
        <v>0</v>
      </c>
      <c r="H40" s="98" t="b">
        <v>0</v>
      </c>
      <c r="I40" s="98" t="b">
        <v>0</v>
      </c>
      <c r="J40" s="98" t="b">
        <v>0</v>
      </c>
      <c r="K40" s="98" t="b">
        <v>0</v>
      </c>
      <c r="L40" s="98" t="b">
        <v>0</v>
      </c>
    </row>
    <row r="41" spans="1:12" ht="15">
      <c r="A41" s="99" t="s">
        <v>2380</v>
      </c>
      <c r="B41" s="98" t="s">
        <v>2381</v>
      </c>
      <c r="C41" s="98">
        <v>8</v>
      </c>
      <c r="D41" s="111">
        <v>0.004371122808567189</v>
      </c>
      <c r="E41" s="111">
        <v>2.4265112613645754</v>
      </c>
      <c r="F41" s="98" t="s">
        <v>1055</v>
      </c>
      <c r="G41" s="98" t="b">
        <v>0</v>
      </c>
      <c r="H41" s="98" t="b">
        <v>0</v>
      </c>
      <c r="I41" s="98" t="b">
        <v>0</v>
      </c>
      <c r="J41" s="98" t="b">
        <v>0</v>
      </c>
      <c r="K41" s="98" t="b">
        <v>0</v>
      </c>
      <c r="L41" s="98" t="b">
        <v>0</v>
      </c>
    </row>
    <row r="42" spans="1:12" ht="15">
      <c r="A42" s="99" t="s">
        <v>2381</v>
      </c>
      <c r="B42" s="98" t="s">
        <v>2382</v>
      </c>
      <c r="C42" s="98">
        <v>8</v>
      </c>
      <c r="D42" s="111">
        <v>0.004371122808567189</v>
      </c>
      <c r="E42" s="111">
        <v>2.4265112613645754</v>
      </c>
      <c r="F42" s="98" t="s">
        <v>1055</v>
      </c>
      <c r="G42" s="98" t="b">
        <v>0</v>
      </c>
      <c r="H42" s="98" t="b">
        <v>0</v>
      </c>
      <c r="I42" s="98" t="b">
        <v>0</v>
      </c>
      <c r="J42" s="98" t="b">
        <v>0</v>
      </c>
      <c r="K42" s="98" t="b">
        <v>0</v>
      </c>
      <c r="L42" s="98" t="b">
        <v>0</v>
      </c>
    </row>
    <row r="43" spans="1:12" ht="15">
      <c r="A43" s="99" t="s">
        <v>2382</v>
      </c>
      <c r="B43" s="98" t="s">
        <v>2383</v>
      </c>
      <c r="C43" s="98">
        <v>8</v>
      </c>
      <c r="D43" s="111">
        <v>0.004371122808567189</v>
      </c>
      <c r="E43" s="111">
        <v>2.4265112613645754</v>
      </c>
      <c r="F43" s="98" t="s">
        <v>1055</v>
      </c>
      <c r="G43" s="98" t="b">
        <v>0</v>
      </c>
      <c r="H43" s="98" t="b">
        <v>0</v>
      </c>
      <c r="I43" s="98" t="b">
        <v>0</v>
      </c>
      <c r="J43" s="98" t="b">
        <v>0</v>
      </c>
      <c r="K43" s="98" t="b">
        <v>0</v>
      </c>
      <c r="L43" s="98" t="b">
        <v>0</v>
      </c>
    </row>
    <row r="44" spans="1:12" ht="15">
      <c r="A44" s="99" t="s">
        <v>2383</v>
      </c>
      <c r="B44" s="98" t="s">
        <v>2379</v>
      </c>
      <c r="C44" s="98">
        <v>8</v>
      </c>
      <c r="D44" s="111">
        <v>0.004371122808567189</v>
      </c>
      <c r="E44" s="111">
        <v>2.375358738917194</v>
      </c>
      <c r="F44" s="98" t="s">
        <v>1055</v>
      </c>
      <c r="G44" s="98" t="b">
        <v>0</v>
      </c>
      <c r="H44" s="98" t="b">
        <v>0</v>
      </c>
      <c r="I44" s="98" t="b">
        <v>0</v>
      </c>
      <c r="J44" s="98" t="b">
        <v>0</v>
      </c>
      <c r="K44" s="98" t="b">
        <v>0</v>
      </c>
      <c r="L44" s="98" t="b">
        <v>0</v>
      </c>
    </row>
    <row r="45" spans="1:12" ht="15">
      <c r="A45" s="99" t="s">
        <v>2379</v>
      </c>
      <c r="B45" s="98" t="s">
        <v>2384</v>
      </c>
      <c r="C45" s="98">
        <v>8</v>
      </c>
      <c r="D45" s="111">
        <v>0.004371122808567189</v>
      </c>
      <c r="E45" s="111">
        <v>2.375358738917194</v>
      </c>
      <c r="F45" s="98" t="s">
        <v>1055</v>
      </c>
      <c r="G45" s="98" t="b">
        <v>0</v>
      </c>
      <c r="H45" s="98" t="b">
        <v>0</v>
      </c>
      <c r="I45" s="98" t="b">
        <v>0</v>
      </c>
      <c r="J45" s="98" t="b">
        <v>0</v>
      </c>
      <c r="K45" s="98" t="b">
        <v>0</v>
      </c>
      <c r="L45" s="98" t="b">
        <v>0</v>
      </c>
    </row>
    <row r="46" spans="1:12" ht="15">
      <c r="A46" s="99" t="s">
        <v>2384</v>
      </c>
      <c r="B46" s="98" t="s">
        <v>2385</v>
      </c>
      <c r="C46" s="98">
        <v>8</v>
      </c>
      <c r="D46" s="111">
        <v>0.004371122808567189</v>
      </c>
      <c r="E46" s="111">
        <v>2.4265112613645754</v>
      </c>
      <c r="F46" s="98" t="s">
        <v>1055</v>
      </c>
      <c r="G46" s="98" t="b">
        <v>0</v>
      </c>
      <c r="H46" s="98" t="b">
        <v>0</v>
      </c>
      <c r="I46" s="98" t="b">
        <v>0</v>
      </c>
      <c r="J46" s="98" t="b">
        <v>0</v>
      </c>
      <c r="K46" s="98" t="b">
        <v>0</v>
      </c>
      <c r="L46" s="98" t="b">
        <v>0</v>
      </c>
    </row>
    <row r="47" spans="1:12" ht="15">
      <c r="A47" s="99" t="s">
        <v>2385</v>
      </c>
      <c r="B47" s="98" t="s">
        <v>949</v>
      </c>
      <c r="C47" s="98">
        <v>8</v>
      </c>
      <c r="D47" s="111">
        <v>0.004371122808567189</v>
      </c>
      <c r="E47" s="111">
        <v>2.1535099893008374</v>
      </c>
      <c r="F47" s="98" t="s">
        <v>1055</v>
      </c>
      <c r="G47" s="98" t="b">
        <v>0</v>
      </c>
      <c r="H47" s="98" t="b">
        <v>0</v>
      </c>
      <c r="I47" s="98" t="b">
        <v>0</v>
      </c>
      <c r="J47" s="98" t="b">
        <v>0</v>
      </c>
      <c r="K47" s="98" t="b">
        <v>0</v>
      </c>
      <c r="L47" s="98" t="b">
        <v>0</v>
      </c>
    </row>
    <row r="48" spans="1:12" ht="15">
      <c r="A48" s="99" t="s">
        <v>949</v>
      </c>
      <c r="B48" s="98" t="s">
        <v>2386</v>
      </c>
      <c r="C48" s="98">
        <v>8</v>
      </c>
      <c r="D48" s="111">
        <v>0.004371122808567189</v>
      </c>
      <c r="E48" s="111">
        <v>2.1535099893008374</v>
      </c>
      <c r="F48" s="98" t="s">
        <v>1055</v>
      </c>
      <c r="G48" s="98" t="b">
        <v>0</v>
      </c>
      <c r="H48" s="98" t="b">
        <v>0</v>
      </c>
      <c r="I48" s="98" t="b">
        <v>0</v>
      </c>
      <c r="J48" s="98" t="b">
        <v>0</v>
      </c>
      <c r="K48" s="98" t="b">
        <v>0</v>
      </c>
      <c r="L48" s="98" t="b">
        <v>0</v>
      </c>
    </row>
    <row r="49" spans="1:12" ht="15">
      <c r="A49" s="99" t="s">
        <v>2386</v>
      </c>
      <c r="B49" s="98" t="s">
        <v>2387</v>
      </c>
      <c r="C49" s="98">
        <v>8</v>
      </c>
      <c r="D49" s="111">
        <v>0.004371122808567189</v>
      </c>
      <c r="E49" s="111">
        <v>2.4265112613645754</v>
      </c>
      <c r="F49" s="98" t="s">
        <v>1055</v>
      </c>
      <c r="G49" s="98" t="b">
        <v>0</v>
      </c>
      <c r="H49" s="98" t="b">
        <v>0</v>
      </c>
      <c r="I49" s="98" t="b">
        <v>0</v>
      </c>
      <c r="J49" s="98" t="b">
        <v>0</v>
      </c>
      <c r="K49" s="98" t="b">
        <v>0</v>
      </c>
      <c r="L49" s="98" t="b">
        <v>0</v>
      </c>
    </row>
    <row r="50" spans="1:12" ht="15">
      <c r="A50" s="99" t="s">
        <v>2387</v>
      </c>
      <c r="B50" s="98" t="s">
        <v>2388</v>
      </c>
      <c r="C50" s="98">
        <v>8</v>
      </c>
      <c r="D50" s="111">
        <v>0.004371122808567189</v>
      </c>
      <c r="E50" s="111">
        <v>2.4265112613645754</v>
      </c>
      <c r="F50" s="98" t="s">
        <v>1055</v>
      </c>
      <c r="G50" s="98" t="b">
        <v>0</v>
      </c>
      <c r="H50" s="98" t="b">
        <v>0</v>
      </c>
      <c r="I50" s="98" t="b">
        <v>0</v>
      </c>
      <c r="J50" s="98" t="b">
        <v>0</v>
      </c>
      <c r="K50" s="98" t="b">
        <v>0</v>
      </c>
      <c r="L50" s="98" t="b">
        <v>0</v>
      </c>
    </row>
    <row r="51" spans="1:12" ht="15">
      <c r="A51" s="99" t="s">
        <v>2388</v>
      </c>
      <c r="B51" s="98" t="s">
        <v>2389</v>
      </c>
      <c r="C51" s="98">
        <v>8</v>
      </c>
      <c r="D51" s="111">
        <v>0.004371122808567189</v>
      </c>
      <c r="E51" s="111">
        <v>2.4265112613645754</v>
      </c>
      <c r="F51" s="98" t="s">
        <v>1055</v>
      </c>
      <c r="G51" s="98" t="b">
        <v>0</v>
      </c>
      <c r="H51" s="98" t="b">
        <v>0</v>
      </c>
      <c r="I51" s="98" t="b">
        <v>0</v>
      </c>
      <c r="J51" s="98" t="b">
        <v>0</v>
      </c>
      <c r="K51" s="98" t="b">
        <v>0</v>
      </c>
      <c r="L51" s="98" t="b">
        <v>0</v>
      </c>
    </row>
    <row r="52" spans="1:12" ht="15">
      <c r="A52" s="99" t="s">
        <v>2389</v>
      </c>
      <c r="B52" s="98" t="s">
        <v>2390</v>
      </c>
      <c r="C52" s="98">
        <v>8</v>
      </c>
      <c r="D52" s="111">
        <v>0.004371122808567189</v>
      </c>
      <c r="E52" s="111">
        <v>2.4265112613645754</v>
      </c>
      <c r="F52" s="98" t="s">
        <v>1055</v>
      </c>
      <c r="G52" s="98" t="b">
        <v>0</v>
      </c>
      <c r="H52" s="98" t="b">
        <v>0</v>
      </c>
      <c r="I52" s="98" t="b">
        <v>0</v>
      </c>
      <c r="J52" s="98" t="b">
        <v>0</v>
      </c>
      <c r="K52" s="98" t="b">
        <v>0</v>
      </c>
      <c r="L52" s="98" t="b">
        <v>0</v>
      </c>
    </row>
    <row r="53" spans="1:12" ht="15">
      <c r="A53" s="99" t="s">
        <v>2390</v>
      </c>
      <c r="B53" s="98" t="s">
        <v>293</v>
      </c>
      <c r="C53" s="98">
        <v>8</v>
      </c>
      <c r="D53" s="111">
        <v>0.004371122808567189</v>
      </c>
      <c r="E53" s="111">
        <v>1.7498176517397088</v>
      </c>
      <c r="F53" s="98" t="s">
        <v>1055</v>
      </c>
      <c r="G53" s="98" t="b">
        <v>0</v>
      </c>
      <c r="H53" s="98" t="b">
        <v>0</v>
      </c>
      <c r="I53" s="98" t="b">
        <v>0</v>
      </c>
      <c r="J53" s="98" t="b">
        <v>0</v>
      </c>
      <c r="K53" s="98" t="b">
        <v>0</v>
      </c>
      <c r="L53" s="98" t="b">
        <v>0</v>
      </c>
    </row>
    <row r="54" spans="1:12" ht="15">
      <c r="A54" s="99" t="s">
        <v>299</v>
      </c>
      <c r="B54" s="98" t="s">
        <v>260</v>
      </c>
      <c r="C54" s="98">
        <v>8</v>
      </c>
      <c r="D54" s="111">
        <v>0.004371122808567189</v>
      </c>
      <c r="E54" s="111">
        <v>1.7855332040062433</v>
      </c>
      <c r="F54" s="98" t="s">
        <v>1055</v>
      </c>
      <c r="G54" s="98" t="b">
        <v>0</v>
      </c>
      <c r="H54" s="98" t="b">
        <v>0</v>
      </c>
      <c r="I54" s="98" t="b">
        <v>0</v>
      </c>
      <c r="J54" s="98" t="b">
        <v>0</v>
      </c>
      <c r="K54" s="98" t="b">
        <v>0</v>
      </c>
      <c r="L54" s="98" t="b">
        <v>0</v>
      </c>
    </row>
    <row r="55" spans="1:12" ht="15">
      <c r="A55" s="99" t="s">
        <v>946</v>
      </c>
      <c r="B55" s="98" t="s">
        <v>947</v>
      </c>
      <c r="C55" s="98">
        <v>8</v>
      </c>
      <c r="D55" s="111">
        <v>0.004371122808567189</v>
      </c>
      <c r="E55" s="111">
        <v>2.4265112613645754</v>
      </c>
      <c r="F55" s="98" t="s">
        <v>1055</v>
      </c>
      <c r="G55" s="98" t="b">
        <v>0</v>
      </c>
      <c r="H55" s="98" t="b">
        <v>0</v>
      </c>
      <c r="I55" s="98" t="b">
        <v>0</v>
      </c>
      <c r="J55" s="98" t="b">
        <v>0</v>
      </c>
      <c r="K55" s="98" t="b">
        <v>0</v>
      </c>
      <c r="L55" s="98" t="b">
        <v>0</v>
      </c>
    </row>
    <row r="56" spans="1:12" ht="15">
      <c r="A56" s="99" t="s">
        <v>947</v>
      </c>
      <c r="B56" s="98" t="s">
        <v>948</v>
      </c>
      <c r="C56" s="98">
        <v>8</v>
      </c>
      <c r="D56" s="111">
        <v>0.004371122808567189</v>
      </c>
      <c r="E56" s="111">
        <v>2.3296012483565187</v>
      </c>
      <c r="F56" s="98" t="s">
        <v>1055</v>
      </c>
      <c r="G56" s="98" t="b">
        <v>0</v>
      </c>
      <c r="H56" s="98" t="b">
        <v>0</v>
      </c>
      <c r="I56" s="98" t="b">
        <v>0</v>
      </c>
      <c r="J56" s="98" t="b">
        <v>0</v>
      </c>
      <c r="K56" s="98" t="b">
        <v>0</v>
      </c>
      <c r="L56" s="98" t="b">
        <v>0</v>
      </c>
    </row>
    <row r="57" spans="1:12" ht="15">
      <c r="A57" s="99" t="s">
        <v>959</v>
      </c>
      <c r="B57" s="98" t="s">
        <v>960</v>
      </c>
      <c r="C57" s="98">
        <v>8</v>
      </c>
      <c r="D57" s="111">
        <v>0.004371122808567189</v>
      </c>
      <c r="E57" s="111">
        <v>2.4265112613645754</v>
      </c>
      <c r="F57" s="98" t="s">
        <v>1055</v>
      </c>
      <c r="G57" s="98" t="b">
        <v>0</v>
      </c>
      <c r="H57" s="98" t="b">
        <v>0</v>
      </c>
      <c r="I57" s="98" t="b">
        <v>0</v>
      </c>
      <c r="J57" s="98" t="b">
        <v>0</v>
      </c>
      <c r="K57" s="98" t="b">
        <v>0</v>
      </c>
      <c r="L57" s="98" t="b">
        <v>0</v>
      </c>
    </row>
    <row r="58" spans="1:12" ht="15">
      <c r="A58" s="99" t="s">
        <v>960</v>
      </c>
      <c r="B58" s="98" t="s">
        <v>961</v>
      </c>
      <c r="C58" s="98">
        <v>8</v>
      </c>
      <c r="D58" s="111">
        <v>0.004371122808567189</v>
      </c>
      <c r="E58" s="111">
        <v>2.4265112613645754</v>
      </c>
      <c r="F58" s="98" t="s">
        <v>1055</v>
      </c>
      <c r="G58" s="98" t="b">
        <v>0</v>
      </c>
      <c r="H58" s="98" t="b">
        <v>0</v>
      </c>
      <c r="I58" s="98" t="b">
        <v>0</v>
      </c>
      <c r="J58" s="98" t="b">
        <v>0</v>
      </c>
      <c r="K58" s="98" t="b">
        <v>0</v>
      </c>
      <c r="L58" s="98" t="b">
        <v>0</v>
      </c>
    </row>
    <row r="59" spans="1:12" ht="15">
      <c r="A59" s="99" t="s">
        <v>961</v>
      </c>
      <c r="B59" s="98" t="s">
        <v>962</v>
      </c>
      <c r="C59" s="98">
        <v>8</v>
      </c>
      <c r="D59" s="111">
        <v>0.004371122808567189</v>
      </c>
      <c r="E59" s="111">
        <v>2.4265112613645754</v>
      </c>
      <c r="F59" s="98" t="s">
        <v>1055</v>
      </c>
      <c r="G59" s="98" t="b">
        <v>0</v>
      </c>
      <c r="H59" s="98" t="b">
        <v>0</v>
      </c>
      <c r="I59" s="98" t="b">
        <v>0</v>
      </c>
      <c r="J59" s="98" t="b">
        <v>0</v>
      </c>
      <c r="K59" s="98" t="b">
        <v>0</v>
      </c>
      <c r="L59" s="98" t="b">
        <v>0</v>
      </c>
    </row>
    <row r="60" spans="1:12" ht="15">
      <c r="A60" s="99" t="s">
        <v>962</v>
      </c>
      <c r="B60" s="98" t="s">
        <v>963</v>
      </c>
      <c r="C60" s="98">
        <v>8</v>
      </c>
      <c r="D60" s="111">
        <v>0.004371122808567189</v>
      </c>
      <c r="E60" s="111">
        <v>2.4265112613645754</v>
      </c>
      <c r="F60" s="98" t="s">
        <v>1055</v>
      </c>
      <c r="G60" s="98" t="b">
        <v>0</v>
      </c>
      <c r="H60" s="98" t="b">
        <v>0</v>
      </c>
      <c r="I60" s="98" t="b">
        <v>0</v>
      </c>
      <c r="J60" s="98" t="b">
        <v>0</v>
      </c>
      <c r="K60" s="98" t="b">
        <v>0</v>
      </c>
      <c r="L60" s="98" t="b">
        <v>0</v>
      </c>
    </row>
    <row r="61" spans="1:12" ht="15">
      <c r="A61" s="99" t="s">
        <v>963</v>
      </c>
      <c r="B61" s="98" t="s">
        <v>964</v>
      </c>
      <c r="C61" s="98">
        <v>8</v>
      </c>
      <c r="D61" s="111">
        <v>0.004371122808567189</v>
      </c>
      <c r="E61" s="111">
        <v>2.4265112613645754</v>
      </c>
      <c r="F61" s="98" t="s">
        <v>1055</v>
      </c>
      <c r="G61" s="98" t="b">
        <v>0</v>
      </c>
      <c r="H61" s="98" t="b">
        <v>0</v>
      </c>
      <c r="I61" s="98" t="b">
        <v>0</v>
      </c>
      <c r="J61" s="98" t="b">
        <v>0</v>
      </c>
      <c r="K61" s="98" t="b">
        <v>0</v>
      </c>
      <c r="L61" s="98" t="b">
        <v>0</v>
      </c>
    </row>
    <row r="62" spans="1:12" ht="15">
      <c r="A62" s="99" t="s">
        <v>933</v>
      </c>
      <c r="B62" s="98" t="s">
        <v>966</v>
      </c>
      <c r="C62" s="98">
        <v>7</v>
      </c>
      <c r="D62" s="111">
        <v>0.004003169217427635</v>
      </c>
      <c r="E62" s="111">
        <v>1.1712387562612692</v>
      </c>
      <c r="F62" s="98" t="s">
        <v>1055</v>
      </c>
      <c r="G62" s="98" t="b">
        <v>0</v>
      </c>
      <c r="H62" s="98" t="b">
        <v>0</v>
      </c>
      <c r="I62" s="98" t="b">
        <v>0</v>
      </c>
      <c r="J62" s="98" t="b">
        <v>0</v>
      </c>
      <c r="K62" s="98" t="b">
        <v>0</v>
      </c>
      <c r="L62" s="98" t="b">
        <v>0</v>
      </c>
    </row>
    <row r="63" spans="1:12" ht="15">
      <c r="A63" s="99" t="s">
        <v>2365</v>
      </c>
      <c r="B63" s="98" t="s">
        <v>2392</v>
      </c>
      <c r="C63" s="98">
        <v>7</v>
      </c>
      <c r="D63" s="111">
        <v>0.004003169217427635</v>
      </c>
      <c r="E63" s="111">
        <v>2.250420002308894</v>
      </c>
      <c r="F63" s="98" t="s">
        <v>1055</v>
      </c>
      <c r="G63" s="98" t="b">
        <v>0</v>
      </c>
      <c r="H63" s="98" t="b">
        <v>0</v>
      </c>
      <c r="I63" s="98" t="b">
        <v>0</v>
      </c>
      <c r="J63" s="98" t="b">
        <v>0</v>
      </c>
      <c r="K63" s="98" t="b">
        <v>0</v>
      </c>
      <c r="L63" s="98" t="b">
        <v>0</v>
      </c>
    </row>
    <row r="64" spans="1:12" ht="15">
      <c r="A64" s="99" t="s">
        <v>2392</v>
      </c>
      <c r="B64" s="98" t="s">
        <v>2393</v>
      </c>
      <c r="C64" s="98">
        <v>7</v>
      </c>
      <c r="D64" s="111">
        <v>0.004003169217427635</v>
      </c>
      <c r="E64" s="111">
        <v>2.484503208342262</v>
      </c>
      <c r="F64" s="98" t="s">
        <v>1055</v>
      </c>
      <c r="G64" s="98" t="b">
        <v>0</v>
      </c>
      <c r="H64" s="98" t="b">
        <v>0</v>
      </c>
      <c r="I64" s="98" t="b">
        <v>0</v>
      </c>
      <c r="J64" s="98" t="b">
        <v>0</v>
      </c>
      <c r="K64" s="98" t="b">
        <v>0</v>
      </c>
      <c r="L64" s="98" t="b">
        <v>0</v>
      </c>
    </row>
    <row r="65" spans="1:12" ht="15">
      <c r="A65" s="99" t="s">
        <v>2393</v>
      </c>
      <c r="B65" s="98" t="s">
        <v>945</v>
      </c>
      <c r="C65" s="98">
        <v>7</v>
      </c>
      <c r="D65" s="111">
        <v>0.004003169217427635</v>
      </c>
      <c r="E65" s="111">
        <v>1.8824432170142995</v>
      </c>
      <c r="F65" s="98" t="s">
        <v>1055</v>
      </c>
      <c r="G65" s="98" t="b">
        <v>0</v>
      </c>
      <c r="H65" s="98" t="b">
        <v>0</v>
      </c>
      <c r="I65" s="98" t="b">
        <v>0</v>
      </c>
      <c r="J65" s="98" t="b">
        <v>0</v>
      </c>
      <c r="K65" s="98" t="b">
        <v>0</v>
      </c>
      <c r="L65" s="98" t="b">
        <v>0</v>
      </c>
    </row>
    <row r="66" spans="1:12" ht="15">
      <c r="A66" s="99" t="s">
        <v>338</v>
      </c>
      <c r="B66" s="98" t="s">
        <v>293</v>
      </c>
      <c r="C66" s="98">
        <v>7</v>
      </c>
      <c r="D66" s="111">
        <v>0.004003169217427635</v>
      </c>
      <c r="E66" s="111">
        <v>1.5535230065957406</v>
      </c>
      <c r="F66" s="98" t="s">
        <v>1055</v>
      </c>
      <c r="G66" s="98" t="b">
        <v>0</v>
      </c>
      <c r="H66" s="98" t="b">
        <v>0</v>
      </c>
      <c r="I66" s="98" t="b">
        <v>0</v>
      </c>
      <c r="J66" s="98" t="b">
        <v>0</v>
      </c>
      <c r="K66" s="98" t="b">
        <v>0</v>
      </c>
      <c r="L66" s="98" t="b">
        <v>0</v>
      </c>
    </row>
    <row r="67" spans="1:12" ht="15">
      <c r="A67" s="99" t="s">
        <v>293</v>
      </c>
      <c r="B67" s="98" t="s">
        <v>302</v>
      </c>
      <c r="C67" s="98">
        <v>7</v>
      </c>
      <c r="D67" s="111">
        <v>0.004003169217427635</v>
      </c>
      <c r="E67" s="111">
        <v>0.679988263165513</v>
      </c>
      <c r="F67" s="98" t="s">
        <v>1055</v>
      </c>
      <c r="G67" s="98" t="b">
        <v>0</v>
      </c>
      <c r="H67" s="98" t="b">
        <v>0</v>
      </c>
      <c r="I67" s="98" t="b">
        <v>0</v>
      </c>
      <c r="J67" s="98" t="b">
        <v>0</v>
      </c>
      <c r="K67" s="98" t="b">
        <v>0</v>
      </c>
      <c r="L67" s="98" t="b">
        <v>0</v>
      </c>
    </row>
    <row r="68" spans="1:12" ht="15">
      <c r="A68" s="99" t="s">
        <v>950</v>
      </c>
      <c r="B68" s="98" t="s">
        <v>303</v>
      </c>
      <c r="C68" s="98">
        <v>6</v>
      </c>
      <c r="D68" s="111">
        <v>0.0036078508623154136</v>
      </c>
      <c r="E68" s="111">
        <v>2.5514499979728753</v>
      </c>
      <c r="F68" s="98" t="s">
        <v>1055</v>
      </c>
      <c r="G68" s="98" t="b">
        <v>0</v>
      </c>
      <c r="H68" s="98" t="b">
        <v>0</v>
      </c>
      <c r="I68" s="98" t="b">
        <v>0</v>
      </c>
      <c r="J68" s="98" t="b">
        <v>0</v>
      </c>
      <c r="K68" s="98" t="b">
        <v>0</v>
      </c>
      <c r="L68" s="98" t="b">
        <v>0</v>
      </c>
    </row>
    <row r="69" spans="1:12" ht="15">
      <c r="A69" s="99" t="s">
        <v>303</v>
      </c>
      <c r="B69" s="98" t="s">
        <v>951</v>
      </c>
      <c r="C69" s="98">
        <v>6</v>
      </c>
      <c r="D69" s="111">
        <v>0.0036078508623154136</v>
      </c>
      <c r="E69" s="111">
        <v>2.5514499979728753</v>
      </c>
      <c r="F69" s="98" t="s">
        <v>1055</v>
      </c>
      <c r="G69" s="98" t="b">
        <v>0</v>
      </c>
      <c r="H69" s="98" t="b">
        <v>0</v>
      </c>
      <c r="I69" s="98" t="b">
        <v>0</v>
      </c>
      <c r="J69" s="98" t="b">
        <v>0</v>
      </c>
      <c r="K69" s="98" t="b">
        <v>0</v>
      </c>
      <c r="L69" s="98" t="b">
        <v>0</v>
      </c>
    </row>
    <row r="70" spans="1:12" ht="15">
      <c r="A70" s="99" t="s">
        <v>951</v>
      </c>
      <c r="B70" s="98" t="s">
        <v>952</v>
      </c>
      <c r="C70" s="98">
        <v>6</v>
      </c>
      <c r="D70" s="111">
        <v>0.0036078508623154136</v>
      </c>
      <c r="E70" s="111">
        <v>2.5514499979728753</v>
      </c>
      <c r="F70" s="98" t="s">
        <v>1055</v>
      </c>
      <c r="G70" s="98" t="b">
        <v>0</v>
      </c>
      <c r="H70" s="98" t="b">
        <v>0</v>
      </c>
      <c r="I70" s="98" t="b">
        <v>0</v>
      </c>
      <c r="J70" s="98" t="b">
        <v>0</v>
      </c>
      <c r="K70" s="98" t="b">
        <v>0</v>
      </c>
      <c r="L70" s="98" t="b">
        <v>0</v>
      </c>
    </row>
    <row r="71" spans="1:12" ht="15">
      <c r="A71" s="99" t="s">
        <v>952</v>
      </c>
      <c r="B71" s="98" t="s">
        <v>953</v>
      </c>
      <c r="C71" s="98">
        <v>6</v>
      </c>
      <c r="D71" s="111">
        <v>0.0036078508623154136</v>
      </c>
      <c r="E71" s="111">
        <v>2.5514499979728753</v>
      </c>
      <c r="F71" s="98" t="s">
        <v>1055</v>
      </c>
      <c r="G71" s="98" t="b">
        <v>0</v>
      </c>
      <c r="H71" s="98" t="b">
        <v>0</v>
      </c>
      <c r="I71" s="98" t="b">
        <v>0</v>
      </c>
      <c r="J71" s="98" t="b">
        <v>0</v>
      </c>
      <c r="K71" s="98" t="b">
        <v>0</v>
      </c>
      <c r="L71" s="98" t="b">
        <v>0</v>
      </c>
    </row>
    <row r="72" spans="1:12" ht="15">
      <c r="A72" s="99" t="s">
        <v>953</v>
      </c>
      <c r="B72" s="98" t="s">
        <v>954</v>
      </c>
      <c r="C72" s="98">
        <v>6</v>
      </c>
      <c r="D72" s="111">
        <v>0.0036078508623154136</v>
      </c>
      <c r="E72" s="111">
        <v>2.484503208342262</v>
      </c>
      <c r="F72" s="98" t="s">
        <v>1055</v>
      </c>
      <c r="G72" s="98" t="b">
        <v>0</v>
      </c>
      <c r="H72" s="98" t="b">
        <v>0</v>
      </c>
      <c r="I72" s="98" t="b">
        <v>0</v>
      </c>
      <c r="J72" s="98" t="b">
        <v>0</v>
      </c>
      <c r="K72" s="98" t="b">
        <v>0</v>
      </c>
      <c r="L72" s="98" t="b">
        <v>0</v>
      </c>
    </row>
    <row r="73" spans="1:12" ht="15">
      <c r="A73" s="99" t="s">
        <v>954</v>
      </c>
      <c r="B73" s="98" t="s">
        <v>944</v>
      </c>
      <c r="C73" s="98">
        <v>6</v>
      </c>
      <c r="D73" s="111">
        <v>0.0036078508623154136</v>
      </c>
      <c r="E73" s="111">
        <v>2.0322055373476315</v>
      </c>
      <c r="F73" s="98" t="s">
        <v>1055</v>
      </c>
      <c r="G73" s="98" t="b">
        <v>0</v>
      </c>
      <c r="H73" s="98" t="b">
        <v>0</v>
      </c>
      <c r="I73" s="98" t="b">
        <v>0</v>
      </c>
      <c r="J73" s="98" t="b">
        <v>0</v>
      </c>
      <c r="K73" s="98" t="b">
        <v>0</v>
      </c>
      <c r="L73" s="98" t="b">
        <v>0</v>
      </c>
    </row>
    <row r="74" spans="1:12" ht="15">
      <c r="A74" s="99" t="s">
        <v>944</v>
      </c>
      <c r="B74" s="98" t="s">
        <v>955</v>
      </c>
      <c r="C74" s="98">
        <v>6</v>
      </c>
      <c r="D74" s="111">
        <v>0.0036078508623154136</v>
      </c>
      <c r="E74" s="111">
        <v>2.099152326978245</v>
      </c>
      <c r="F74" s="98" t="s">
        <v>1055</v>
      </c>
      <c r="G74" s="98" t="b">
        <v>0</v>
      </c>
      <c r="H74" s="98" t="b">
        <v>0</v>
      </c>
      <c r="I74" s="98" t="b">
        <v>0</v>
      </c>
      <c r="J74" s="98" t="b">
        <v>0</v>
      </c>
      <c r="K74" s="98" t="b">
        <v>0</v>
      </c>
      <c r="L74" s="98" t="b">
        <v>0</v>
      </c>
    </row>
    <row r="75" spans="1:12" ht="15">
      <c r="A75" s="99" t="s">
        <v>955</v>
      </c>
      <c r="B75" s="98" t="s">
        <v>956</v>
      </c>
      <c r="C75" s="98">
        <v>6</v>
      </c>
      <c r="D75" s="111">
        <v>0.0036078508623154136</v>
      </c>
      <c r="E75" s="111">
        <v>2.5514499979728753</v>
      </c>
      <c r="F75" s="98" t="s">
        <v>1055</v>
      </c>
      <c r="G75" s="98" t="b">
        <v>0</v>
      </c>
      <c r="H75" s="98" t="b">
        <v>0</v>
      </c>
      <c r="I75" s="98" t="b">
        <v>0</v>
      </c>
      <c r="J75" s="98" t="b">
        <v>0</v>
      </c>
      <c r="K75" s="98" t="b">
        <v>0</v>
      </c>
      <c r="L75" s="98" t="b">
        <v>0</v>
      </c>
    </row>
    <row r="76" spans="1:12" ht="15">
      <c r="A76" s="99" t="s">
        <v>956</v>
      </c>
      <c r="B76" s="98" t="s">
        <v>957</v>
      </c>
      <c r="C76" s="98">
        <v>6</v>
      </c>
      <c r="D76" s="111">
        <v>0.0036078508623154136</v>
      </c>
      <c r="E76" s="111">
        <v>2.5514499979728753</v>
      </c>
      <c r="F76" s="98" t="s">
        <v>1055</v>
      </c>
      <c r="G76" s="98" t="b">
        <v>0</v>
      </c>
      <c r="H76" s="98" t="b">
        <v>0</v>
      </c>
      <c r="I76" s="98" t="b">
        <v>0</v>
      </c>
      <c r="J76" s="98" t="b">
        <v>0</v>
      </c>
      <c r="K76" s="98" t="b">
        <v>0</v>
      </c>
      <c r="L76" s="98" t="b">
        <v>0</v>
      </c>
    </row>
    <row r="77" spans="1:12" ht="15">
      <c r="A77" s="99" t="s">
        <v>957</v>
      </c>
      <c r="B77" s="98" t="s">
        <v>946</v>
      </c>
      <c r="C77" s="98">
        <v>6</v>
      </c>
      <c r="D77" s="111">
        <v>0.0036078508623154136</v>
      </c>
      <c r="E77" s="111">
        <v>2.4265112613645754</v>
      </c>
      <c r="F77" s="98" t="s">
        <v>1055</v>
      </c>
      <c r="G77" s="98" t="b">
        <v>0</v>
      </c>
      <c r="H77" s="98" t="b">
        <v>0</v>
      </c>
      <c r="I77" s="98" t="b">
        <v>0</v>
      </c>
      <c r="J77" s="98" t="b">
        <v>0</v>
      </c>
      <c r="K77" s="98" t="b">
        <v>0</v>
      </c>
      <c r="L77" s="98" t="b">
        <v>0</v>
      </c>
    </row>
    <row r="78" spans="1:12" ht="15">
      <c r="A78" s="99" t="s">
        <v>948</v>
      </c>
      <c r="B78" s="98" t="s">
        <v>944</v>
      </c>
      <c r="C78" s="98">
        <v>6</v>
      </c>
      <c r="D78" s="111">
        <v>0.0036078508623154136</v>
      </c>
      <c r="E78" s="111">
        <v>1.8773035773618885</v>
      </c>
      <c r="F78" s="98" t="s">
        <v>1055</v>
      </c>
      <c r="G78" s="98" t="b">
        <v>0</v>
      </c>
      <c r="H78" s="98" t="b">
        <v>0</v>
      </c>
      <c r="I78" s="98" t="b">
        <v>0</v>
      </c>
      <c r="J78" s="98" t="b">
        <v>0</v>
      </c>
      <c r="K78" s="98" t="b">
        <v>0</v>
      </c>
      <c r="L78" s="98" t="b">
        <v>0</v>
      </c>
    </row>
    <row r="79" spans="1:12" ht="15">
      <c r="A79" s="99" t="s">
        <v>944</v>
      </c>
      <c r="B79" s="98" t="s">
        <v>958</v>
      </c>
      <c r="C79" s="98">
        <v>6</v>
      </c>
      <c r="D79" s="111">
        <v>0.0036078508623154136</v>
      </c>
      <c r="E79" s="111">
        <v>2.099152326978245</v>
      </c>
      <c r="F79" s="98" t="s">
        <v>1055</v>
      </c>
      <c r="G79" s="98" t="b">
        <v>0</v>
      </c>
      <c r="H79" s="98" t="b">
        <v>0</v>
      </c>
      <c r="I79" s="98" t="b">
        <v>0</v>
      </c>
      <c r="J79" s="98" t="b">
        <v>0</v>
      </c>
      <c r="K79" s="98" t="b">
        <v>0</v>
      </c>
      <c r="L79" s="98" t="b">
        <v>0</v>
      </c>
    </row>
    <row r="80" spans="1:12" ht="15">
      <c r="A80" s="99" t="s">
        <v>958</v>
      </c>
      <c r="B80" s="98" t="s">
        <v>932</v>
      </c>
      <c r="C80" s="98">
        <v>6</v>
      </c>
      <c r="D80" s="111">
        <v>0.0036078508623154136</v>
      </c>
      <c r="E80" s="111">
        <v>1.3802112417116061</v>
      </c>
      <c r="F80" s="98" t="s">
        <v>1055</v>
      </c>
      <c r="G80" s="98" t="b">
        <v>0</v>
      </c>
      <c r="H80" s="98" t="b">
        <v>0</v>
      </c>
      <c r="I80" s="98" t="b">
        <v>0</v>
      </c>
      <c r="J80" s="98" t="b">
        <v>0</v>
      </c>
      <c r="K80" s="98" t="b">
        <v>0</v>
      </c>
      <c r="L80" s="98" t="b">
        <v>0</v>
      </c>
    </row>
    <row r="81" spans="1:12" ht="15">
      <c r="A81" s="99" t="s">
        <v>964</v>
      </c>
      <c r="B81" s="98" t="s">
        <v>965</v>
      </c>
      <c r="C81" s="98">
        <v>6</v>
      </c>
      <c r="D81" s="111">
        <v>0.0036078508623154136</v>
      </c>
      <c r="E81" s="111">
        <v>2.301572524756275</v>
      </c>
      <c r="F81" s="98" t="s">
        <v>1055</v>
      </c>
      <c r="G81" s="98" t="b">
        <v>0</v>
      </c>
      <c r="H81" s="98" t="b">
        <v>0</v>
      </c>
      <c r="I81" s="98" t="b">
        <v>0</v>
      </c>
      <c r="J81" s="98" t="b">
        <v>0</v>
      </c>
      <c r="K81" s="98" t="b">
        <v>0</v>
      </c>
      <c r="L81" s="98" t="b">
        <v>0</v>
      </c>
    </row>
    <row r="82" spans="1:12" ht="15">
      <c r="A82" s="99" t="s">
        <v>965</v>
      </c>
      <c r="B82" s="98" t="s">
        <v>981</v>
      </c>
      <c r="C82" s="98">
        <v>6</v>
      </c>
      <c r="D82" s="111">
        <v>0.0036078508623154136</v>
      </c>
      <c r="E82" s="111">
        <v>2.4265112613645754</v>
      </c>
      <c r="F82" s="98" t="s">
        <v>1055</v>
      </c>
      <c r="G82" s="98" t="b">
        <v>0</v>
      </c>
      <c r="H82" s="98" t="b">
        <v>0</v>
      </c>
      <c r="I82" s="98" t="b">
        <v>0</v>
      </c>
      <c r="J82" s="98" t="b">
        <v>0</v>
      </c>
      <c r="K82" s="98" t="b">
        <v>0</v>
      </c>
      <c r="L82" s="98" t="b">
        <v>0</v>
      </c>
    </row>
    <row r="83" spans="1:12" ht="15">
      <c r="A83" s="99" t="s">
        <v>981</v>
      </c>
      <c r="B83" s="98" t="s">
        <v>982</v>
      </c>
      <c r="C83" s="98">
        <v>6</v>
      </c>
      <c r="D83" s="111">
        <v>0.0036078508623154136</v>
      </c>
      <c r="E83" s="111">
        <v>2.5514499979728753</v>
      </c>
      <c r="F83" s="98" t="s">
        <v>1055</v>
      </c>
      <c r="G83" s="98" t="b">
        <v>0</v>
      </c>
      <c r="H83" s="98" t="b">
        <v>0</v>
      </c>
      <c r="I83" s="98" t="b">
        <v>0</v>
      </c>
      <c r="J83" s="98" t="b">
        <v>0</v>
      </c>
      <c r="K83" s="98" t="b">
        <v>0</v>
      </c>
      <c r="L83" s="98" t="b">
        <v>0</v>
      </c>
    </row>
    <row r="84" spans="1:12" ht="15">
      <c r="A84" s="99" t="s">
        <v>982</v>
      </c>
      <c r="B84" s="98" t="s">
        <v>983</v>
      </c>
      <c r="C84" s="98">
        <v>6</v>
      </c>
      <c r="D84" s="111">
        <v>0.0036078508623154136</v>
      </c>
      <c r="E84" s="111">
        <v>2.5514499979728753</v>
      </c>
      <c r="F84" s="98" t="s">
        <v>1055</v>
      </c>
      <c r="G84" s="98" t="b">
        <v>0</v>
      </c>
      <c r="H84" s="98" t="b">
        <v>0</v>
      </c>
      <c r="I84" s="98" t="b">
        <v>0</v>
      </c>
      <c r="J84" s="98" t="b">
        <v>0</v>
      </c>
      <c r="K84" s="98" t="b">
        <v>0</v>
      </c>
      <c r="L84" s="98" t="b">
        <v>0</v>
      </c>
    </row>
    <row r="85" spans="1:12" ht="15">
      <c r="A85" s="99" t="s">
        <v>2394</v>
      </c>
      <c r="B85" s="98" t="s">
        <v>2395</v>
      </c>
      <c r="C85" s="98">
        <v>5</v>
      </c>
      <c r="D85" s="111">
        <v>0.003180567101851031</v>
      </c>
      <c r="E85" s="111">
        <v>2.6306312440205</v>
      </c>
      <c r="F85" s="98" t="s">
        <v>1055</v>
      </c>
      <c r="G85" s="98" t="b">
        <v>0</v>
      </c>
      <c r="H85" s="98" t="b">
        <v>0</v>
      </c>
      <c r="I85" s="98" t="b">
        <v>0</v>
      </c>
      <c r="J85" s="98" t="b">
        <v>0</v>
      </c>
      <c r="K85" s="98" t="b">
        <v>0</v>
      </c>
      <c r="L85" s="98" t="b">
        <v>0</v>
      </c>
    </row>
    <row r="86" spans="1:12" ht="15">
      <c r="A86" s="99" t="s">
        <v>2395</v>
      </c>
      <c r="B86" s="98" t="s">
        <v>934</v>
      </c>
      <c r="C86" s="98">
        <v>5</v>
      </c>
      <c r="D86" s="111">
        <v>0.003180567101851031</v>
      </c>
      <c r="E86" s="111">
        <v>1.4722687519252504</v>
      </c>
      <c r="F86" s="98" t="s">
        <v>1055</v>
      </c>
      <c r="G86" s="98" t="b">
        <v>0</v>
      </c>
      <c r="H86" s="98" t="b">
        <v>0</v>
      </c>
      <c r="I86" s="98" t="b">
        <v>0</v>
      </c>
      <c r="J86" s="98" t="b">
        <v>0</v>
      </c>
      <c r="K86" s="98" t="b">
        <v>0</v>
      </c>
      <c r="L86" s="98" t="b">
        <v>0</v>
      </c>
    </row>
    <row r="87" spans="1:12" ht="15">
      <c r="A87" s="99" t="s">
        <v>934</v>
      </c>
      <c r="B87" s="98" t="s">
        <v>2396</v>
      </c>
      <c r="C87" s="98">
        <v>5</v>
      </c>
      <c r="D87" s="111">
        <v>0.003180567101851031</v>
      </c>
      <c r="E87" s="111">
        <v>1.4722687519252504</v>
      </c>
      <c r="F87" s="98" t="s">
        <v>1055</v>
      </c>
      <c r="G87" s="98" t="b">
        <v>0</v>
      </c>
      <c r="H87" s="98" t="b">
        <v>0</v>
      </c>
      <c r="I87" s="98" t="b">
        <v>0</v>
      </c>
      <c r="J87" s="98" t="b">
        <v>0</v>
      </c>
      <c r="K87" s="98" t="b">
        <v>0</v>
      </c>
      <c r="L87" s="98" t="b">
        <v>0</v>
      </c>
    </row>
    <row r="88" spans="1:12" ht="15">
      <c r="A88" s="99" t="s">
        <v>2396</v>
      </c>
      <c r="B88" s="98" t="s">
        <v>2397</v>
      </c>
      <c r="C88" s="98">
        <v>5</v>
      </c>
      <c r="D88" s="111">
        <v>0.003180567101851031</v>
      </c>
      <c r="E88" s="111">
        <v>2.6306312440205</v>
      </c>
      <c r="F88" s="98" t="s">
        <v>1055</v>
      </c>
      <c r="G88" s="98" t="b">
        <v>0</v>
      </c>
      <c r="H88" s="98" t="b">
        <v>0</v>
      </c>
      <c r="I88" s="98" t="b">
        <v>0</v>
      </c>
      <c r="J88" s="98" t="b">
        <v>0</v>
      </c>
      <c r="K88" s="98" t="b">
        <v>0</v>
      </c>
      <c r="L88" s="98" t="b">
        <v>0</v>
      </c>
    </row>
    <row r="89" spans="1:12" ht="15">
      <c r="A89" s="99" t="s">
        <v>2397</v>
      </c>
      <c r="B89" s="98" t="s">
        <v>2398</v>
      </c>
      <c r="C89" s="98">
        <v>5</v>
      </c>
      <c r="D89" s="111">
        <v>0.003180567101851031</v>
      </c>
      <c r="E89" s="111">
        <v>2.6306312440205</v>
      </c>
      <c r="F89" s="98" t="s">
        <v>1055</v>
      </c>
      <c r="G89" s="98" t="b">
        <v>0</v>
      </c>
      <c r="H89" s="98" t="b">
        <v>0</v>
      </c>
      <c r="I89" s="98" t="b">
        <v>0</v>
      </c>
      <c r="J89" s="98" t="b">
        <v>0</v>
      </c>
      <c r="K89" s="98" t="b">
        <v>0</v>
      </c>
      <c r="L89" s="98" t="b">
        <v>0</v>
      </c>
    </row>
    <row r="90" spans="1:12" ht="15">
      <c r="A90" s="99" t="s">
        <v>2398</v>
      </c>
      <c r="B90" s="98" t="s">
        <v>2399</v>
      </c>
      <c r="C90" s="98">
        <v>5</v>
      </c>
      <c r="D90" s="111">
        <v>0.003180567101851031</v>
      </c>
      <c r="E90" s="111">
        <v>2.6306312440205</v>
      </c>
      <c r="F90" s="98" t="s">
        <v>1055</v>
      </c>
      <c r="G90" s="98" t="b">
        <v>0</v>
      </c>
      <c r="H90" s="98" t="b">
        <v>0</v>
      </c>
      <c r="I90" s="98" t="b">
        <v>0</v>
      </c>
      <c r="J90" s="98" t="b">
        <v>0</v>
      </c>
      <c r="K90" s="98" t="b">
        <v>0</v>
      </c>
      <c r="L90" s="98" t="b">
        <v>0</v>
      </c>
    </row>
    <row r="91" spans="1:12" ht="15">
      <c r="A91" s="99" t="s">
        <v>2399</v>
      </c>
      <c r="B91" s="98" t="s">
        <v>2400</v>
      </c>
      <c r="C91" s="98">
        <v>5</v>
      </c>
      <c r="D91" s="111">
        <v>0.003180567101851031</v>
      </c>
      <c r="E91" s="111">
        <v>2.6306312440205</v>
      </c>
      <c r="F91" s="98" t="s">
        <v>1055</v>
      </c>
      <c r="G91" s="98" t="b">
        <v>0</v>
      </c>
      <c r="H91" s="98" t="b">
        <v>0</v>
      </c>
      <c r="I91" s="98" t="b">
        <v>0</v>
      </c>
      <c r="J91" s="98" t="b">
        <v>0</v>
      </c>
      <c r="K91" s="98" t="b">
        <v>0</v>
      </c>
      <c r="L91" s="98" t="b">
        <v>0</v>
      </c>
    </row>
    <row r="92" spans="1:12" ht="15">
      <c r="A92" s="99" t="s">
        <v>2400</v>
      </c>
      <c r="B92" s="98" t="s">
        <v>1027</v>
      </c>
      <c r="C92" s="98">
        <v>5</v>
      </c>
      <c r="D92" s="111">
        <v>0.003180567101851031</v>
      </c>
      <c r="E92" s="111">
        <v>2.288208563198294</v>
      </c>
      <c r="F92" s="98" t="s">
        <v>1055</v>
      </c>
      <c r="G92" s="98" t="b">
        <v>0</v>
      </c>
      <c r="H92" s="98" t="b">
        <v>0</v>
      </c>
      <c r="I92" s="98" t="b">
        <v>0</v>
      </c>
      <c r="J92" s="98" t="b">
        <v>0</v>
      </c>
      <c r="K92" s="98" t="b">
        <v>0</v>
      </c>
      <c r="L92" s="98" t="b">
        <v>0</v>
      </c>
    </row>
    <row r="93" spans="1:12" ht="15">
      <c r="A93" s="99" t="s">
        <v>1027</v>
      </c>
      <c r="B93" s="98" t="s">
        <v>945</v>
      </c>
      <c r="C93" s="98">
        <v>5</v>
      </c>
      <c r="D93" s="111">
        <v>0.003180567101851031</v>
      </c>
      <c r="E93" s="111">
        <v>1.5400205361920933</v>
      </c>
      <c r="F93" s="98" t="s">
        <v>1055</v>
      </c>
      <c r="G93" s="98" t="b">
        <v>0</v>
      </c>
      <c r="H93" s="98" t="b">
        <v>0</v>
      </c>
      <c r="I93" s="98" t="b">
        <v>0</v>
      </c>
      <c r="J93" s="98" t="b">
        <v>0</v>
      </c>
      <c r="K93" s="98" t="b">
        <v>0</v>
      </c>
      <c r="L93" s="98" t="b">
        <v>0</v>
      </c>
    </row>
    <row r="94" spans="1:12" ht="15">
      <c r="A94" s="99" t="s">
        <v>945</v>
      </c>
      <c r="B94" s="98" t="s">
        <v>930</v>
      </c>
      <c r="C94" s="98">
        <v>5</v>
      </c>
      <c r="D94" s="111">
        <v>0.003180567101851031</v>
      </c>
      <c r="E94" s="111">
        <v>0.4334058379023081</v>
      </c>
      <c r="F94" s="98" t="s">
        <v>1055</v>
      </c>
      <c r="G94" s="98" t="b">
        <v>0</v>
      </c>
      <c r="H94" s="98" t="b">
        <v>0</v>
      </c>
      <c r="I94" s="98" t="b">
        <v>0</v>
      </c>
      <c r="J94" s="98" t="b">
        <v>0</v>
      </c>
      <c r="K94" s="98" t="b">
        <v>0</v>
      </c>
      <c r="L94" s="98" t="b">
        <v>0</v>
      </c>
    </row>
    <row r="95" spans="1:12" ht="15">
      <c r="A95" s="99" t="s">
        <v>966</v>
      </c>
      <c r="B95" s="98" t="s">
        <v>2401</v>
      </c>
      <c r="C95" s="98">
        <v>5</v>
      </c>
      <c r="D95" s="111">
        <v>0.003180567101851031</v>
      </c>
      <c r="E95" s="111">
        <v>2.1535099893008374</v>
      </c>
      <c r="F95" s="98" t="s">
        <v>1055</v>
      </c>
      <c r="G95" s="98" t="b">
        <v>0</v>
      </c>
      <c r="H95" s="98" t="b">
        <v>0</v>
      </c>
      <c r="I95" s="98" t="b">
        <v>0</v>
      </c>
      <c r="J95" s="98" t="b">
        <v>0</v>
      </c>
      <c r="K95" s="98" t="b">
        <v>0</v>
      </c>
      <c r="L95" s="98" t="b">
        <v>0</v>
      </c>
    </row>
    <row r="96" spans="1:12" ht="15">
      <c r="A96" s="99" t="s">
        <v>2401</v>
      </c>
      <c r="B96" s="98" t="s">
        <v>2365</v>
      </c>
      <c r="C96" s="98">
        <v>5</v>
      </c>
      <c r="D96" s="111">
        <v>0.003180567101851031</v>
      </c>
      <c r="E96" s="111">
        <v>2.6306312440205</v>
      </c>
      <c r="F96" s="98" t="s">
        <v>1055</v>
      </c>
      <c r="G96" s="98" t="b">
        <v>0</v>
      </c>
      <c r="H96" s="98" t="b">
        <v>0</v>
      </c>
      <c r="I96" s="98" t="b">
        <v>0</v>
      </c>
      <c r="J96" s="98" t="b">
        <v>0</v>
      </c>
      <c r="K96" s="98" t="b">
        <v>0</v>
      </c>
      <c r="L96" s="98" t="b">
        <v>0</v>
      </c>
    </row>
    <row r="97" spans="1:12" ht="15">
      <c r="A97" s="99" t="s">
        <v>2365</v>
      </c>
      <c r="B97" s="98" t="s">
        <v>2402</v>
      </c>
      <c r="C97" s="98">
        <v>5</v>
      </c>
      <c r="D97" s="111">
        <v>0.003180567101851031</v>
      </c>
      <c r="E97" s="111">
        <v>2.250420002308894</v>
      </c>
      <c r="F97" s="98" t="s">
        <v>1055</v>
      </c>
      <c r="G97" s="98" t="b">
        <v>0</v>
      </c>
      <c r="H97" s="98" t="b">
        <v>0</v>
      </c>
      <c r="I97" s="98" t="b">
        <v>0</v>
      </c>
      <c r="J97" s="98" t="b">
        <v>0</v>
      </c>
      <c r="K97" s="98" t="b">
        <v>0</v>
      </c>
      <c r="L97" s="98" t="b">
        <v>0</v>
      </c>
    </row>
    <row r="98" spans="1:12" ht="15">
      <c r="A98" s="99" t="s">
        <v>2402</v>
      </c>
      <c r="B98" s="98" t="s">
        <v>934</v>
      </c>
      <c r="C98" s="98">
        <v>5</v>
      </c>
      <c r="D98" s="111">
        <v>0.003180567101851031</v>
      </c>
      <c r="E98" s="111">
        <v>1.4722687519252504</v>
      </c>
      <c r="F98" s="98" t="s">
        <v>1055</v>
      </c>
      <c r="G98" s="98" t="b">
        <v>0</v>
      </c>
      <c r="H98" s="98" t="b">
        <v>0</v>
      </c>
      <c r="I98" s="98" t="b">
        <v>0</v>
      </c>
      <c r="J98" s="98" t="b">
        <v>0</v>
      </c>
      <c r="K98" s="98" t="b">
        <v>0</v>
      </c>
      <c r="L98" s="98" t="b">
        <v>0</v>
      </c>
    </row>
    <row r="99" spans="1:12" ht="15">
      <c r="A99" s="99" t="s">
        <v>934</v>
      </c>
      <c r="B99" s="98" t="s">
        <v>2403</v>
      </c>
      <c r="C99" s="98">
        <v>5</v>
      </c>
      <c r="D99" s="111">
        <v>0.003180567101851031</v>
      </c>
      <c r="E99" s="111">
        <v>1.4722687519252504</v>
      </c>
      <c r="F99" s="98" t="s">
        <v>1055</v>
      </c>
      <c r="G99" s="98" t="b">
        <v>0</v>
      </c>
      <c r="H99" s="98" t="b">
        <v>0</v>
      </c>
      <c r="I99" s="98" t="b">
        <v>0</v>
      </c>
      <c r="J99" s="98" t="b">
        <v>0</v>
      </c>
      <c r="K99" s="98" t="b">
        <v>0</v>
      </c>
      <c r="L99" s="98" t="b">
        <v>0</v>
      </c>
    </row>
    <row r="100" spans="1:12" ht="15">
      <c r="A100" s="99" t="s">
        <v>2403</v>
      </c>
      <c r="B100" s="98" t="s">
        <v>996</v>
      </c>
      <c r="C100" s="98">
        <v>5</v>
      </c>
      <c r="D100" s="111">
        <v>0.003180567101851031</v>
      </c>
      <c r="E100" s="111">
        <v>2.0743287432532127</v>
      </c>
      <c r="F100" s="98" t="s">
        <v>1055</v>
      </c>
      <c r="G100" s="98" t="b">
        <v>0</v>
      </c>
      <c r="H100" s="98" t="b">
        <v>0</v>
      </c>
      <c r="I100" s="98" t="b">
        <v>0</v>
      </c>
      <c r="J100" s="98" t="b">
        <v>0</v>
      </c>
      <c r="K100" s="98" t="b">
        <v>0</v>
      </c>
      <c r="L100" s="98" t="b">
        <v>0</v>
      </c>
    </row>
    <row r="101" spans="1:12" ht="15">
      <c r="A101" s="99" t="s">
        <v>998</v>
      </c>
      <c r="B101" s="98" t="s">
        <v>2404</v>
      </c>
      <c r="C101" s="98">
        <v>5</v>
      </c>
      <c r="D101" s="111">
        <v>0.003180567101851031</v>
      </c>
      <c r="E101" s="111">
        <v>2.0743287432532127</v>
      </c>
      <c r="F101" s="98" t="s">
        <v>1055</v>
      </c>
      <c r="G101" s="98" t="b">
        <v>0</v>
      </c>
      <c r="H101" s="98" t="b">
        <v>0</v>
      </c>
      <c r="I101" s="98" t="b">
        <v>0</v>
      </c>
      <c r="J101" s="98" t="b">
        <v>0</v>
      </c>
      <c r="K101" s="98" t="b">
        <v>0</v>
      </c>
      <c r="L101" s="98" t="b">
        <v>0</v>
      </c>
    </row>
    <row r="102" spans="1:12" ht="15">
      <c r="A102" s="99" t="s">
        <v>945</v>
      </c>
      <c r="B102" s="98" t="s">
        <v>966</v>
      </c>
      <c r="C102" s="98">
        <v>5</v>
      </c>
      <c r="D102" s="111">
        <v>0.003180567101851031</v>
      </c>
      <c r="E102" s="111">
        <v>1.3910815231800269</v>
      </c>
      <c r="F102" s="98" t="s">
        <v>1055</v>
      </c>
      <c r="G102" s="98" t="b">
        <v>0</v>
      </c>
      <c r="H102" s="98" t="b">
        <v>0</v>
      </c>
      <c r="I102" s="98" t="b">
        <v>0</v>
      </c>
      <c r="J102" s="98" t="b">
        <v>0</v>
      </c>
      <c r="K102" s="98" t="b">
        <v>0</v>
      </c>
      <c r="L102" s="98" t="b">
        <v>0</v>
      </c>
    </row>
    <row r="103" spans="1:12" ht="15">
      <c r="A103" s="99" t="s">
        <v>2406</v>
      </c>
      <c r="B103" s="98" t="s">
        <v>945</v>
      </c>
      <c r="C103" s="98">
        <v>4</v>
      </c>
      <c r="D103" s="111">
        <v>0.002714844913143342</v>
      </c>
      <c r="E103" s="111">
        <v>1.8824432170142995</v>
      </c>
      <c r="F103" s="98" t="s">
        <v>1055</v>
      </c>
      <c r="G103" s="98" t="b">
        <v>0</v>
      </c>
      <c r="H103" s="98" t="b">
        <v>0</v>
      </c>
      <c r="I103" s="98" t="b">
        <v>0</v>
      </c>
      <c r="J103" s="98" t="b">
        <v>0</v>
      </c>
      <c r="K103" s="98" t="b">
        <v>0</v>
      </c>
      <c r="L103" s="98" t="b">
        <v>0</v>
      </c>
    </row>
    <row r="104" spans="1:12" ht="15">
      <c r="A104" s="99" t="s">
        <v>338</v>
      </c>
      <c r="B104" s="98" t="s">
        <v>2407</v>
      </c>
      <c r="C104" s="98">
        <v>4</v>
      </c>
      <c r="D104" s="111">
        <v>0.002714844913143342</v>
      </c>
      <c r="E104" s="111">
        <v>2.288208563198294</v>
      </c>
      <c r="F104" s="98" t="s">
        <v>1055</v>
      </c>
      <c r="G104" s="98" t="b">
        <v>0</v>
      </c>
      <c r="H104" s="98" t="b">
        <v>0</v>
      </c>
      <c r="I104" s="98" t="b">
        <v>0</v>
      </c>
      <c r="J104" s="98" t="b">
        <v>0</v>
      </c>
      <c r="K104" s="98" t="b">
        <v>0</v>
      </c>
      <c r="L104" s="98" t="b">
        <v>0</v>
      </c>
    </row>
    <row r="105" spans="1:12" ht="15">
      <c r="A105" s="99" t="s">
        <v>2407</v>
      </c>
      <c r="B105" s="98" t="s">
        <v>1027</v>
      </c>
      <c r="C105" s="98">
        <v>4</v>
      </c>
      <c r="D105" s="111">
        <v>0.002714844913143342</v>
      </c>
      <c r="E105" s="111">
        <v>2.288208563198294</v>
      </c>
      <c r="F105" s="98" t="s">
        <v>1055</v>
      </c>
      <c r="G105" s="98" t="b">
        <v>0</v>
      </c>
      <c r="H105" s="98" t="b">
        <v>0</v>
      </c>
      <c r="I105" s="98" t="b">
        <v>0</v>
      </c>
      <c r="J105" s="98" t="b">
        <v>0</v>
      </c>
      <c r="K105" s="98" t="b">
        <v>0</v>
      </c>
      <c r="L105" s="98" t="b">
        <v>0</v>
      </c>
    </row>
    <row r="106" spans="1:12" ht="15">
      <c r="A106" s="99" t="s">
        <v>1027</v>
      </c>
      <c r="B106" s="98" t="s">
        <v>2408</v>
      </c>
      <c r="C106" s="98">
        <v>4</v>
      </c>
      <c r="D106" s="111">
        <v>0.002714844913143342</v>
      </c>
      <c r="E106" s="111">
        <v>2.288208563198294</v>
      </c>
      <c r="F106" s="98" t="s">
        <v>1055</v>
      </c>
      <c r="G106" s="98" t="b">
        <v>0</v>
      </c>
      <c r="H106" s="98" t="b">
        <v>0</v>
      </c>
      <c r="I106" s="98" t="b">
        <v>0</v>
      </c>
      <c r="J106" s="98" t="b">
        <v>0</v>
      </c>
      <c r="K106" s="98" t="b">
        <v>0</v>
      </c>
      <c r="L106" s="98" t="b">
        <v>0</v>
      </c>
    </row>
    <row r="107" spans="1:12" ht="15">
      <c r="A107" s="99" t="s">
        <v>2408</v>
      </c>
      <c r="B107" s="98" t="s">
        <v>2409</v>
      </c>
      <c r="C107" s="98">
        <v>4</v>
      </c>
      <c r="D107" s="111">
        <v>0.002714844913143342</v>
      </c>
      <c r="E107" s="111">
        <v>2.727541257028556</v>
      </c>
      <c r="F107" s="98" t="s">
        <v>1055</v>
      </c>
      <c r="G107" s="98" t="b">
        <v>0</v>
      </c>
      <c r="H107" s="98" t="b">
        <v>0</v>
      </c>
      <c r="I107" s="98" t="b">
        <v>0</v>
      </c>
      <c r="J107" s="98" t="b">
        <v>0</v>
      </c>
      <c r="K107" s="98" t="b">
        <v>0</v>
      </c>
      <c r="L107" s="98" t="b">
        <v>0</v>
      </c>
    </row>
    <row r="108" spans="1:12" ht="15">
      <c r="A108" s="99" t="s">
        <v>2409</v>
      </c>
      <c r="B108" s="98" t="s">
        <v>2410</v>
      </c>
      <c r="C108" s="98">
        <v>4</v>
      </c>
      <c r="D108" s="111">
        <v>0.002714844913143342</v>
      </c>
      <c r="E108" s="111">
        <v>2.727541257028556</v>
      </c>
      <c r="F108" s="98" t="s">
        <v>1055</v>
      </c>
      <c r="G108" s="98" t="b">
        <v>0</v>
      </c>
      <c r="H108" s="98" t="b">
        <v>0</v>
      </c>
      <c r="I108" s="98" t="b">
        <v>0</v>
      </c>
      <c r="J108" s="98" t="b">
        <v>0</v>
      </c>
      <c r="K108" s="98" t="b">
        <v>0</v>
      </c>
      <c r="L108" s="98" t="b">
        <v>0</v>
      </c>
    </row>
    <row r="109" spans="1:12" ht="15">
      <c r="A109" s="99" t="s">
        <v>2410</v>
      </c>
      <c r="B109" s="98" t="s">
        <v>2411</v>
      </c>
      <c r="C109" s="98">
        <v>4</v>
      </c>
      <c r="D109" s="111">
        <v>0.002714844913143342</v>
      </c>
      <c r="E109" s="111">
        <v>2.727541257028556</v>
      </c>
      <c r="F109" s="98" t="s">
        <v>1055</v>
      </c>
      <c r="G109" s="98" t="b">
        <v>0</v>
      </c>
      <c r="H109" s="98" t="b">
        <v>0</v>
      </c>
      <c r="I109" s="98" t="b">
        <v>0</v>
      </c>
      <c r="J109" s="98" t="b">
        <v>0</v>
      </c>
      <c r="K109" s="98" t="b">
        <v>0</v>
      </c>
      <c r="L109" s="98" t="b">
        <v>0</v>
      </c>
    </row>
    <row r="110" spans="1:12" ht="15">
      <c r="A110" s="99" t="s">
        <v>2411</v>
      </c>
      <c r="B110" s="98" t="s">
        <v>2412</v>
      </c>
      <c r="C110" s="98">
        <v>4</v>
      </c>
      <c r="D110" s="111">
        <v>0.002714844913143342</v>
      </c>
      <c r="E110" s="111">
        <v>2.727541257028556</v>
      </c>
      <c r="F110" s="98" t="s">
        <v>1055</v>
      </c>
      <c r="G110" s="98" t="b">
        <v>0</v>
      </c>
      <c r="H110" s="98" t="b">
        <v>0</v>
      </c>
      <c r="I110" s="98" t="b">
        <v>0</v>
      </c>
      <c r="J110" s="98" t="b">
        <v>0</v>
      </c>
      <c r="K110" s="98" t="b">
        <v>0</v>
      </c>
      <c r="L110" s="98" t="b">
        <v>0</v>
      </c>
    </row>
    <row r="111" spans="1:12" ht="15">
      <c r="A111" s="99" t="s">
        <v>2412</v>
      </c>
      <c r="B111" s="98" t="s">
        <v>2413</v>
      </c>
      <c r="C111" s="98">
        <v>4</v>
      </c>
      <c r="D111" s="111">
        <v>0.002714844913143342</v>
      </c>
      <c r="E111" s="111">
        <v>2.727541257028556</v>
      </c>
      <c r="F111" s="98" t="s">
        <v>1055</v>
      </c>
      <c r="G111" s="98" t="b">
        <v>0</v>
      </c>
      <c r="H111" s="98" t="b">
        <v>0</v>
      </c>
      <c r="I111" s="98" t="b">
        <v>0</v>
      </c>
      <c r="J111" s="98" t="b">
        <v>0</v>
      </c>
      <c r="K111" s="98" t="b">
        <v>0</v>
      </c>
      <c r="L111" s="98" t="b">
        <v>0</v>
      </c>
    </row>
    <row r="112" spans="1:12" ht="15">
      <c r="A112" s="99" t="s">
        <v>2413</v>
      </c>
      <c r="B112" s="98" t="s">
        <v>2414</v>
      </c>
      <c r="C112" s="98">
        <v>4</v>
      </c>
      <c r="D112" s="111">
        <v>0.002714844913143342</v>
      </c>
      <c r="E112" s="111">
        <v>2.727541257028556</v>
      </c>
      <c r="F112" s="98" t="s">
        <v>1055</v>
      </c>
      <c r="G112" s="98" t="b">
        <v>0</v>
      </c>
      <c r="H112" s="98" t="b">
        <v>0</v>
      </c>
      <c r="I112" s="98" t="b">
        <v>0</v>
      </c>
      <c r="J112" s="98" t="b">
        <v>0</v>
      </c>
      <c r="K112" s="98" t="b">
        <v>0</v>
      </c>
      <c r="L112" s="98" t="b">
        <v>0</v>
      </c>
    </row>
    <row r="113" spans="1:12" ht="15">
      <c r="A113" s="99" t="s">
        <v>2414</v>
      </c>
      <c r="B113" s="98" t="s">
        <v>2415</v>
      </c>
      <c r="C113" s="98">
        <v>4</v>
      </c>
      <c r="D113" s="111">
        <v>0.002714844913143342</v>
      </c>
      <c r="E113" s="111">
        <v>2.727541257028556</v>
      </c>
      <c r="F113" s="98" t="s">
        <v>1055</v>
      </c>
      <c r="G113" s="98" t="b">
        <v>0</v>
      </c>
      <c r="H113" s="98" t="b">
        <v>0</v>
      </c>
      <c r="I113" s="98" t="b">
        <v>0</v>
      </c>
      <c r="J113" s="98" t="b">
        <v>0</v>
      </c>
      <c r="K113" s="98" t="b">
        <v>0</v>
      </c>
      <c r="L113" s="98" t="b">
        <v>0</v>
      </c>
    </row>
    <row r="114" spans="1:12" ht="15">
      <c r="A114" s="99" t="s">
        <v>2415</v>
      </c>
      <c r="B114" s="98" t="s">
        <v>2416</v>
      </c>
      <c r="C114" s="98">
        <v>4</v>
      </c>
      <c r="D114" s="111">
        <v>0.002714844913143342</v>
      </c>
      <c r="E114" s="111">
        <v>2.727541257028556</v>
      </c>
      <c r="F114" s="98" t="s">
        <v>1055</v>
      </c>
      <c r="G114" s="98" t="b">
        <v>0</v>
      </c>
      <c r="H114" s="98" t="b">
        <v>0</v>
      </c>
      <c r="I114" s="98" t="b">
        <v>0</v>
      </c>
      <c r="J114" s="98" t="b">
        <v>0</v>
      </c>
      <c r="K114" s="98" t="b">
        <v>0</v>
      </c>
      <c r="L114" s="98" t="b">
        <v>0</v>
      </c>
    </row>
    <row r="115" spans="1:12" ht="15">
      <c r="A115" s="99" t="s">
        <v>2416</v>
      </c>
      <c r="B115" s="98" t="s">
        <v>2417</v>
      </c>
      <c r="C115" s="98">
        <v>4</v>
      </c>
      <c r="D115" s="111">
        <v>0.002714844913143342</v>
      </c>
      <c r="E115" s="111">
        <v>2.727541257028556</v>
      </c>
      <c r="F115" s="98" t="s">
        <v>1055</v>
      </c>
      <c r="G115" s="98" t="b">
        <v>0</v>
      </c>
      <c r="H115" s="98" t="b">
        <v>0</v>
      </c>
      <c r="I115" s="98" t="b">
        <v>0</v>
      </c>
      <c r="J115" s="98" t="b">
        <v>0</v>
      </c>
      <c r="K115" s="98" t="b">
        <v>0</v>
      </c>
      <c r="L115" s="98" t="b">
        <v>0</v>
      </c>
    </row>
    <row r="116" spans="1:12" ht="15">
      <c r="A116" s="99" t="s">
        <v>2417</v>
      </c>
      <c r="B116" s="98" t="s">
        <v>2418</v>
      </c>
      <c r="C116" s="98">
        <v>4</v>
      </c>
      <c r="D116" s="111">
        <v>0.002714844913143342</v>
      </c>
      <c r="E116" s="111">
        <v>2.727541257028556</v>
      </c>
      <c r="F116" s="98" t="s">
        <v>1055</v>
      </c>
      <c r="G116" s="98" t="b">
        <v>0</v>
      </c>
      <c r="H116" s="98" t="b">
        <v>0</v>
      </c>
      <c r="I116" s="98" t="b">
        <v>0</v>
      </c>
      <c r="J116" s="98" t="b">
        <v>0</v>
      </c>
      <c r="K116" s="98" t="b">
        <v>0</v>
      </c>
      <c r="L116" s="98" t="b">
        <v>0</v>
      </c>
    </row>
    <row r="117" spans="1:12" ht="15">
      <c r="A117" s="99" t="s">
        <v>2418</v>
      </c>
      <c r="B117" s="98" t="s">
        <v>2419</v>
      </c>
      <c r="C117" s="98">
        <v>4</v>
      </c>
      <c r="D117" s="111">
        <v>0.002714844913143342</v>
      </c>
      <c r="E117" s="111">
        <v>2.727541257028556</v>
      </c>
      <c r="F117" s="98" t="s">
        <v>1055</v>
      </c>
      <c r="G117" s="98" t="b">
        <v>0</v>
      </c>
      <c r="H117" s="98" t="b">
        <v>0</v>
      </c>
      <c r="I117" s="98" t="b">
        <v>0</v>
      </c>
      <c r="J117" s="98" t="b">
        <v>0</v>
      </c>
      <c r="K117" s="98" t="b">
        <v>0</v>
      </c>
      <c r="L117" s="98" t="b">
        <v>0</v>
      </c>
    </row>
    <row r="118" spans="1:12" ht="15">
      <c r="A118" s="99" t="s">
        <v>293</v>
      </c>
      <c r="B118" s="98" t="s">
        <v>932</v>
      </c>
      <c r="C118" s="98">
        <v>4</v>
      </c>
      <c r="D118" s="111">
        <v>0.002714844913143342</v>
      </c>
      <c r="E118" s="111">
        <v>0.33881855655338106</v>
      </c>
      <c r="F118" s="98" t="s">
        <v>1055</v>
      </c>
      <c r="G118" s="98" t="b">
        <v>0</v>
      </c>
      <c r="H118" s="98" t="b">
        <v>0</v>
      </c>
      <c r="I118" s="98" t="b">
        <v>0</v>
      </c>
      <c r="J118" s="98" t="b">
        <v>0</v>
      </c>
      <c r="K118" s="98" t="b">
        <v>0</v>
      </c>
      <c r="L118" s="98" t="b">
        <v>0</v>
      </c>
    </row>
    <row r="119" spans="1:12" ht="15">
      <c r="A119" s="99" t="s">
        <v>293</v>
      </c>
      <c r="B119" s="98" t="s">
        <v>967</v>
      </c>
      <c r="C119" s="98">
        <v>4</v>
      </c>
      <c r="D119" s="111">
        <v>0.002714844913143342</v>
      </c>
      <c r="E119" s="111">
        <v>1.6861485718703315</v>
      </c>
      <c r="F119" s="98" t="s">
        <v>1055</v>
      </c>
      <c r="G119" s="98" t="b">
        <v>0</v>
      </c>
      <c r="H119" s="98" t="b">
        <v>0</v>
      </c>
      <c r="I119" s="98" t="b">
        <v>0</v>
      </c>
      <c r="J119" s="98" t="b">
        <v>0</v>
      </c>
      <c r="K119" s="98" t="b">
        <v>0</v>
      </c>
      <c r="L119" s="98" t="b">
        <v>0</v>
      </c>
    </row>
    <row r="120" spans="1:12" ht="15">
      <c r="A120" s="99" t="s">
        <v>967</v>
      </c>
      <c r="B120" s="98" t="s">
        <v>930</v>
      </c>
      <c r="C120" s="98">
        <v>4</v>
      </c>
      <c r="D120" s="111">
        <v>0.002714844913143342</v>
      </c>
      <c r="E120" s="111">
        <v>1.225797527400562</v>
      </c>
      <c r="F120" s="98" t="s">
        <v>1055</v>
      </c>
      <c r="G120" s="98" t="b">
        <v>0</v>
      </c>
      <c r="H120" s="98" t="b">
        <v>0</v>
      </c>
      <c r="I120" s="98" t="b">
        <v>0</v>
      </c>
      <c r="J120" s="98" t="b">
        <v>0</v>
      </c>
      <c r="K120" s="98" t="b">
        <v>0</v>
      </c>
      <c r="L120" s="98" t="b">
        <v>0</v>
      </c>
    </row>
    <row r="121" spans="1:12" ht="15">
      <c r="A121" s="99" t="s">
        <v>933</v>
      </c>
      <c r="B121" s="98" t="s">
        <v>935</v>
      </c>
      <c r="C121" s="98">
        <v>4</v>
      </c>
      <c r="D121" s="111">
        <v>0.002714844913143342</v>
      </c>
      <c r="E121" s="111">
        <v>0.2961774928695691</v>
      </c>
      <c r="F121" s="98" t="s">
        <v>1055</v>
      </c>
      <c r="G121" s="98" t="b">
        <v>0</v>
      </c>
      <c r="H121" s="98" t="b">
        <v>0</v>
      </c>
      <c r="I121" s="98" t="b">
        <v>0</v>
      </c>
      <c r="J121" s="98" t="b">
        <v>0</v>
      </c>
      <c r="K121" s="98" t="b">
        <v>0</v>
      </c>
      <c r="L121" s="98" t="b">
        <v>0</v>
      </c>
    </row>
    <row r="122" spans="1:12" ht="15">
      <c r="A122" s="99" t="s">
        <v>935</v>
      </c>
      <c r="B122" s="98" t="s">
        <v>968</v>
      </c>
      <c r="C122" s="98">
        <v>4</v>
      </c>
      <c r="D122" s="111">
        <v>0.002714844913143342</v>
      </c>
      <c r="E122" s="111">
        <v>1.551449997972875</v>
      </c>
      <c r="F122" s="98" t="s">
        <v>1055</v>
      </c>
      <c r="G122" s="98" t="b">
        <v>0</v>
      </c>
      <c r="H122" s="98" t="b">
        <v>0</v>
      </c>
      <c r="I122" s="98" t="b">
        <v>0</v>
      </c>
      <c r="J122" s="98" t="b">
        <v>0</v>
      </c>
      <c r="K122" s="98" t="b">
        <v>0</v>
      </c>
      <c r="L122" s="98" t="b">
        <v>0</v>
      </c>
    </row>
    <row r="123" spans="1:12" ht="15">
      <c r="A123" s="99" t="s">
        <v>968</v>
      </c>
      <c r="B123" s="98" t="s">
        <v>969</v>
      </c>
      <c r="C123" s="98">
        <v>4</v>
      </c>
      <c r="D123" s="111">
        <v>0.002714844913143342</v>
      </c>
      <c r="E123" s="111">
        <v>2.727541257028556</v>
      </c>
      <c r="F123" s="98" t="s">
        <v>1055</v>
      </c>
      <c r="G123" s="98" t="b">
        <v>0</v>
      </c>
      <c r="H123" s="98" t="b">
        <v>0</v>
      </c>
      <c r="I123" s="98" t="b">
        <v>0</v>
      </c>
      <c r="J123" s="98" t="b">
        <v>0</v>
      </c>
      <c r="K123" s="98" t="b">
        <v>0</v>
      </c>
      <c r="L123" s="98" t="b">
        <v>0</v>
      </c>
    </row>
    <row r="124" spans="1:12" ht="15">
      <c r="A124" s="99" t="s">
        <v>969</v>
      </c>
      <c r="B124" s="98" t="s">
        <v>295</v>
      </c>
      <c r="C124" s="98">
        <v>4</v>
      </c>
      <c r="D124" s="111">
        <v>0.002714844913143342</v>
      </c>
      <c r="E124" s="111">
        <v>1.9871785675343125</v>
      </c>
      <c r="F124" s="98" t="s">
        <v>1055</v>
      </c>
      <c r="G124" s="98" t="b">
        <v>0</v>
      </c>
      <c r="H124" s="98" t="b">
        <v>0</v>
      </c>
      <c r="I124" s="98" t="b">
        <v>0</v>
      </c>
      <c r="J124" s="98" t="b">
        <v>0</v>
      </c>
      <c r="K124" s="98" t="b">
        <v>0</v>
      </c>
      <c r="L124" s="98" t="b">
        <v>0</v>
      </c>
    </row>
    <row r="125" spans="1:12" ht="15">
      <c r="A125" s="99" t="s">
        <v>295</v>
      </c>
      <c r="B125" s="98" t="s">
        <v>970</v>
      </c>
      <c r="C125" s="98">
        <v>4</v>
      </c>
      <c r="D125" s="111">
        <v>0.002714844913143342</v>
      </c>
      <c r="E125" s="111">
        <v>2.1834732126782805</v>
      </c>
      <c r="F125" s="98" t="s">
        <v>1055</v>
      </c>
      <c r="G125" s="98" t="b">
        <v>0</v>
      </c>
      <c r="H125" s="98" t="b">
        <v>0</v>
      </c>
      <c r="I125" s="98" t="b">
        <v>0</v>
      </c>
      <c r="J125" s="98" t="b">
        <v>0</v>
      </c>
      <c r="K125" s="98" t="b">
        <v>0</v>
      </c>
      <c r="L125" s="98" t="b">
        <v>0</v>
      </c>
    </row>
    <row r="126" spans="1:12" ht="15">
      <c r="A126" s="99" t="s">
        <v>970</v>
      </c>
      <c r="B126" s="98" t="s">
        <v>971</v>
      </c>
      <c r="C126" s="98">
        <v>4</v>
      </c>
      <c r="D126" s="111">
        <v>0.002714844913143342</v>
      </c>
      <c r="E126" s="111">
        <v>2.727541257028556</v>
      </c>
      <c r="F126" s="98" t="s">
        <v>1055</v>
      </c>
      <c r="G126" s="98" t="b">
        <v>0</v>
      </c>
      <c r="H126" s="98" t="b">
        <v>0</v>
      </c>
      <c r="I126" s="98" t="b">
        <v>0</v>
      </c>
      <c r="J126" s="98" t="b">
        <v>0</v>
      </c>
      <c r="K126" s="98" t="b">
        <v>0</v>
      </c>
      <c r="L126" s="98" t="b">
        <v>0</v>
      </c>
    </row>
    <row r="127" spans="1:12" ht="15">
      <c r="A127" s="99" t="s">
        <v>971</v>
      </c>
      <c r="B127" s="98" t="s">
        <v>972</v>
      </c>
      <c r="C127" s="98">
        <v>4</v>
      </c>
      <c r="D127" s="111">
        <v>0.002714844913143342</v>
      </c>
      <c r="E127" s="111">
        <v>2.727541257028556</v>
      </c>
      <c r="F127" s="98" t="s">
        <v>1055</v>
      </c>
      <c r="G127" s="98" t="b">
        <v>0</v>
      </c>
      <c r="H127" s="98" t="b">
        <v>0</v>
      </c>
      <c r="I127" s="98" t="b">
        <v>0</v>
      </c>
      <c r="J127" s="98" t="b">
        <v>0</v>
      </c>
      <c r="K127" s="98" t="b">
        <v>0</v>
      </c>
      <c r="L127" s="98" t="b">
        <v>0</v>
      </c>
    </row>
    <row r="128" spans="1:12" ht="15">
      <c r="A128" s="99" t="s">
        <v>972</v>
      </c>
      <c r="B128" s="98" t="s">
        <v>973</v>
      </c>
      <c r="C128" s="98">
        <v>4</v>
      </c>
      <c r="D128" s="111">
        <v>0.002714844913143342</v>
      </c>
      <c r="E128" s="111">
        <v>2.727541257028556</v>
      </c>
      <c r="F128" s="98" t="s">
        <v>1055</v>
      </c>
      <c r="G128" s="98" t="b">
        <v>0</v>
      </c>
      <c r="H128" s="98" t="b">
        <v>0</v>
      </c>
      <c r="I128" s="98" t="b">
        <v>0</v>
      </c>
      <c r="J128" s="98" t="b">
        <v>0</v>
      </c>
      <c r="K128" s="98" t="b">
        <v>0</v>
      </c>
      <c r="L128" s="98" t="b">
        <v>0</v>
      </c>
    </row>
    <row r="129" spans="1:12" ht="15">
      <c r="A129" s="99" t="s">
        <v>973</v>
      </c>
      <c r="B129" s="98" t="s">
        <v>974</v>
      </c>
      <c r="C129" s="98">
        <v>4</v>
      </c>
      <c r="D129" s="111">
        <v>0.002714844913143342</v>
      </c>
      <c r="E129" s="111">
        <v>2.727541257028556</v>
      </c>
      <c r="F129" s="98" t="s">
        <v>1055</v>
      </c>
      <c r="G129" s="98" t="b">
        <v>0</v>
      </c>
      <c r="H129" s="98" t="b">
        <v>0</v>
      </c>
      <c r="I129" s="98" t="b">
        <v>0</v>
      </c>
      <c r="J129" s="98" t="b">
        <v>0</v>
      </c>
      <c r="K129" s="98" t="b">
        <v>0</v>
      </c>
      <c r="L129" s="98" t="b">
        <v>0</v>
      </c>
    </row>
    <row r="130" spans="1:12" ht="15">
      <c r="A130" s="99" t="s">
        <v>974</v>
      </c>
      <c r="B130" s="98" t="s">
        <v>975</v>
      </c>
      <c r="C130" s="98">
        <v>4</v>
      </c>
      <c r="D130" s="111">
        <v>0.002714844913143342</v>
      </c>
      <c r="E130" s="111">
        <v>2.727541257028556</v>
      </c>
      <c r="F130" s="98" t="s">
        <v>1055</v>
      </c>
      <c r="G130" s="98" t="b">
        <v>0</v>
      </c>
      <c r="H130" s="98" t="b">
        <v>0</v>
      </c>
      <c r="I130" s="98" t="b">
        <v>0</v>
      </c>
      <c r="J130" s="98" t="b">
        <v>0</v>
      </c>
      <c r="K130" s="98" t="b">
        <v>0</v>
      </c>
      <c r="L130" s="98" t="b">
        <v>0</v>
      </c>
    </row>
    <row r="131" spans="1:12" ht="15">
      <c r="A131" s="99" t="s">
        <v>975</v>
      </c>
      <c r="B131" s="98" t="s">
        <v>976</v>
      </c>
      <c r="C131" s="98">
        <v>4</v>
      </c>
      <c r="D131" s="111">
        <v>0.002714844913143342</v>
      </c>
      <c r="E131" s="111">
        <v>2.727541257028556</v>
      </c>
      <c r="F131" s="98" t="s">
        <v>1055</v>
      </c>
      <c r="G131" s="98" t="b">
        <v>0</v>
      </c>
      <c r="H131" s="98" t="b">
        <v>0</v>
      </c>
      <c r="I131" s="98" t="b">
        <v>0</v>
      </c>
      <c r="J131" s="98" t="b">
        <v>0</v>
      </c>
      <c r="K131" s="98" t="b">
        <v>0</v>
      </c>
      <c r="L131" s="98" t="b">
        <v>0</v>
      </c>
    </row>
    <row r="132" spans="1:12" ht="15">
      <c r="A132" s="99" t="s">
        <v>976</v>
      </c>
      <c r="B132" s="98" t="s">
        <v>977</v>
      </c>
      <c r="C132" s="98">
        <v>4</v>
      </c>
      <c r="D132" s="111">
        <v>0.002714844913143342</v>
      </c>
      <c r="E132" s="111">
        <v>2.727541257028556</v>
      </c>
      <c r="F132" s="98" t="s">
        <v>1055</v>
      </c>
      <c r="G132" s="98" t="b">
        <v>0</v>
      </c>
      <c r="H132" s="98" t="b">
        <v>0</v>
      </c>
      <c r="I132" s="98" t="b">
        <v>0</v>
      </c>
      <c r="J132" s="98" t="b">
        <v>0</v>
      </c>
      <c r="K132" s="98" t="b">
        <v>0</v>
      </c>
      <c r="L132" s="98" t="b">
        <v>0</v>
      </c>
    </row>
    <row r="133" spans="1:12" ht="15">
      <c r="A133" s="99" t="s">
        <v>977</v>
      </c>
      <c r="B133" s="98" t="s">
        <v>297</v>
      </c>
      <c r="C133" s="98">
        <v>4</v>
      </c>
      <c r="D133" s="111">
        <v>0.002714844913143342</v>
      </c>
      <c r="E133" s="111">
        <v>2.727541257028556</v>
      </c>
      <c r="F133" s="98" t="s">
        <v>1055</v>
      </c>
      <c r="G133" s="98" t="b">
        <v>0</v>
      </c>
      <c r="H133" s="98" t="b">
        <v>0</v>
      </c>
      <c r="I133" s="98" t="b">
        <v>0</v>
      </c>
      <c r="J133" s="98" t="b">
        <v>0</v>
      </c>
      <c r="K133" s="98" t="b">
        <v>0</v>
      </c>
      <c r="L133" s="98" t="b">
        <v>0</v>
      </c>
    </row>
    <row r="134" spans="1:12" ht="15">
      <c r="A134" s="99" t="s">
        <v>297</v>
      </c>
      <c r="B134" s="98" t="s">
        <v>932</v>
      </c>
      <c r="C134" s="98">
        <v>4</v>
      </c>
      <c r="D134" s="111">
        <v>0.002714844913143342</v>
      </c>
      <c r="E134" s="111">
        <v>1.380211241711606</v>
      </c>
      <c r="F134" s="98" t="s">
        <v>1055</v>
      </c>
      <c r="G134" s="98" t="b">
        <v>0</v>
      </c>
      <c r="H134" s="98" t="b">
        <v>0</v>
      </c>
      <c r="I134" s="98" t="b">
        <v>0</v>
      </c>
      <c r="J134" s="98" t="b">
        <v>0</v>
      </c>
      <c r="K134" s="98" t="b">
        <v>0</v>
      </c>
      <c r="L134" s="98" t="b">
        <v>0</v>
      </c>
    </row>
    <row r="135" spans="1:12" ht="15">
      <c r="A135" s="99" t="s">
        <v>932</v>
      </c>
      <c r="B135" s="98" t="s">
        <v>978</v>
      </c>
      <c r="C135" s="98">
        <v>4</v>
      </c>
      <c r="D135" s="111">
        <v>0.002714844913143342</v>
      </c>
      <c r="E135" s="111">
        <v>1.4431105231840369</v>
      </c>
      <c r="F135" s="98" t="s">
        <v>1055</v>
      </c>
      <c r="G135" s="98" t="b">
        <v>0</v>
      </c>
      <c r="H135" s="98" t="b">
        <v>0</v>
      </c>
      <c r="I135" s="98" t="b">
        <v>0</v>
      </c>
      <c r="J135" s="98" t="b">
        <v>0</v>
      </c>
      <c r="K135" s="98" t="b">
        <v>0</v>
      </c>
      <c r="L135" s="98" t="b">
        <v>0</v>
      </c>
    </row>
    <row r="136" spans="1:12" ht="15">
      <c r="A136" s="99" t="s">
        <v>2420</v>
      </c>
      <c r="B136" s="98" t="s">
        <v>2421</v>
      </c>
      <c r="C136" s="98">
        <v>4</v>
      </c>
      <c r="D136" s="111">
        <v>0.002714844913143342</v>
      </c>
      <c r="E136" s="111">
        <v>2.727541257028556</v>
      </c>
      <c r="F136" s="98" t="s">
        <v>1055</v>
      </c>
      <c r="G136" s="98" t="b">
        <v>0</v>
      </c>
      <c r="H136" s="98" t="b">
        <v>0</v>
      </c>
      <c r="I136" s="98" t="b">
        <v>0</v>
      </c>
      <c r="J136" s="98" t="b">
        <v>0</v>
      </c>
      <c r="K136" s="98" t="b">
        <v>0</v>
      </c>
      <c r="L136" s="98" t="b">
        <v>0</v>
      </c>
    </row>
    <row r="137" spans="1:12" ht="15">
      <c r="A137" s="99" t="s">
        <v>2421</v>
      </c>
      <c r="B137" s="98" t="s">
        <v>2391</v>
      </c>
      <c r="C137" s="98">
        <v>4</v>
      </c>
      <c r="D137" s="111">
        <v>0.002714844913143342</v>
      </c>
      <c r="E137" s="111">
        <v>2.4265112613645754</v>
      </c>
      <c r="F137" s="98" t="s">
        <v>1055</v>
      </c>
      <c r="G137" s="98" t="b">
        <v>0</v>
      </c>
      <c r="H137" s="98" t="b">
        <v>0</v>
      </c>
      <c r="I137" s="98" t="b">
        <v>0</v>
      </c>
      <c r="J137" s="98" t="b">
        <v>0</v>
      </c>
      <c r="K137" s="98" t="b">
        <v>0</v>
      </c>
      <c r="L137" s="98" t="b">
        <v>0</v>
      </c>
    </row>
    <row r="138" spans="1:12" ht="15">
      <c r="A138" s="99" t="s">
        <v>2391</v>
      </c>
      <c r="B138" s="98" t="s">
        <v>2391</v>
      </c>
      <c r="C138" s="98">
        <v>4</v>
      </c>
      <c r="D138" s="111">
        <v>0.002714844913143342</v>
      </c>
      <c r="E138" s="111">
        <v>2.125481265700594</v>
      </c>
      <c r="F138" s="98" t="s">
        <v>1055</v>
      </c>
      <c r="G138" s="98" t="b">
        <v>0</v>
      </c>
      <c r="H138" s="98" t="b">
        <v>0</v>
      </c>
      <c r="I138" s="98" t="b">
        <v>0</v>
      </c>
      <c r="J138" s="98" t="b">
        <v>0</v>
      </c>
      <c r="K138" s="98" t="b">
        <v>0</v>
      </c>
      <c r="L138" s="98" t="b">
        <v>0</v>
      </c>
    </row>
    <row r="139" spans="1:12" ht="15">
      <c r="A139" s="99" t="s">
        <v>2391</v>
      </c>
      <c r="B139" s="98" t="s">
        <v>2422</v>
      </c>
      <c r="C139" s="98">
        <v>4</v>
      </c>
      <c r="D139" s="111">
        <v>0.002714844913143342</v>
      </c>
      <c r="E139" s="111">
        <v>2.4265112613645754</v>
      </c>
      <c r="F139" s="98" t="s">
        <v>1055</v>
      </c>
      <c r="G139" s="98" t="b">
        <v>0</v>
      </c>
      <c r="H139" s="98" t="b">
        <v>0</v>
      </c>
      <c r="I139" s="98" t="b">
        <v>0</v>
      </c>
      <c r="J139" s="98" t="b">
        <v>0</v>
      </c>
      <c r="K139" s="98" t="b">
        <v>0</v>
      </c>
      <c r="L139" s="98" t="b">
        <v>0</v>
      </c>
    </row>
    <row r="140" spans="1:12" ht="15">
      <c r="A140" s="99" t="s">
        <v>2422</v>
      </c>
      <c r="B140" s="98" t="s">
        <v>2423</v>
      </c>
      <c r="C140" s="98">
        <v>4</v>
      </c>
      <c r="D140" s="111">
        <v>0.002714844913143342</v>
      </c>
      <c r="E140" s="111">
        <v>2.727541257028556</v>
      </c>
      <c r="F140" s="98" t="s">
        <v>1055</v>
      </c>
      <c r="G140" s="98" t="b">
        <v>0</v>
      </c>
      <c r="H140" s="98" t="b">
        <v>0</v>
      </c>
      <c r="I140" s="98" t="b">
        <v>0</v>
      </c>
      <c r="J140" s="98" t="b">
        <v>0</v>
      </c>
      <c r="K140" s="98" t="b">
        <v>0</v>
      </c>
      <c r="L140" s="98" t="b">
        <v>0</v>
      </c>
    </row>
    <row r="141" spans="1:12" ht="15">
      <c r="A141" s="99" t="s">
        <v>2423</v>
      </c>
      <c r="B141" s="98" t="s">
        <v>985</v>
      </c>
      <c r="C141" s="98">
        <v>4</v>
      </c>
      <c r="D141" s="111">
        <v>0.002714844913143342</v>
      </c>
      <c r="E141" s="111">
        <v>2.484503208342262</v>
      </c>
      <c r="F141" s="98" t="s">
        <v>1055</v>
      </c>
      <c r="G141" s="98" t="b">
        <v>0</v>
      </c>
      <c r="H141" s="98" t="b">
        <v>0</v>
      </c>
      <c r="I141" s="98" t="b">
        <v>0</v>
      </c>
      <c r="J141" s="98" t="b">
        <v>0</v>
      </c>
      <c r="K141" s="98" t="b">
        <v>0</v>
      </c>
      <c r="L141" s="98" t="b">
        <v>0</v>
      </c>
    </row>
    <row r="142" spans="1:12" ht="15">
      <c r="A142" s="99" t="s">
        <v>985</v>
      </c>
      <c r="B142" s="98" t="s">
        <v>2424</v>
      </c>
      <c r="C142" s="98">
        <v>4</v>
      </c>
      <c r="D142" s="111">
        <v>0.002714844913143342</v>
      </c>
      <c r="E142" s="111">
        <v>2.484503208342262</v>
      </c>
      <c r="F142" s="98" t="s">
        <v>1055</v>
      </c>
      <c r="G142" s="98" t="b">
        <v>0</v>
      </c>
      <c r="H142" s="98" t="b">
        <v>0</v>
      </c>
      <c r="I142" s="98" t="b">
        <v>0</v>
      </c>
      <c r="J142" s="98" t="b">
        <v>0</v>
      </c>
      <c r="K142" s="98" t="b">
        <v>0</v>
      </c>
      <c r="L142" s="98" t="b">
        <v>0</v>
      </c>
    </row>
    <row r="143" spans="1:12" ht="15">
      <c r="A143" s="99" t="s">
        <v>2424</v>
      </c>
      <c r="B143" s="98" t="s">
        <v>2425</v>
      </c>
      <c r="C143" s="98">
        <v>4</v>
      </c>
      <c r="D143" s="111">
        <v>0.002714844913143342</v>
      </c>
      <c r="E143" s="111">
        <v>2.727541257028556</v>
      </c>
      <c r="F143" s="98" t="s">
        <v>1055</v>
      </c>
      <c r="G143" s="98" t="b">
        <v>0</v>
      </c>
      <c r="H143" s="98" t="b">
        <v>0</v>
      </c>
      <c r="I143" s="98" t="b">
        <v>0</v>
      </c>
      <c r="J143" s="98" t="b">
        <v>0</v>
      </c>
      <c r="K143" s="98" t="b">
        <v>0</v>
      </c>
      <c r="L143" s="98" t="b">
        <v>0</v>
      </c>
    </row>
    <row r="144" spans="1:12" ht="15">
      <c r="A144" s="99" t="s">
        <v>2425</v>
      </c>
      <c r="B144" s="98" t="s">
        <v>930</v>
      </c>
      <c r="C144" s="98">
        <v>4</v>
      </c>
      <c r="D144" s="111">
        <v>0.002714844913143342</v>
      </c>
      <c r="E144" s="111">
        <v>1.225797527400562</v>
      </c>
      <c r="F144" s="98" t="s">
        <v>1055</v>
      </c>
      <c r="G144" s="98" t="b">
        <v>0</v>
      </c>
      <c r="H144" s="98" t="b">
        <v>0</v>
      </c>
      <c r="I144" s="98" t="b">
        <v>0</v>
      </c>
      <c r="J144" s="98" t="b">
        <v>0</v>
      </c>
      <c r="K144" s="98" t="b">
        <v>0</v>
      </c>
      <c r="L144" s="98" t="b">
        <v>0</v>
      </c>
    </row>
    <row r="145" spans="1:12" ht="15">
      <c r="A145" s="99" t="s">
        <v>933</v>
      </c>
      <c r="B145" s="98" t="s">
        <v>2405</v>
      </c>
      <c r="C145" s="98">
        <v>4</v>
      </c>
      <c r="D145" s="111">
        <v>0.002714844913143342</v>
      </c>
      <c r="E145" s="111">
        <v>1.375358738917194</v>
      </c>
      <c r="F145" s="98" t="s">
        <v>1055</v>
      </c>
      <c r="G145" s="98" t="b">
        <v>0</v>
      </c>
      <c r="H145" s="98" t="b">
        <v>0</v>
      </c>
      <c r="I145" s="98" t="b">
        <v>0</v>
      </c>
      <c r="J145" s="98" t="b">
        <v>0</v>
      </c>
      <c r="K145" s="98" t="b">
        <v>0</v>
      </c>
      <c r="L145" s="98" t="b">
        <v>0</v>
      </c>
    </row>
    <row r="146" spans="1:12" ht="15">
      <c r="A146" s="99" t="s">
        <v>2405</v>
      </c>
      <c r="B146" s="98" t="s">
        <v>2426</v>
      </c>
      <c r="C146" s="98">
        <v>4</v>
      </c>
      <c r="D146" s="111">
        <v>0.002714844913143342</v>
      </c>
      <c r="E146" s="111">
        <v>2.6306312440205</v>
      </c>
      <c r="F146" s="98" t="s">
        <v>1055</v>
      </c>
      <c r="G146" s="98" t="b">
        <v>0</v>
      </c>
      <c r="H146" s="98" t="b">
        <v>0</v>
      </c>
      <c r="I146" s="98" t="b">
        <v>0</v>
      </c>
      <c r="J146" s="98" t="b">
        <v>0</v>
      </c>
      <c r="K146" s="98" t="b">
        <v>0</v>
      </c>
      <c r="L146" s="98" t="b">
        <v>0</v>
      </c>
    </row>
    <row r="147" spans="1:12" ht="15">
      <c r="A147" s="99" t="s">
        <v>2426</v>
      </c>
      <c r="B147" s="98" t="s">
        <v>2427</v>
      </c>
      <c r="C147" s="98">
        <v>4</v>
      </c>
      <c r="D147" s="111">
        <v>0.002714844913143342</v>
      </c>
      <c r="E147" s="111">
        <v>2.727541257028556</v>
      </c>
      <c r="F147" s="98" t="s">
        <v>1055</v>
      </c>
      <c r="G147" s="98" t="b">
        <v>0</v>
      </c>
      <c r="H147" s="98" t="b">
        <v>0</v>
      </c>
      <c r="I147" s="98" t="b">
        <v>0</v>
      </c>
      <c r="J147" s="98" t="b">
        <v>0</v>
      </c>
      <c r="K147" s="98" t="b">
        <v>0</v>
      </c>
      <c r="L147" s="98" t="b">
        <v>0</v>
      </c>
    </row>
    <row r="148" spans="1:12" ht="15">
      <c r="A148" s="99" t="s">
        <v>2427</v>
      </c>
      <c r="B148" s="98" t="s">
        <v>2428</v>
      </c>
      <c r="C148" s="98">
        <v>4</v>
      </c>
      <c r="D148" s="111">
        <v>0.002714844913143342</v>
      </c>
      <c r="E148" s="111">
        <v>2.727541257028556</v>
      </c>
      <c r="F148" s="98" t="s">
        <v>1055</v>
      </c>
      <c r="G148" s="98" t="b">
        <v>0</v>
      </c>
      <c r="H148" s="98" t="b">
        <v>0</v>
      </c>
      <c r="I148" s="98" t="b">
        <v>0</v>
      </c>
      <c r="J148" s="98" t="b">
        <v>0</v>
      </c>
      <c r="K148" s="98" t="b">
        <v>0</v>
      </c>
      <c r="L148" s="98" t="b">
        <v>0</v>
      </c>
    </row>
    <row r="149" spans="1:12" ht="15">
      <c r="A149" s="99" t="s">
        <v>2428</v>
      </c>
      <c r="B149" s="98" t="s">
        <v>293</v>
      </c>
      <c r="C149" s="98">
        <v>4</v>
      </c>
      <c r="D149" s="111">
        <v>0.002714844913143342</v>
      </c>
      <c r="E149" s="111">
        <v>1.7498176517397088</v>
      </c>
      <c r="F149" s="98" t="s">
        <v>1055</v>
      </c>
      <c r="G149" s="98" t="b">
        <v>0</v>
      </c>
      <c r="H149" s="98" t="b">
        <v>0</v>
      </c>
      <c r="I149" s="98" t="b">
        <v>0</v>
      </c>
      <c r="J149" s="98" t="b">
        <v>0</v>
      </c>
      <c r="K149" s="98" t="b">
        <v>0</v>
      </c>
      <c r="L149" s="98" t="b">
        <v>0</v>
      </c>
    </row>
    <row r="150" spans="1:12" ht="15">
      <c r="A150" s="99" t="s">
        <v>293</v>
      </c>
      <c r="B150" s="98" t="s">
        <v>1032</v>
      </c>
      <c r="C150" s="98">
        <v>4</v>
      </c>
      <c r="D150" s="111">
        <v>0.002714844913143342</v>
      </c>
      <c r="E150" s="111">
        <v>1.5100573128146502</v>
      </c>
      <c r="F150" s="98" t="s">
        <v>1055</v>
      </c>
      <c r="G150" s="98" t="b">
        <v>0</v>
      </c>
      <c r="H150" s="98" t="b">
        <v>0</v>
      </c>
      <c r="I150" s="98" t="b">
        <v>0</v>
      </c>
      <c r="J150" s="98" t="b">
        <v>0</v>
      </c>
      <c r="K150" s="98" t="b">
        <v>0</v>
      </c>
      <c r="L150" s="98" t="b">
        <v>0</v>
      </c>
    </row>
    <row r="151" spans="1:12" ht="15">
      <c r="A151" s="99" t="s">
        <v>980</v>
      </c>
      <c r="B151" s="98" t="s">
        <v>945</v>
      </c>
      <c r="C151" s="98">
        <v>4</v>
      </c>
      <c r="D151" s="111">
        <v>0.002714844913143342</v>
      </c>
      <c r="E151" s="111">
        <v>1.7063519579586184</v>
      </c>
      <c r="F151" s="98" t="s">
        <v>1055</v>
      </c>
      <c r="G151" s="98" t="b">
        <v>0</v>
      </c>
      <c r="H151" s="98" t="b">
        <v>0</v>
      </c>
      <c r="I151" s="98" t="b">
        <v>0</v>
      </c>
      <c r="J151" s="98" t="b">
        <v>0</v>
      </c>
      <c r="K151" s="98" t="b">
        <v>0</v>
      </c>
      <c r="L151" s="98" t="b">
        <v>0</v>
      </c>
    </row>
    <row r="152" spans="1:12" ht="15">
      <c r="A152" s="99" t="s">
        <v>945</v>
      </c>
      <c r="B152" s="98" t="s">
        <v>932</v>
      </c>
      <c r="C152" s="98">
        <v>4</v>
      </c>
      <c r="D152" s="111">
        <v>0.002714844913143342</v>
      </c>
      <c r="E152" s="111">
        <v>0.4909095392052958</v>
      </c>
      <c r="F152" s="98" t="s">
        <v>1055</v>
      </c>
      <c r="G152" s="98" t="b">
        <v>0</v>
      </c>
      <c r="H152" s="98" t="b">
        <v>0</v>
      </c>
      <c r="I152" s="98" t="b">
        <v>0</v>
      </c>
      <c r="J152" s="98" t="b">
        <v>0</v>
      </c>
      <c r="K152" s="98" t="b">
        <v>0</v>
      </c>
      <c r="L152" s="98" t="b">
        <v>0</v>
      </c>
    </row>
    <row r="153" spans="1:12" ht="15">
      <c r="A153" s="99" t="s">
        <v>932</v>
      </c>
      <c r="B153" s="98" t="s">
        <v>959</v>
      </c>
      <c r="C153" s="98">
        <v>4</v>
      </c>
      <c r="D153" s="111">
        <v>0.002714844913143342</v>
      </c>
      <c r="E153" s="111">
        <v>1.2670192641283557</v>
      </c>
      <c r="F153" s="98" t="s">
        <v>1055</v>
      </c>
      <c r="G153" s="98" t="b">
        <v>0</v>
      </c>
      <c r="H153" s="98" t="b">
        <v>0</v>
      </c>
      <c r="I153" s="98" t="b">
        <v>0</v>
      </c>
      <c r="J153" s="98" t="b">
        <v>0</v>
      </c>
      <c r="K153" s="98" t="b">
        <v>0</v>
      </c>
      <c r="L153" s="98" t="b">
        <v>0</v>
      </c>
    </row>
    <row r="154" spans="1:12" ht="15">
      <c r="A154" s="99" t="s">
        <v>983</v>
      </c>
      <c r="B154" s="98" t="s">
        <v>984</v>
      </c>
      <c r="C154" s="98">
        <v>4</v>
      </c>
      <c r="D154" s="111">
        <v>0.002714844913143342</v>
      </c>
      <c r="E154" s="111">
        <v>2.5514499979728753</v>
      </c>
      <c r="F154" s="98" t="s">
        <v>1055</v>
      </c>
      <c r="G154" s="98" t="b">
        <v>0</v>
      </c>
      <c r="H154" s="98" t="b">
        <v>0</v>
      </c>
      <c r="I154" s="98" t="b">
        <v>0</v>
      </c>
      <c r="J154" s="98" t="b">
        <v>0</v>
      </c>
      <c r="K154" s="98" t="b">
        <v>0</v>
      </c>
      <c r="L154" s="98" t="b">
        <v>0</v>
      </c>
    </row>
    <row r="155" spans="1:12" ht="15">
      <c r="A155" s="99" t="s">
        <v>984</v>
      </c>
      <c r="B155" s="98" t="s">
        <v>302</v>
      </c>
      <c r="C155" s="98">
        <v>4</v>
      </c>
      <c r="D155" s="111">
        <v>0.002714844913143342</v>
      </c>
      <c r="E155" s="111">
        <v>1.4783428996374435</v>
      </c>
      <c r="F155" s="98" t="s">
        <v>1055</v>
      </c>
      <c r="G155" s="98" t="b">
        <v>0</v>
      </c>
      <c r="H155" s="98" t="b">
        <v>0</v>
      </c>
      <c r="I155" s="98" t="b">
        <v>0</v>
      </c>
      <c r="J155" s="98" t="b">
        <v>0</v>
      </c>
      <c r="K155" s="98" t="b">
        <v>0</v>
      </c>
      <c r="L155" s="98" t="b">
        <v>0</v>
      </c>
    </row>
    <row r="156" spans="1:12" ht="15">
      <c r="A156" s="99" t="s">
        <v>1009</v>
      </c>
      <c r="B156" s="98" t="s">
        <v>1010</v>
      </c>
      <c r="C156" s="98">
        <v>3</v>
      </c>
      <c r="D156" s="111">
        <v>0.0022008880628025173</v>
      </c>
      <c r="E156" s="111">
        <v>2.8524799936368566</v>
      </c>
      <c r="F156" s="98" t="s">
        <v>1055</v>
      </c>
      <c r="G156" s="98" t="b">
        <v>0</v>
      </c>
      <c r="H156" s="98" t="b">
        <v>0</v>
      </c>
      <c r="I156" s="98" t="b">
        <v>0</v>
      </c>
      <c r="J156" s="98" t="b">
        <v>0</v>
      </c>
      <c r="K156" s="98" t="b">
        <v>0</v>
      </c>
      <c r="L156" s="98" t="b">
        <v>0</v>
      </c>
    </row>
    <row r="157" spans="1:12" ht="15">
      <c r="A157" s="99" t="s">
        <v>1010</v>
      </c>
      <c r="B157" s="98" t="s">
        <v>1011</v>
      </c>
      <c r="C157" s="98">
        <v>3</v>
      </c>
      <c r="D157" s="111">
        <v>0.0022008880628025173</v>
      </c>
      <c r="E157" s="111">
        <v>2.8524799936368566</v>
      </c>
      <c r="F157" s="98" t="s">
        <v>1055</v>
      </c>
      <c r="G157" s="98" t="b">
        <v>0</v>
      </c>
      <c r="H157" s="98" t="b">
        <v>0</v>
      </c>
      <c r="I157" s="98" t="b">
        <v>0</v>
      </c>
      <c r="J157" s="98" t="b">
        <v>0</v>
      </c>
      <c r="K157" s="98" t="b">
        <v>0</v>
      </c>
      <c r="L157" s="98" t="b">
        <v>0</v>
      </c>
    </row>
    <row r="158" spans="1:12" ht="15">
      <c r="A158" s="99" t="s">
        <v>1011</v>
      </c>
      <c r="B158" s="98" t="s">
        <v>1012</v>
      </c>
      <c r="C158" s="98">
        <v>3</v>
      </c>
      <c r="D158" s="111">
        <v>0.0022008880628025173</v>
      </c>
      <c r="E158" s="111">
        <v>2.8524799936368566</v>
      </c>
      <c r="F158" s="98" t="s">
        <v>1055</v>
      </c>
      <c r="G158" s="98" t="b">
        <v>0</v>
      </c>
      <c r="H158" s="98" t="b">
        <v>0</v>
      </c>
      <c r="I158" s="98" t="b">
        <v>0</v>
      </c>
      <c r="J158" s="98" t="b">
        <v>0</v>
      </c>
      <c r="K158" s="98" t="b">
        <v>0</v>
      </c>
      <c r="L158" s="98" t="b">
        <v>0</v>
      </c>
    </row>
    <row r="159" spans="1:12" ht="15">
      <c r="A159" s="99" t="s">
        <v>987</v>
      </c>
      <c r="B159" s="98" t="s">
        <v>988</v>
      </c>
      <c r="C159" s="98">
        <v>3</v>
      </c>
      <c r="D159" s="111">
        <v>0.0022008880628025173</v>
      </c>
      <c r="E159" s="111">
        <v>2.8524799936368566</v>
      </c>
      <c r="F159" s="98" t="s">
        <v>1055</v>
      </c>
      <c r="G159" s="98" t="b">
        <v>0</v>
      </c>
      <c r="H159" s="98" t="b">
        <v>0</v>
      </c>
      <c r="I159" s="98" t="b">
        <v>0</v>
      </c>
      <c r="J159" s="98" t="b">
        <v>0</v>
      </c>
      <c r="K159" s="98" t="b">
        <v>0</v>
      </c>
      <c r="L159" s="98" t="b">
        <v>0</v>
      </c>
    </row>
    <row r="160" spans="1:12" ht="15">
      <c r="A160" s="99" t="s">
        <v>988</v>
      </c>
      <c r="B160" s="98" t="s">
        <v>932</v>
      </c>
      <c r="C160" s="98">
        <v>3</v>
      </c>
      <c r="D160" s="111">
        <v>0.0022008880628025173</v>
      </c>
      <c r="E160" s="111">
        <v>1.3802112417116061</v>
      </c>
      <c r="F160" s="98" t="s">
        <v>1055</v>
      </c>
      <c r="G160" s="98" t="b">
        <v>0</v>
      </c>
      <c r="H160" s="98" t="b">
        <v>0</v>
      </c>
      <c r="I160" s="98" t="b">
        <v>0</v>
      </c>
      <c r="J160" s="98" t="b">
        <v>0</v>
      </c>
      <c r="K160" s="98" t="b">
        <v>0</v>
      </c>
      <c r="L160" s="98" t="b">
        <v>0</v>
      </c>
    </row>
    <row r="161" spans="1:12" ht="15">
      <c r="A161" s="99" t="s">
        <v>932</v>
      </c>
      <c r="B161" s="98" t="s">
        <v>989</v>
      </c>
      <c r="C161" s="98">
        <v>3</v>
      </c>
      <c r="D161" s="111">
        <v>0.0022008880628025173</v>
      </c>
      <c r="E161" s="111">
        <v>1.443110523184037</v>
      </c>
      <c r="F161" s="98" t="s">
        <v>1055</v>
      </c>
      <c r="G161" s="98" t="b">
        <v>0</v>
      </c>
      <c r="H161" s="98" t="b">
        <v>0</v>
      </c>
      <c r="I161" s="98" t="b">
        <v>0</v>
      </c>
      <c r="J161" s="98" t="b">
        <v>0</v>
      </c>
      <c r="K161" s="98" t="b">
        <v>0</v>
      </c>
      <c r="L161" s="98" t="b">
        <v>0</v>
      </c>
    </row>
    <row r="162" spans="1:12" ht="15">
      <c r="A162" s="99" t="s">
        <v>989</v>
      </c>
      <c r="B162" s="98" t="s">
        <v>990</v>
      </c>
      <c r="C162" s="98">
        <v>3</v>
      </c>
      <c r="D162" s="111">
        <v>0.0022008880628025173</v>
      </c>
      <c r="E162" s="111">
        <v>2.8524799936368566</v>
      </c>
      <c r="F162" s="98" t="s">
        <v>1055</v>
      </c>
      <c r="G162" s="98" t="b">
        <v>0</v>
      </c>
      <c r="H162" s="98" t="b">
        <v>0</v>
      </c>
      <c r="I162" s="98" t="b">
        <v>0</v>
      </c>
      <c r="J162" s="98" t="b">
        <v>0</v>
      </c>
      <c r="K162" s="98" t="b">
        <v>0</v>
      </c>
      <c r="L162" s="98" t="b">
        <v>0</v>
      </c>
    </row>
    <row r="163" spans="1:12" ht="15">
      <c r="A163" s="99" t="s">
        <v>990</v>
      </c>
      <c r="B163" s="98" t="s">
        <v>991</v>
      </c>
      <c r="C163" s="98">
        <v>3</v>
      </c>
      <c r="D163" s="111">
        <v>0.0022008880628025173</v>
      </c>
      <c r="E163" s="111">
        <v>2.8524799936368566</v>
      </c>
      <c r="F163" s="98" t="s">
        <v>1055</v>
      </c>
      <c r="G163" s="98" t="b">
        <v>0</v>
      </c>
      <c r="H163" s="98" t="b">
        <v>0</v>
      </c>
      <c r="I163" s="98" t="b">
        <v>0</v>
      </c>
      <c r="J163" s="98" t="b">
        <v>0</v>
      </c>
      <c r="K163" s="98" t="b">
        <v>0</v>
      </c>
      <c r="L163" s="98" t="b">
        <v>0</v>
      </c>
    </row>
    <row r="164" spans="1:12" ht="15">
      <c r="A164" s="99" t="s">
        <v>991</v>
      </c>
      <c r="B164" s="98" t="s">
        <v>992</v>
      </c>
      <c r="C164" s="98">
        <v>3</v>
      </c>
      <c r="D164" s="111">
        <v>0.0022008880628025173</v>
      </c>
      <c r="E164" s="111">
        <v>2.8524799936368566</v>
      </c>
      <c r="F164" s="98" t="s">
        <v>1055</v>
      </c>
      <c r="G164" s="98" t="b">
        <v>0</v>
      </c>
      <c r="H164" s="98" t="b">
        <v>0</v>
      </c>
      <c r="I164" s="98" t="b">
        <v>0</v>
      </c>
      <c r="J164" s="98" t="b">
        <v>0</v>
      </c>
      <c r="K164" s="98" t="b">
        <v>0</v>
      </c>
      <c r="L164" s="98" t="b">
        <v>0</v>
      </c>
    </row>
    <row r="165" spans="1:12" ht="15">
      <c r="A165" s="99" t="s">
        <v>992</v>
      </c>
      <c r="B165" s="98" t="s">
        <v>993</v>
      </c>
      <c r="C165" s="98">
        <v>3</v>
      </c>
      <c r="D165" s="111">
        <v>0.0022008880628025173</v>
      </c>
      <c r="E165" s="111">
        <v>2.8524799936368566</v>
      </c>
      <c r="F165" s="98" t="s">
        <v>1055</v>
      </c>
      <c r="G165" s="98" t="b">
        <v>0</v>
      </c>
      <c r="H165" s="98" t="b">
        <v>0</v>
      </c>
      <c r="I165" s="98" t="b">
        <v>0</v>
      </c>
      <c r="J165" s="98" t="b">
        <v>0</v>
      </c>
      <c r="K165" s="98" t="b">
        <v>0</v>
      </c>
      <c r="L165" s="98" t="b">
        <v>0</v>
      </c>
    </row>
    <row r="166" spans="1:12" ht="15">
      <c r="A166" s="99" t="s">
        <v>993</v>
      </c>
      <c r="B166" s="98" t="s">
        <v>994</v>
      </c>
      <c r="C166" s="98">
        <v>3</v>
      </c>
      <c r="D166" s="111">
        <v>0.0022008880628025173</v>
      </c>
      <c r="E166" s="111">
        <v>2.8524799936368566</v>
      </c>
      <c r="F166" s="98" t="s">
        <v>1055</v>
      </c>
      <c r="G166" s="98" t="b">
        <v>0</v>
      </c>
      <c r="H166" s="98" t="b">
        <v>0</v>
      </c>
      <c r="I166" s="98" t="b">
        <v>0</v>
      </c>
      <c r="J166" s="98" t="b">
        <v>0</v>
      </c>
      <c r="K166" s="98" t="b">
        <v>0</v>
      </c>
      <c r="L166" s="98" t="b">
        <v>0</v>
      </c>
    </row>
    <row r="167" spans="1:12" ht="15">
      <c r="A167" s="99" t="s">
        <v>994</v>
      </c>
      <c r="B167" s="98" t="s">
        <v>995</v>
      </c>
      <c r="C167" s="98">
        <v>3</v>
      </c>
      <c r="D167" s="111">
        <v>0.0022008880628025173</v>
      </c>
      <c r="E167" s="111">
        <v>2.8524799936368566</v>
      </c>
      <c r="F167" s="98" t="s">
        <v>1055</v>
      </c>
      <c r="G167" s="98" t="b">
        <v>0</v>
      </c>
      <c r="H167" s="98" t="b">
        <v>0</v>
      </c>
      <c r="I167" s="98" t="b">
        <v>0</v>
      </c>
      <c r="J167" s="98" t="b">
        <v>0</v>
      </c>
      <c r="K167" s="98" t="b">
        <v>0</v>
      </c>
      <c r="L167" s="98" t="b">
        <v>0</v>
      </c>
    </row>
    <row r="168" spans="1:12" ht="15">
      <c r="A168" s="99" t="s">
        <v>995</v>
      </c>
      <c r="B168" s="98" t="s">
        <v>996</v>
      </c>
      <c r="C168" s="98">
        <v>3</v>
      </c>
      <c r="D168" s="111">
        <v>0.0022008880628025173</v>
      </c>
      <c r="E168" s="111">
        <v>2.0743287432532127</v>
      </c>
      <c r="F168" s="98" t="s">
        <v>1055</v>
      </c>
      <c r="G168" s="98" t="b">
        <v>0</v>
      </c>
      <c r="H168" s="98" t="b">
        <v>0</v>
      </c>
      <c r="I168" s="98" t="b">
        <v>0</v>
      </c>
      <c r="J168" s="98" t="b">
        <v>0</v>
      </c>
      <c r="K168" s="98" t="b">
        <v>0</v>
      </c>
      <c r="L168" s="98" t="b">
        <v>0</v>
      </c>
    </row>
    <row r="169" spans="1:12" ht="15">
      <c r="A169" s="99" t="s">
        <v>998</v>
      </c>
      <c r="B169" s="98" t="s">
        <v>999</v>
      </c>
      <c r="C169" s="98">
        <v>3</v>
      </c>
      <c r="D169" s="111">
        <v>0.0022008880628025173</v>
      </c>
      <c r="E169" s="111">
        <v>2.0743287432532127</v>
      </c>
      <c r="F169" s="98" t="s">
        <v>1055</v>
      </c>
      <c r="G169" s="98" t="b">
        <v>0</v>
      </c>
      <c r="H169" s="98" t="b">
        <v>0</v>
      </c>
      <c r="I169" s="98" t="b">
        <v>0</v>
      </c>
      <c r="J169" s="98" t="b">
        <v>0</v>
      </c>
      <c r="K169" s="98" t="b">
        <v>0</v>
      </c>
      <c r="L169" s="98" t="b">
        <v>0</v>
      </c>
    </row>
    <row r="170" spans="1:12" ht="15">
      <c r="A170" s="99" t="s">
        <v>945</v>
      </c>
      <c r="B170" s="98" t="s">
        <v>1000</v>
      </c>
      <c r="C170" s="98">
        <v>3</v>
      </c>
      <c r="D170" s="111">
        <v>0.0022008880628025173</v>
      </c>
      <c r="E170" s="111">
        <v>1.838239554522246</v>
      </c>
      <c r="F170" s="98" t="s">
        <v>1055</v>
      </c>
      <c r="G170" s="98" t="b">
        <v>0</v>
      </c>
      <c r="H170" s="98" t="b">
        <v>0</v>
      </c>
      <c r="I170" s="98" t="b">
        <v>0</v>
      </c>
      <c r="J170" s="98" t="b">
        <v>0</v>
      </c>
      <c r="K170" s="98" t="b">
        <v>0</v>
      </c>
      <c r="L170" s="98" t="b">
        <v>0</v>
      </c>
    </row>
    <row r="171" spans="1:12" ht="15">
      <c r="A171" s="99" t="s">
        <v>1000</v>
      </c>
      <c r="B171" s="98" t="s">
        <v>934</v>
      </c>
      <c r="C171" s="98">
        <v>3</v>
      </c>
      <c r="D171" s="111">
        <v>0.0022008880628025173</v>
      </c>
      <c r="E171" s="111">
        <v>1.4722687519252504</v>
      </c>
      <c r="F171" s="98" t="s">
        <v>1055</v>
      </c>
      <c r="G171" s="98" t="b">
        <v>0</v>
      </c>
      <c r="H171" s="98" t="b">
        <v>0</v>
      </c>
      <c r="I171" s="98" t="b">
        <v>0</v>
      </c>
      <c r="J171" s="98" t="b">
        <v>0</v>
      </c>
      <c r="K171" s="98" t="b">
        <v>0</v>
      </c>
      <c r="L171" s="98" t="b">
        <v>0</v>
      </c>
    </row>
    <row r="172" spans="1:12" ht="15">
      <c r="A172" s="99" t="s">
        <v>931</v>
      </c>
      <c r="B172" s="98" t="s">
        <v>932</v>
      </c>
      <c r="C172" s="98">
        <v>3</v>
      </c>
      <c r="D172" s="111">
        <v>0.0022008880628025173</v>
      </c>
      <c r="E172" s="111">
        <v>-0.1957459470521512</v>
      </c>
      <c r="F172" s="98" t="s">
        <v>1055</v>
      </c>
      <c r="G172" s="98" t="b">
        <v>0</v>
      </c>
      <c r="H172" s="98" t="b">
        <v>0</v>
      </c>
      <c r="I172" s="98" t="b">
        <v>0</v>
      </c>
      <c r="J172" s="98" t="b">
        <v>0</v>
      </c>
      <c r="K172" s="98" t="b">
        <v>0</v>
      </c>
      <c r="L172" s="98" t="b">
        <v>0</v>
      </c>
    </row>
    <row r="173" spans="1:12" ht="15">
      <c r="A173" s="99" t="s">
        <v>299</v>
      </c>
      <c r="B173" s="98" t="s">
        <v>930</v>
      </c>
      <c r="C173" s="98">
        <v>3</v>
      </c>
      <c r="D173" s="111">
        <v>0.0022008880628025173</v>
      </c>
      <c r="E173" s="111">
        <v>0.5567907464419863</v>
      </c>
      <c r="F173" s="98" t="s">
        <v>1055</v>
      </c>
      <c r="G173" s="98" t="b">
        <v>0</v>
      </c>
      <c r="H173" s="98" t="b">
        <v>0</v>
      </c>
      <c r="I173" s="98" t="b">
        <v>0</v>
      </c>
      <c r="J173" s="98" t="b">
        <v>0</v>
      </c>
      <c r="K173" s="98" t="b">
        <v>0</v>
      </c>
      <c r="L173" s="98" t="b">
        <v>0</v>
      </c>
    </row>
    <row r="174" spans="1:12" ht="15">
      <c r="A174" s="99" t="s">
        <v>933</v>
      </c>
      <c r="B174" s="98" t="s">
        <v>945</v>
      </c>
      <c r="C174" s="98">
        <v>2</v>
      </c>
      <c r="D174" s="111">
        <v>0.0016220642110015445</v>
      </c>
      <c r="E174" s="111">
        <v>0.32614071624701235</v>
      </c>
      <c r="F174" s="98" t="s">
        <v>1055</v>
      </c>
      <c r="G174" s="98" t="b">
        <v>0</v>
      </c>
      <c r="H174" s="98" t="b">
        <v>0</v>
      </c>
      <c r="I174" s="98" t="b">
        <v>0</v>
      </c>
      <c r="J174" s="98" t="b">
        <v>0</v>
      </c>
      <c r="K174" s="98" t="b">
        <v>0</v>
      </c>
      <c r="L174" s="98" t="b">
        <v>0</v>
      </c>
    </row>
    <row r="175" spans="1:12" ht="15">
      <c r="A175" s="99" t="s">
        <v>966</v>
      </c>
      <c r="B175" s="98" t="s">
        <v>1001</v>
      </c>
      <c r="C175" s="98">
        <v>2</v>
      </c>
      <c r="D175" s="111">
        <v>0.0016220642110015445</v>
      </c>
      <c r="E175" s="111">
        <v>2.1535099893008374</v>
      </c>
      <c r="F175" s="98" t="s">
        <v>1055</v>
      </c>
      <c r="G175" s="98" t="b">
        <v>0</v>
      </c>
      <c r="H175" s="98" t="b">
        <v>0</v>
      </c>
      <c r="I175" s="98" t="b">
        <v>0</v>
      </c>
      <c r="J175" s="98" t="b">
        <v>0</v>
      </c>
      <c r="K175" s="98" t="b">
        <v>0</v>
      </c>
      <c r="L175" s="98" t="b">
        <v>0</v>
      </c>
    </row>
    <row r="176" spans="1:12" ht="15">
      <c r="A176" s="99" t="s">
        <v>1001</v>
      </c>
      <c r="B176" s="98" t="s">
        <v>1002</v>
      </c>
      <c r="C176" s="98">
        <v>2</v>
      </c>
      <c r="D176" s="111">
        <v>0.0016220642110015445</v>
      </c>
      <c r="E176" s="111">
        <v>2.8524799936368566</v>
      </c>
      <c r="F176" s="98" t="s">
        <v>1055</v>
      </c>
      <c r="G176" s="98" t="b">
        <v>0</v>
      </c>
      <c r="H176" s="98" t="b">
        <v>0</v>
      </c>
      <c r="I176" s="98" t="b">
        <v>0</v>
      </c>
      <c r="J176" s="98" t="b">
        <v>0</v>
      </c>
      <c r="K176" s="98" t="b">
        <v>0</v>
      </c>
      <c r="L176" s="98" t="b">
        <v>0</v>
      </c>
    </row>
    <row r="177" spans="1:12" ht="15">
      <c r="A177" s="99" t="s">
        <v>1002</v>
      </c>
      <c r="B177" s="98" t="s">
        <v>1003</v>
      </c>
      <c r="C177" s="98">
        <v>2</v>
      </c>
      <c r="D177" s="111">
        <v>0.0016220642110015445</v>
      </c>
      <c r="E177" s="111">
        <v>2.8524799936368566</v>
      </c>
      <c r="F177" s="98" t="s">
        <v>1055</v>
      </c>
      <c r="G177" s="98" t="b">
        <v>0</v>
      </c>
      <c r="H177" s="98" t="b">
        <v>0</v>
      </c>
      <c r="I177" s="98" t="b">
        <v>0</v>
      </c>
      <c r="J177" s="98" t="b">
        <v>0</v>
      </c>
      <c r="K177" s="98" t="b">
        <v>0</v>
      </c>
      <c r="L177" s="98" t="b">
        <v>0</v>
      </c>
    </row>
    <row r="178" spans="1:12" ht="15">
      <c r="A178" s="99" t="s">
        <v>1003</v>
      </c>
      <c r="B178" s="98" t="s">
        <v>931</v>
      </c>
      <c r="C178" s="98">
        <v>2</v>
      </c>
      <c r="D178" s="111">
        <v>0.0016220642110015445</v>
      </c>
      <c r="E178" s="111">
        <v>1.2765228048730992</v>
      </c>
      <c r="F178" s="98" t="s">
        <v>1055</v>
      </c>
      <c r="G178" s="98" t="b">
        <v>0</v>
      </c>
      <c r="H178" s="98" t="b">
        <v>0</v>
      </c>
      <c r="I178" s="98" t="b">
        <v>0</v>
      </c>
      <c r="J178" s="98" t="b">
        <v>0</v>
      </c>
      <c r="K178" s="98" t="b">
        <v>0</v>
      </c>
      <c r="L178" s="98" t="b">
        <v>0</v>
      </c>
    </row>
    <row r="179" spans="1:12" ht="15">
      <c r="A179" s="99" t="s">
        <v>931</v>
      </c>
      <c r="B179" s="98" t="s">
        <v>949</v>
      </c>
      <c r="C179" s="98">
        <v>2</v>
      </c>
      <c r="D179" s="111">
        <v>0.0016220642110015445</v>
      </c>
      <c r="E179" s="111">
        <v>0.40146154148139906</v>
      </c>
      <c r="F179" s="98" t="s">
        <v>1055</v>
      </c>
      <c r="G179" s="98" t="b">
        <v>0</v>
      </c>
      <c r="H179" s="98" t="b">
        <v>0</v>
      </c>
      <c r="I179" s="98" t="b">
        <v>0</v>
      </c>
      <c r="J179" s="98" t="b">
        <v>0</v>
      </c>
      <c r="K179" s="98" t="b">
        <v>0</v>
      </c>
      <c r="L179" s="98" t="b">
        <v>0</v>
      </c>
    </row>
    <row r="180" spans="1:12" ht="15">
      <c r="A180" s="99" t="s">
        <v>949</v>
      </c>
      <c r="B180" s="98" t="s">
        <v>1004</v>
      </c>
      <c r="C180" s="98">
        <v>2</v>
      </c>
      <c r="D180" s="111">
        <v>0.0016220642110015445</v>
      </c>
      <c r="E180" s="111">
        <v>2.1535099893008374</v>
      </c>
      <c r="F180" s="98" t="s">
        <v>1055</v>
      </c>
      <c r="G180" s="98" t="b">
        <v>0</v>
      </c>
      <c r="H180" s="98" t="b">
        <v>0</v>
      </c>
      <c r="I180" s="98" t="b">
        <v>0</v>
      </c>
      <c r="J180" s="98" t="b">
        <v>0</v>
      </c>
      <c r="K180" s="98" t="b">
        <v>0</v>
      </c>
      <c r="L180" s="98" t="b">
        <v>0</v>
      </c>
    </row>
    <row r="181" spans="1:12" ht="15">
      <c r="A181" s="99" t="s">
        <v>1004</v>
      </c>
      <c r="B181" s="98" t="s">
        <v>1005</v>
      </c>
      <c r="C181" s="98">
        <v>2</v>
      </c>
      <c r="D181" s="111">
        <v>0.0016220642110015445</v>
      </c>
      <c r="E181" s="111">
        <v>3.0285712526925375</v>
      </c>
      <c r="F181" s="98" t="s">
        <v>1055</v>
      </c>
      <c r="G181" s="98" t="b">
        <v>0</v>
      </c>
      <c r="H181" s="98" t="b">
        <v>0</v>
      </c>
      <c r="I181" s="98" t="b">
        <v>0</v>
      </c>
      <c r="J181" s="98" t="b">
        <v>0</v>
      </c>
      <c r="K181" s="98" t="b">
        <v>0</v>
      </c>
      <c r="L181" s="98" t="b">
        <v>0</v>
      </c>
    </row>
    <row r="182" spans="1:12" ht="15">
      <c r="A182" s="99" t="s">
        <v>1005</v>
      </c>
      <c r="B182" s="98" t="s">
        <v>1006</v>
      </c>
      <c r="C182" s="98">
        <v>2</v>
      </c>
      <c r="D182" s="111">
        <v>0.0016220642110015445</v>
      </c>
      <c r="E182" s="111">
        <v>3.0285712526925375</v>
      </c>
      <c r="F182" s="98" t="s">
        <v>1055</v>
      </c>
      <c r="G182" s="98" t="b">
        <v>0</v>
      </c>
      <c r="H182" s="98" t="b">
        <v>0</v>
      </c>
      <c r="I182" s="98" t="b">
        <v>0</v>
      </c>
      <c r="J182" s="98" t="b">
        <v>0</v>
      </c>
      <c r="K182" s="98" t="b">
        <v>0</v>
      </c>
      <c r="L182" s="98" t="b">
        <v>0</v>
      </c>
    </row>
    <row r="183" spans="1:12" ht="15">
      <c r="A183" s="99" t="s">
        <v>1006</v>
      </c>
      <c r="B183" s="98" t="s">
        <v>985</v>
      </c>
      <c r="C183" s="98">
        <v>2</v>
      </c>
      <c r="D183" s="111">
        <v>0.0016220642110015445</v>
      </c>
      <c r="E183" s="111">
        <v>2.484503208342262</v>
      </c>
      <c r="F183" s="98" t="s">
        <v>1055</v>
      </c>
      <c r="G183" s="98" t="b">
        <v>0</v>
      </c>
      <c r="H183" s="98" t="b">
        <v>0</v>
      </c>
      <c r="I183" s="98" t="b">
        <v>0</v>
      </c>
      <c r="J183" s="98" t="b">
        <v>0</v>
      </c>
      <c r="K183" s="98" t="b">
        <v>0</v>
      </c>
      <c r="L183" s="98" t="b">
        <v>0</v>
      </c>
    </row>
    <row r="184" spans="1:12" ht="15">
      <c r="A184" s="99" t="s">
        <v>985</v>
      </c>
      <c r="B184" s="98" t="s">
        <v>934</v>
      </c>
      <c r="C184" s="98">
        <v>2</v>
      </c>
      <c r="D184" s="111">
        <v>0.0016220642110015445</v>
      </c>
      <c r="E184" s="111">
        <v>0.9282007075749747</v>
      </c>
      <c r="F184" s="98" t="s">
        <v>1055</v>
      </c>
      <c r="G184" s="98" t="b">
        <v>0</v>
      </c>
      <c r="H184" s="98" t="b">
        <v>0</v>
      </c>
      <c r="I184" s="98" t="b">
        <v>0</v>
      </c>
      <c r="J184" s="98" t="b">
        <v>0</v>
      </c>
      <c r="K184" s="98" t="b">
        <v>0</v>
      </c>
      <c r="L184" s="98" t="b">
        <v>0</v>
      </c>
    </row>
    <row r="185" spans="1:12" ht="15">
      <c r="A185" s="99" t="s">
        <v>934</v>
      </c>
      <c r="B185" s="98" t="s">
        <v>1007</v>
      </c>
      <c r="C185" s="98">
        <v>2</v>
      </c>
      <c r="D185" s="111">
        <v>0.0016220642110015445</v>
      </c>
      <c r="E185" s="111">
        <v>1.4722687519252504</v>
      </c>
      <c r="F185" s="98" t="s">
        <v>1055</v>
      </c>
      <c r="G185" s="98" t="b">
        <v>0</v>
      </c>
      <c r="H185" s="98" t="b">
        <v>0</v>
      </c>
      <c r="I185" s="98" t="b">
        <v>0</v>
      </c>
      <c r="J185" s="98" t="b">
        <v>0</v>
      </c>
      <c r="K185" s="98" t="b">
        <v>0</v>
      </c>
      <c r="L185" s="98" t="b">
        <v>0</v>
      </c>
    </row>
    <row r="186" spans="1:12" ht="15">
      <c r="A186" s="99" t="s">
        <v>1007</v>
      </c>
      <c r="B186" s="98" t="s">
        <v>937</v>
      </c>
      <c r="C186" s="98">
        <v>2</v>
      </c>
      <c r="D186" s="111">
        <v>0.0016220642110015445</v>
      </c>
      <c r="E186" s="111">
        <v>1.589238558862275</v>
      </c>
      <c r="F186" s="98" t="s">
        <v>1055</v>
      </c>
      <c r="G186" s="98" t="b">
        <v>0</v>
      </c>
      <c r="H186" s="98" t="b">
        <v>0</v>
      </c>
      <c r="I186" s="98" t="b">
        <v>0</v>
      </c>
      <c r="J186" s="98" t="b">
        <v>0</v>
      </c>
      <c r="K186" s="98" t="b">
        <v>0</v>
      </c>
      <c r="L186" s="98" t="b">
        <v>0</v>
      </c>
    </row>
    <row r="187" spans="1:12" ht="15">
      <c r="A187" s="99" t="s">
        <v>937</v>
      </c>
      <c r="B187" s="98" t="s">
        <v>293</v>
      </c>
      <c r="C187" s="98">
        <v>2</v>
      </c>
      <c r="D187" s="111">
        <v>0.0016220642110015445</v>
      </c>
      <c r="E187" s="111">
        <v>0.310484957909446</v>
      </c>
      <c r="F187" s="98" t="s">
        <v>1055</v>
      </c>
      <c r="G187" s="98" t="b">
        <v>0</v>
      </c>
      <c r="H187" s="98" t="b">
        <v>0</v>
      </c>
      <c r="I187" s="98" t="b">
        <v>0</v>
      </c>
      <c r="J187" s="98" t="b">
        <v>0</v>
      </c>
      <c r="K187" s="98" t="b">
        <v>0</v>
      </c>
      <c r="L187" s="98" t="b">
        <v>0</v>
      </c>
    </row>
    <row r="188" spans="1:12" ht="15">
      <c r="A188" s="99" t="s">
        <v>293</v>
      </c>
      <c r="B188" s="98" t="s">
        <v>935</v>
      </c>
      <c r="C188" s="98">
        <v>2</v>
      </c>
      <c r="D188" s="111">
        <v>0.0016220642110015445</v>
      </c>
      <c r="E188" s="111">
        <v>0.209027317150669</v>
      </c>
      <c r="F188" s="98" t="s">
        <v>1055</v>
      </c>
      <c r="G188" s="98" t="b">
        <v>0</v>
      </c>
      <c r="H188" s="98" t="b">
        <v>0</v>
      </c>
      <c r="I188" s="98" t="b">
        <v>0</v>
      </c>
      <c r="J188" s="98" t="b">
        <v>0</v>
      </c>
      <c r="K188" s="98" t="b">
        <v>0</v>
      </c>
      <c r="L188" s="98" t="b">
        <v>0</v>
      </c>
    </row>
    <row r="189" spans="1:12" ht="15">
      <c r="A189" s="99" t="s">
        <v>935</v>
      </c>
      <c r="B189" s="98" t="s">
        <v>1008</v>
      </c>
      <c r="C189" s="98">
        <v>2</v>
      </c>
      <c r="D189" s="111">
        <v>0.0016220642110015445</v>
      </c>
      <c r="E189" s="111">
        <v>1.551449997972875</v>
      </c>
      <c r="F189" s="98" t="s">
        <v>1055</v>
      </c>
      <c r="G189" s="98" t="b">
        <v>0</v>
      </c>
      <c r="H189" s="98" t="b">
        <v>0</v>
      </c>
      <c r="I189" s="98" t="b">
        <v>0</v>
      </c>
      <c r="J189" s="98" t="b">
        <v>0</v>
      </c>
      <c r="K189" s="98" t="b">
        <v>0</v>
      </c>
      <c r="L189" s="98" t="b">
        <v>0</v>
      </c>
    </row>
    <row r="190" spans="1:12" ht="15">
      <c r="A190" s="99" t="s">
        <v>1008</v>
      </c>
      <c r="B190" s="98" t="s">
        <v>1009</v>
      </c>
      <c r="C190" s="98">
        <v>2</v>
      </c>
      <c r="D190" s="111">
        <v>0.0016220642110015445</v>
      </c>
      <c r="E190" s="111">
        <v>2.8524799936368566</v>
      </c>
      <c r="F190" s="98" t="s">
        <v>1055</v>
      </c>
      <c r="G190" s="98" t="b">
        <v>0</v>
      </c>
      <c r="H190" s="98" t="b">
        <v>0</v>
      </c>
      <c r="I190" s="98" t="b">
        <v>0</v>
      </c>
      <c r="J190" s="98" t="b">
        <v>0</v>
      </c>
      <c r="K190" s="98" t="b">
        <v>0</v>
      </c>
      <c r="L190" s="98" t="b">
        <v>0</v>
      </c>
    </row>
    <row r="191" spans="1:12" ht="15">
      <c r="A191" s="99" t="s">
        <v>1012</v>
      </c>
      <c r="B191" s="98" t="s">
        <v>1013</v>
      </c>
      <c r="C191" s="98">
        <v>2</v>
      </c>
      <c r="D191" s="111">
        <v>0.0016220642110015445</v>
      </c>
      <c r="E191" s="111">
        <v>2.8524799936368566</v>
      </c>
      <c r="F191" s="98" t="s">
        <v>1055</v>
      </c>
      <c r="G191" s="98" t="b">
        <v>0</v>
      </c>
      <c r="H191" s="98" t="b">
        <v>0</v>
      </c>
      <c r="I191" s="98" t="b">
        <v>0</v>
      </c>
      <c r="J191" s="98" t="b">
        <v>0</v>
      </c>
      <c r="K191" s="98" t="b">
        <v>0</v>
      </c>
      <c r="L191" s="98" t="b">
        <v>0</v>
      </c>
    </row>
    <row r="192" spans="1:12" ht="15">
      <c r="A192" s="99" t="s">
        <v>1013</v>
      </c>
      <c r="B192" s="98" t="s">
        <v>1014</v>
      </c>
      <c r="C192" s="98">
        <v>2</v>
      </c>
      <c r="D192" s="111">
        <v>0.0016220642110015445</v>
      </c>
      <c r="E192" s="111">
        <v>3.0285712526925375</v>
      </c>
      <c r="F192" s="98" t="s">
        <v>1055</v>
      </c>
      <c r="G192" s="98" t="b">
        <v>0</v>
      </c>
      <c r="H192" s="98" t="b">
        <v>0</v>
      </c>
      <c r="I192" s="98" t="b">
        <v>0</v>
      </c>
      <c r="J192" s="98" t="b">
        <v>0</v>
      </c>
      <c r="K192" s="98" t="b">
        <v>0</v>
      </c>
      <c r="L192" s="98" t="b">
        <v>0</v>
      </c>
    </row>
    <row r="193" spans="1:12" ht="15">
      <c r="A193" s="99" t="s">
        <v>1014</v>
      </c>
      <c r="B193" s="98" t="s">
        <v>979</v>
      </c>
      <c r="C193" s="98">
        <v>2</v>
      </c>
      <c r="D193" s="111">
        <v>0.0016220642110015445</v>
      </c>
      <c r="E193" s="111">
        <v>2.727541257028556</v>
      </c>
      <c r="F193" s="98" t="s">
        <v>1055</v>
      </c>
      <c r="G193" s="98" t="b">
        <v>0</v>
      </c>
      <c r="H193" s="98" t="b">
        <v>0</v>
      </c>
      <c r="I193" s="98" t="b">
        <v>0</v>
      </c>
      <c r="J193" s="98" t="b">
        <v>0</v>
      </c>
      <c r="K193" s="98" t="b">
        <v>0</v>
      </c>
      <c r="L193" s="98" t="b">
        <v>0</v>
      </c>
    </row>
    <row r="194" spans="1:12" ht="15">
      <c r="A194" s="99" t="s">
        <v>979</v>
      </c>
      <c r="B194" s="98" t="s">
        <v>1015</v>
      </c>
      <c r="C194" s="98">
        <v>2</v>
      </c>
      <c r="D194" s="111">
        <v>0.0016220642110015445</v>
      </c>
      <c r="E194" s="111">
        <v>2.727541257028556</v>
      </c>
      <c r="F194" s="98" t="s">
        <v>1055</v>
      </c>
      <c r="G194" s="98" t="b">
        <v>0</v>
      </c>
      <c r="H194" s="98" t="b">
        <v>0</v>
      </c>
      <c r="I194" s="98" t="b">
        <v>0</v>
      </c>
      <c r="J194" s="98" t="b">
        <v>0</v>
      </c>
      <c r="K194" s="98" t="b">
        <v>0</v>
      </c>
      <c r="L194" s="98" t="b">
        <v>0</v>
      </c>
    </row>
    <row r="195" spans="1:12" ht="15">
      <c r="A195" s="99" t="s">
        <v>1015</v>
      </c>
      <c r="B195" s="98" t="s">
        <v>979</v>
      </c>
      <c r="C195" s="98">
        <v>2</v>
      </c>
      <c r="D195" s="111">
        <v>0.0016220642110015445</v>
      </c>
      <c r="E195" s="111">
        <v>2.727541257028556</v>
      </c>
      <c r="F195" s="98" t="s">
        <v>1055</v>
      </c>
      <c r="G195" s="98" t="b">
        <v>0</v>
      </c>
      <c r="H195" s="98" t="b">
        <v>0</v>
      </c>
      <c r="I195" s="98" t="b">
        <v>0</v>
      </c>
      <c r="J195" s="98" t="b">
        <v>0</v>
      </c>
      <c r="K195" s="98" t="b">
        <v>0</v>
      </c>
      <c r="L195" s="98" t="b">
        <v>0</v>
      </c>
    </row>
    <row r="196" spans="1:12" ht="15">
      <c r="A196" s="99" t="s">
        <v>979</v>
      </c>
      <c r="B196" s="98" t="s">
        <v>986</v>
      </c>
      <c r="C196" s="98">
        <v>2</v>
      </c>
      <c r="D196" s="111">
        <v>0.0016220642110015445</v>
      </c>
      <c r="E196" s="111">
        <v>2.727541257028556</v>
      </c>
      <c r="F196" s="98" t="s">
        <v>1055</v>
      </c>
      <c r="G196" s="98" t="b">
        <v>0</v>
      </c>
      <c r="H196" s="98" t="b">
        <v>0</v>
      </c>
      <c r="I196" s="98" t="b">
        <v>0</v>
      </c>
      <c r="J196" s="98" t="b">
        <v>0</v>
      </c>
      <c r="K196" s="98" t="b">
        <v>0</v>
      </c>
      <c r="L196" s="98" t="b">
        <v>0</v>
      </c>
    </row>
    <row r="197" spans="1:12" ht="15">
      <c r="A197" s="99" t="s">
        <v>986</v>
      </c>
      <c r="B197" s="98" t="s">
        <v>1016</v>
      </c>
      <c r="C197" s="98">
        <v>2</v>
      </c>
      <c r="D197" s="111">
        <v>0.0016220642110015445</v>
      </c>
      <c r="E197" s="111">
        <v>2.8524799936368566</v>
      </c>
      <c r="F197" s="98" t="s">
        <v>1055</v>
      </c>
      <c r="G197" s="98" t="b">
        <v>0</v>
      </c>
      <c r="H197" s="98" t="b">
        <v>0</v>
      </c>
      <c r="I197" s="98" t="b">
        <v>0</v>
      </c>
      <c r="J197" s="98" t="b">
        <v>0</v>
      </c>
      <c r="K197" s="98" t="b">
        <v>0</v>
      </c>
      <c r="L197" s="98" t="b">
        <v>0</v>
      </c>
    </row>
    <row r="198" spans="1:12" ht="15">
      <c r="A198" s="99" t="s">
        <v>1016</v>
      </c>
      <c r="B198" s="98" t="s">
        <v>944</v>
      </c>
      <c r="C198" s="98">
        <v>2</v>
      </c>
      <c r="D198" s="111">
        <v>0.0016220642110015445</v>
      </c>
      <c r="E198" s="111">
        <v>2.099152326978245</v>
      </c>
      <c r="F198" s="98" t="s">
        <v>1055</v>
      </c>
      <c r="G198" s="98" t="b">
        <v>0</v>
      </c>
      <c r="H198" s="98" t="b">
        <v>0</v>
      </c>
      <c r="I198" s="98" t="b">
        <v>0</v>
      </c>
      <c r="J198" s="98" t="b">
        <v>0</v>
      </c>
      <c r="K198" s="98" t="b">
        <v>0</v>
      </c>
      <c r="L198" s="98" t="b">
        <v>0</v>
      </c>
    </row>
    <row r="199" spans="1:12" ht="15">
      <c r="A199" s="99" t="s">
        <v>944</v>
      </c>
      <c r="B199" s="98" t="s">
        <v>1017</v>
      </c>
      <c r="C199" s="98">
        <v>2</v>
      </c>
      <c r="D199" s="111">
        <v>0.0016220642110015445</v>
      </c>
      <c r="E199" s="111">
        <v>2.099152326978245</v>
      </c>
      <c r="F199" s="98" t="s">
        <v>1055</v>
      </c>
      <c r="G199" s="98" t="b">
        <v>0</v>
      </c>
      <c r="H199" s="98" t="b">
        <v>0</v>
      </c>
      <c r="I199" s="98" t="b">
        <v>0</v>
      </c>
      <c r="J199" s="98" t="b">
        <v>0</v>
      </c>
      <c r="K199" s="98" t="b">
        <v>0</v>
      </c>
      <c r="L199" s="98" t="b">
        <v>0</v>
      </c>
    </row>
    <row r="200" spans="1:12" ht="15">
      <c r="A200" s="99" t="s">
        <v>1017</v>
      </c>
      <c r="B200" s="98" t="s">
        <v>293</v>
      </c>
      <c r="C200" s="98">
        <v>2</v>
      </c>
      <c r="D200" s="111">
        <v>0.0016220642110015445</v>
      </c>
      <c r="E200" s="111">
        <v>1.7498176517397088</v>
      </c>
      <c r="F200" s="98" t="s">
        <v>1055</v>
      </c>
      <c r="G200" s="98" t="b">
        <v>0</v>
      </c>
      <c r="H200" s="98" t="b">
        <v>0</v>
      </c>
      <c r="I200" s="98" t="b">
        <v>0</v>
      </c>
      <c r="J200" s="98" t="b">
        <v>0</v>
      </c>
      <c r="K200" s="98" t="b">
        <v>0</v>
      </c>
      <c r="L200" s="98" t="b">
        <v>0</v>
      </c>
    </row>
    <row r="201" spans="1:12" ht="15">
      <c r="A201" s="99" t="s">
        <v>299</v>
      </c>
      <c r="B201" s="98" t="s">
        <v>302</v>
      </c>
      <c r="C201" s="98">
        <v>2</v>
      </c>
      <c r="D201" s="111">
        <v>0.0016220642110015445</v>
      </c>
      <c r="E201" s="111">
        <v>0.6332448596231868</v>
      </c>
      <c r="F201" s="98" t="s">
        <v>1055</v>
      </c>
      <c r="G201" s="98" t="b">
        <v>0</v>
      </c>
      <c r="H201" s="98" t="b">
        <v>0</v>
      </c>
      <c r="I201" s="98" t="b">
        <v>0</v>
      </c>
      <c r="J201" s="98" t="b">
        <v>0</v>
      </c>
      <c r="K201" s="98" t="b">
        <v>0</v>
      </c>
      <c r="L201" s="98" t="b">
        <v>0</v>
      </c>
    </row>
    <row r="202" spans="1:12" ht="15">
      <c r="A202" s="99" t="s">
        <v>302</v>
      </c>
      <c r="B202" s="98" t="s">
        <v>304</v>
      </c>
      <c r="C202" s="98">
        <v>2</v>
      </c>
      <c r="D202" s="111">
        <v>0.0016220642110015445</v>
      </c>
      <c r="E202" s="111">
        <v>1.4783428996374435</v>
      </c>
      <c r="F202" s="98" t="s">
        <v>1055</v>
      </c>
      <c r="G202" s="98" t="b">
        <v>0</v>
      </c>
      <c r="H202" s="98" t="b">
        <v>0</v>
      </c>
      <c r="I202" s="98" t="b">
        <v>0</v>
      </c>
      <c r="J202" s="98" t="b">
        <v>0</v>
      </c>
      <c r="K202" s="98" t="b">
        <v>0</v>
      </c>
      <c r="L202" s="98" t="b">
        <v>0</v>
      </c>
    </row>
    <row r="203" spans="1:12" ht="15">
      <c r="A203" s="99" t="s">
        <v>304</v>
      </c>
      <c r="B203" s="98" t="s">
        <v>932</v>
      </c>
      <c r="C203" s="98">
        <v>2</v>
      </c>
      <c r="D203" s="111">
        <v>0.0016220642110015445</v>
      </c>
      <c r="E203" s="111">
        <v>1.380211241711606</v>
      </c>
      <c r="F203" s="98" t="s">
        <v>1055</v>
      </c>
      <c r="G203" s="98" t="b">
        <v>0</v>
      </c>
      <c r="H203" s="98" t="b">
        <v>0</v>
      </c>
      <c r="I203" s="98" t="b">
        <v>0</v>
      </c>
      <c r="J203" s="98" t="b">
        <v>0</v>
      </c>
      <c r="K203" s="98" t="b">
        <v>0</v>
      </c>
      <c r="L203" s="98" t="b">
        <v>0</v>
      </c>
    </row>
    <row r="204" spans="1:12" ht="15">
      <c r="A204" s="99" t="s">
        <v>932</v>
      </c>
      <c r="B204" s="98" t="s">
        <v>1018</v>
      </c>
      <c r="C204" s="98">
        <v>2</v>
      </c>
      <c r="D204" s="111">
        <v>0.0016220642110015445</v>
      </c>
      <c r="E204" s="111">
        <v>1.4431105231840369</v>
      </c>
      <c r="F204" s="98" t="s">
        <v>1055</v>
      </c>
      <c r="G204" s="98" t="b">
        <v>0</v>
      </c>
      <c r="H204" s="98" t="b">
        <v>0</v>
      </c>
      <c r="I204" s="98" t="b">
        <v>0</v>
      </c>
      <c r="J204" s="98" t="b">
        <v>0</v>
      </c>
      <c r="K204" s="98" t="b">
        <v>0</v>
      </c>
      <c r="L204" s="98" t="b">
        <v>0</v>
      </c>
    </row>
    <row r="205" spans="1:12" ht="15">
      <c r="A205" s="99" t="s">
        <v>1019</v>
      </c>
      <c r="B205" s="98" t="s">
        <v>946</v>
      </c>
      <c r="C205" s="98">
        <v>2</v>
      </c>
      <c r="D205" s="111">
        <v>0.0016220642110015445</v>
      </c>
      <c r="E205" s="111">
        <v>2.4265112613645754</v>
      </c>
      <c r="F205" s="98" t="s">
        <v>1055</v>
      </c>
      <c r="G205" s="98" t="b">
        <v>0</v>
      </c>
      <c r="H205" s="98" t="b">
        <v>0</v>
      </c>
      <c r="I205" s="98" t="b">
        <v>0</v>
      </c>
      <c r="J205" s="98" t="b">
        <v>0</v>
      </c>
      <c r="K205" s="98" t="b">
        <v>0</v>
      </c>
      <c r="L205" s="98" t="b">
        <v>0</v>
      </c>
    </row>
    <row r="206" spans="1:12" ht="15">
      <c r="A206" s="99" t="s">
        <v>948</v>
      </c>
      <c r="B206" s="98" t="s">
        <v>1020</v>
      </c>
      <c r="C206" s="98">
        <v>2</v>
      </c>
      <c r="D206" s="111">
        <v>0.0016220642110015445</v>
      </c>
      <c r="E206" s="111">
        <v>2.3296012483565187</v>
      </c>
      <c r="F206" s="98" t="s">
        <v>1055</v>
      </c>
      <c r="G206" s="98" t="b">
        <v>0</v>
      </c>
      <c r="H206" s="98" t="b">
        <v>0</v>
      </c>
      <c r="I206" s="98" t="b">
        <v>0</v>
      </c>
      <c r="J206" s="98" t="b">
        <v>0</v>
      </c>
      <c r="K206" s="98" t="b">
        <v>0</v>
      </c>
      <c r="L206" s="98" t="b">
        <v>0</v>
      </c>
    </row>
    <row r="207" spans="1:12" ht="15">
      <c r="A207" s="99" t="s">
        <v>1020</v>
      </c>
      <c r="B207" s="98" t="s">
        <v>1021</v>
      </c>
      <c r="C207" s="98">
        <v>2</v>
      </c>
      <c r="D207" s="111">
        <v>0.0016220642110015445</v>
      </c>
      <c r="E207" s="111">
        <v>3.0285712526925375</v>
      </c>
      <c r="F207" s="98" t="s">
        <v>1055</v>
      </c>
      <c r="G207" s="98" t="b">
        <v>0</v>
      </c>
      <c r="H207" s="98" t="b">
        <v>0</v>
      </c>
      <c r="I207" s="98" t="b">
        <v>0</v>
      </c>
      <c r="J207" s="98" t="b">
        <v>0</v>
      </c>
      <c r="K207" s="98" t="b">
        <v>0</v>
      </c>
      <c r="L207" s="98" t="b">
        <v>0</v>
      </c>
    </row>
    <row r="208" spans="1:12" ht="15">
      <c r="A208" s="99" t="s">
        <v>1021</v>
      </c>
      <c r="B208" s="98" t="s">
        <v>1022</v>
      </c>
      <c r="C208" s="98">
        <v>2</v>
      </c>
      <c r="D208" s="111">
        <v>0.0016220642110015445</v>
      </c>
      <c r="E208" s="111">
        <v>3.0285712526925375</v>
      </c>
      <c r="F208" s="98" t="s">
        <v>1055</v>
      </c>
      <c r="G208" s="98" t="b">
        <v>0</v>
      </c>
      <c r="H208" s="98" t="b">
        <v>0</v>
      </c>
      <c r="I208" s="98" t="b">
        <v>0</v>
      </c>
      <c r="J208" s="98" t="b">
        <v>0</v>
      </c>
      <c r="K208" s="98" t="b">
        <v>0</v>
      </c>
      <c r="L208" s="98" t="b">
        <v>0</v>
      </c>
    </row>
    <row r="209" spans="1:12" ht="15">
      <c r="A209" s="99" t="s">
        <v>1022</v>
      </c>
      <c r="B209" s="98" t="s">
        <v>1023</v>
      </c>
      <c r="C209" s="98">
        <v>2</v>
      </c>
      <c r="D209" s="111">
        <v>0.0016220642110015445</v>
      </c>
      <c r="E209" s="111">
        <v>3.0285712526925375</v>
      </c>
      <c r="F209" s="98" t="s">
        <v>1055</v>
      </c>
      <c r="G209" s="98" t="b">
        <v>0</v>
      </c>
      <c r="H209" s="98" t="b">
        <v>0</v>
      </c>
      <c r="I209" s="98" t="b">
        <v>0</v>
      </c>
      <c r="J209" s="98" t="b">
        <v>0</v>
      </c>
      <c r="K209" s="98" t="b">
        <v>0</v>
      </c>
      <c r="L209" s="98" t="b">
        <v>0</v>
      </c>
    </row>
    <row r="210" spans="1:12" ht="15">
      <c r="A210" s="99" t="s">
        <v>2431</v>
      </c>
      <c r="B210" s="98" t="s">
        <v>2432</v>
      </c>
      <c r="C210" s="98">
        <v>2</v>
      </c>
      <c r="D210" s="111">
        <v>0.0016220642110015445</v>
      </c>
      <c r="E210" s="111">
        <v>3.0285712526925375</v>
      </c>
      <c r="F210" s="98" t="s">
        <v>1055</v>
      </c>
      <c r="G210" s="98" t="b">
        <v>0</v>
      </c>
      <c r="H210" s="98" t="b">
        <v>0</v>
      </c>
      <c r="I210" s="98" t="b">
        <v>0</v>
      </c>
      <c r="J210" s="98" t="b">
        <v>0</v>
      </c>
      <c r="K210" s="98" t="b">
        <v>0</v>
      </c>
      <c r="L210" s="98" t="b">
        <v>0</v>
      </c>
    </row>
    <row r="211" spans="1:12" ht="15">
      <c r="A211" s="99" t="s">
        <v>2432</v>
      </c>
      <c r="B211" s="98" t="s">
        <v>2433</v>
      </c>
      <c r="C211" s="98">
        <v>2</v>
      </c>
      <c r="D211" s="111">
        <v>0.0016220642110015445</v>
      </c>
      <c r="E211" s="111">
        <v>3.0285712526925375</v>
      </c>
      <c r="F211" s="98" t="s">
        <v>1055</v>
      </c>
      <c r="G211" s="98" t="b">
        <v>0</v>
      </c>
      <c r="H211" s="98" t="b">
        <v>0</v>
      </c>
      <c r="I211" s="98" t="b">
        <v>0</v>
      </c>
      <c r="J211" s="98" t="b">
        <v>0</v>
      </c>
      <c r="K211" s="98" t="b">
        <v>0</v>
      </c>
      <c r="L211" s="98" t="b">
        <v>0</v>
      </c>
    </row>
    <row r="212" spans="1:12" ht="15">
      <c r="A212" s="99" t="s">
        <v>2433</v>
      </c>
      <c r="B212" s="98" t="s">
        <v>2429</v>
      </c>
      <c r="C212" s="98">
        <v>2</v>
      </c>
      <c r="D212" s="111">
        <v>0.0016220642110015445</v>
      </c>
      <c r="E212" s="111">
        <v>3.0285712526925375</v>
      </c>
      <c r="F212" s="98" t="s">
        <v>1055</v>
      </c>
      <c r="G212" s="98" t="b">
        <v>0</v>
      </c>
      <c r="H212" s="98" t="b">
        <v>0</v>
      </c>
      <c r="I212" s="98" t="b">
        <v>0</v>
      </c>
      <c r="J212" s="98" t="b">
        <v>0</v>
      </c>
      <c r="K212" s="98" t="b">
        <v>0</v>
      </c>
      <c r="L212" s="98" t="b">
        <v>0</v>
      </c>
    </row>
    <row r="213" spans="1:12" ht="15">
      <c r="A213" s="99" t="s">
        <v>2429</v>
      </c>
      <c r="B213" s="98" t="s">
        <v>2434</v>
      </c>
      <c r="C213" s="98">
        <v>2</v>
      </c>
      <c r="D213" s="111">
        <v>0.0016220642110015445</v>
      </c>
      <c r="E213" s="111">
        <v>2.8524799936368566</v>
      </c>
      <c r="F213" s="98" t="s">
        <v>1055</v>
      </c>
      <c r="G213" s="98" t="b">
        <v>0</v>
      </c>
      <c r="H213" s="98" t="b">
        <v>0</v>
      </c>
      <c r="I213" s="98" t="b">
        <v>0</v>
      </c>
      <c r="J213" s="98" t="b">
        <v>0</v>
      </c>
      <c r="K213" s="98" t="b">
        <v>0</v>
      </c>
      <c r="L213" s="98" t="b">
        <v>0</v>
      </c>
    </row>
    <row r="214" spans="1:12" ht="15">
      <c r="A214" s="99" t="s">
        <v>2434</v>
      </c>
      <c r="B214" s="98" t="s">
        <v>2435</v>
      </c>
      <c r="C214" s="98">
        <v>2</v>
      </c>
      <c r="D214" s="111">
        <v>0.0016220642110015445</v>
      </c>
      <c r="E214" s="111">
        <v>3.0285712526925375</v>
      </c>
      <c r="F214" s="98" t="s">
        <v>1055</v>
      </c>
      <c r="G214" s="98" t="b">
        <v>0</v>
      </c>
      <c r="H214" s="98" t="b">
        <v>0</v>
      </c>
      <c r="I214" s="98" t="b">
        <v>0</v>
      </c>
      <c r="J214" s="98" t="b">
        <v>0</v>
      </c>
      <c r="K214" s="98" t="b">
        <v>0</v>
      </c>
      <c r="L214" s="98" t="b">
        <v>0</v>
      </c>
    </row>
    <row r="215" spans="1:12" ht="15">
      <c r="A215" s="99" t="s">
        <v>2435</v>
      </c>
      <c r="B215" s="98" t="s">
        <v>931</v>
      </c>
      <c r="C215" s="98">
        <v>2</v>
      </c>
      <c r="D215" s="111">
        <v>0.0016220642110015445</v>
      </c>
      <c r="E215" s="111">
        <v>1.2765228048730992</v>
      </c>
      <c r="F215" s="98" t="s">
        <v>1055</v>
      </c>
      <c r="G215" s="98" t="b">
        <v>0</v>
      </c>
      <c r="H215" s="98" t="b">
        <v>0</v>
      </c>
      <c r="I215" s="98" t="b">
        <v>0</v>
      </c>
      <c r="J215" s="98" t="b">
        <v>0</v>
      </c>
      <c r="K215" s="98" t="b">
        <v>0</v>
      </c>
      <c r="L215" s="98" t="b">
        <v>0</v>
      </c>
    </row>
    <row r="216" spans="1:12" ht="15">
      <c r="A216" s="99" t="s">
        <v>931</v>
      </c>
      <c r="B216" s="98" t="s">
        <v>1206</v>
      </c>
      <c r="C216" s="98">
        <v>2</v>
      </c>
      <c r="D216" s="111">
        <v>0.0016220642110015445</v>
      </c>
      <c r="E216" s="111">
        <v>1.1004315458174179</v>
      </c>
      <c r="F216" s="98" t="s">
        <v>1055</v>
      </c>
      <c r="G216" s="98" t="b">
        <v>0</v>
      </c>
      <c r="H216" s="98" t="b">
        <v>0</v>
      </c>
      <c r="I216" s="98" t="b">
        <v>0</v>
      </c>
      <c r="J216" s="98" t="b">
        <v>0</v>
      </c>
      <c r="K216" s="98" t="b">
        <v>0</v>
      </c>
      <c r="L216" s="98" t="b">
        <v>0</v>
      </c>
    </row>
    <row r="217" spans="1:12" ht="15">
      <c r="A217" s="99" t="s">
        <v>1206</v>
      </c>
      <c r="B217" s="98" t="s">
        <v>945</v>
      </c>
      <c r="C217" s="98">
        <v>2</v>
      </c>
      <c r="D217" s="111">
        <v>0.0016220642110015445</v>
      </c>
      <c r="E217" s="111">
        <v>1.7063519579586184</v>
      </c>
      <c r="F217" s="98" t="s">
        <v>1055</v>
      </c>
      <c r="G217" s="98" t="b">
        <v>0</v>
      </c>
      <c r="H217" s="98" t="b">
        <v>0</v>
      </c>
      <c r="I217" s="98" t="b">
        <v>0</v>
      </c>
      <c r="J217" s="98" t="b">
        <v>0</v>
      </c>
      <c r="K217" s="98" t="b">
        <v>0</v>
      </c>
      <c r="L217" s="98" t="b">
        <v>0</v>
      </c>
    </row>
    <row r="218" spans="1:12" ht="15">
      <c r="A218" s="99" t="s">
        <v>945</v>
      </c>
      <c r="B218" s="98" t="s">
        <v>980</v>
      </c>
      <c r="C218" s="98">
        <v>2</v>
      </c>
      <c r="D218" s="111">
        <v>0.0016220642110015445</v>
      </c>
      <c r="E218" s="111">
        <v>1.838239554522246</v>
      </c>
      <c r="F218" s="98" t="s">
        <v>1055</v>
      </c>
      <c r="G218" s="98" t="b">
        <v>0</v>
      </c>
      <c r="H218" s="98" t="b">
        <v>0</v>
      </c>
      <c r="I218" s="98" t="b">
        <v>0</v>
      </c>
      <c r="J218" s="98" t="b">
        <v>0</v>
      </c>
      <c r="K218" s="98" t="b">
        <v>0</v>
      </c>
      <c r="L218" s="98" t="b">
        <v>0</v>
      </c>
    </row>
    <row r="219" spans="1:12" ht="15">
      <c r="A219" s="99" t="s">
        <v>980</v>
      </c>
      <c r="B219" s="98" t="s">
        <v>966</v>
      </c>
      <c r="C219" s="98">
        <v>2</v>
      </c>
      <c r="D219" s="111">
        <v>0.0016220642110015445</v>
      </c>
      <c r="E219" s="111">
        <v>1.7063519579586184</v>
      </c>
      <c r="F219" s="98" t="s">
        <v>1055</v>
      </c>
      <c r="G219" s="98" t="b">
        <v>0</v>
      </c>
      <c r="H219" s="98" t="b">
        <v>0</v>
      </c>
      <c r="I219" s="98" t="b">
        <v>0</v>
      </c>
      <c r="J219" s="98" t="b">
        <v>0</v>
      </c>
      <c r="K219" s="98" t="b">
        <v>0</v>
      </c>
      <c r="L219" s="98" t="b">
        <v>0</v>
      </c>
    </row>
    <row r="220" spans="1:12" ht="15">
      <c r="A220" s="99" t="s">
        <v>966</v>
      </c>
      <c r="B220" s="98" t="s">
        <v>2436</v>
      </c>
      <c r="C220" s="98">
        <v>2</v>
      </c>
      <c r="D220" s="111">
        <v>0.0016220642110015445</v>
      </c>
      <c r="E220" s="111">
        <v>2.1535099893008374</v>
      </c>
      <c r="F220" s="98" t="s">
        <v>1055</v>
      </c>
      <c r="G220" s="98" t="b">
        <v>0</v>
      </c>
      <c r="H220" s="98" t="b">
        <v>0</v>
      </c>
      <c r="I220" s="98" t="b">
        <v>0</v>
      </c>
      <c r="J220" s="98" t="b">
        <v>0</v>
      </c>
      <c r="K220" s="98" t="b">
        <v>0</v>
      </c>
      <c r="L220" s="98" t="b">
        <v>0</v>
      </c>
    </row>
    <row r="221" spans="1:12" ht="15">
      <c r="A221" s="99" t="s">
        <v>2436</v>
      </c>
      <c r="B221" s="98" t="s">
        <v>2437</v>
      </c>
      <c r="C221" s="98">
        <v>2</v>
      </c>
      <c r="D221" s="111">
        <v>0.0016220642110015445</v>
      </c>
      <c r="E221" s="111">
        <v>3.0285712526925375</v>
      </c>
      <c r="F221" s="98" t="s">
        <v>1055</v>
      </c>
      <c r="G221" s="98" t="b">
        <v>0</v>
      </c>
      <c r="H221" s="98" t="b">
        <v>0</v>
      </c>
      <c r="I221" s="98" t="b">
        <v>0</v>
      </c>
      <c r="J221" s="98" t="b">
        <v>0</v>
      </c>
      <c r="K221" s="98" t="b">
        <v>0</v>
      </c>
      <c r="L221" s="98" t="b">
        <v>0</v>
      </c>
    </row>
    <row r="222" spans="1:12" ht="15">
      <c r="A222" s="99" t="s">
        <v>2437</v>
      </c>
      <c r="B222" s="98" t="s">
        <v>2430</v>
      </c>
      <c r="C222" s="98">
        <v>2</v>
      </c>
      <c r="D222" s="111">
        <v>0.0016220642110015445</v>
      </c>
      <c r="E222" s="111">
        <v>2.8524799936368566</v>
      </c>
      <c r="F222" s="98" t="s">
        <v>1055</v>
      </c>
      <c r="G222" s="98" t="b">
        <v>0</v>
      </c>
      <c r="H222" s="98" t="b">
        <v>0</v>
      </c>
      <c r="I222" s="98" t="b">
        <v>0</v>
      </c>
      <c r="J222" s="98" t="b">
        <v>0</v>
      </c>
      <c r="K222" s="98" t="b">
        <v>0</v>
      </c>
      <c r="L222" s="98" t="b">
        <v>0</v>
      </c>
    </row>
    <row r="223" spans="1:12" ht="15">
      <c r="A223" s="99" t="s">
        <v>2430</v>
      </c>
      <c r="B223" s="98" t="s">
        <v>2438</v>
      </c>
      <c r="C223" s="98">
        <v>2</v>
      </c>
      <c r="D223" s="111">
        <v>0.0016220642110015445</v>
      </c>
      <c r="E223" s="111">
        <v>3.0285712526925375</v>
      </c>
      <c r="F223" s="98" t="s">
        <v>1055</v>
      </c>
      <c r="G223" s="98" t="b">
        <v>0</v>
      </c>
      <c r="H223" s="98" t="b">
        <v>0</v>
      </c>
      <c r="I223" s="98" t="b">
        <v>0</v>
      </c>
      <c r="J223" s="98" t="b">
        <v>0</v>
      </c>
      <c r="K223" s="98" t="b">
        <v>0</v>
      </c>
      <c r="L223" s="98" t="b">
        <v>0</v>
      </c>
    </row>
    <row r="224" spans="1:12" ht="15">
      <c r="A224" s="99" t="s">
        <v>2438</v>
      </c>
      <c r="B224" s="98" t="s">
        <v>984</v>
      </c>
      <c r="C224" s="98">
        <v>2</v>
      </c>
      <c r="D224" s="111">
        <v>0.0016220642110015445</v>
      </c>
      <c r="E224" s="111">
        <v>2.5514499979728753</v>
      </c>
      <c r="F224" s="98" t="s">
        <v>1055</v>
      </c>
      <c r="G224" s="98" t="b">
        <v>0</v>
      </c>
      <c r="H224" s="98" t="b">
        <v>0</v>
      </c>
      <c r="I224" s="98" t="b">
        <v>0</v>
      </c>
      <c r="J224" s="98" t="b">
        <v>0</v>
      </c>
      <c r="K224" s="98" t="b">
        <v>0</v>
      </c>
      <c r="L224" s="98" t="b">
        <v>0</v>
      </c>
    </row>
    <row r="225" spans="1:12" ht="15">
      <c r="A225" s="99" t="s">
        <v>964</v>
      </c>
      <c r="B225" s="98" t="s">
        <v>930</v>
      </c>
      <c r="C225" s="98">
        <v>2</v>
      </c>
      <c r="D225" s="111">
        <v>0.0016220642110015445</v>
      </c>
      <c r="E225" s="111">
        <v>0.6237375360725995</v>
      </c>
      <c r="F225" s="98" t="s">
        <v>1055</v>
      </c>
      <c r="G225" s="98" t="b">
        <v>0</v>
      </c>
      <c r="H225" s="98" t="b">
        <v>0</v>
      </c>
      <c r="I225" s="98" t="b">
        <v>0</v>
      </c>
      <c r="J225" s="98" t="b">
        <v>0</v>
      </c>
      <c r="K225" s="98" t="b">
        <v>0</v>
      </c>
      <c r="L225" s="98" t="b">
        <v>0</v>
      </c>
    </row>
    <row r="226" spans="1:12" ht="15">
      <c r="A226" s="99" t="s">
        <v>930</v>
      </c>
      <c r="B226" s="98" t="s">
        <v>1024</v>
      </c>
      <c r="C226" s="98">
        <v>2</v>
      </c>
      <c r="D226" s="111">
        <v>0.0016220642110015445</v>
      </c>
      <c r="E226" s="111">
        <v>1.2123299527007545</v>
      </c>
      <c r="F226" s="98" t="s">
        <v>1055</v>
      </c>
      <c r="G226" s="98" t="b">
        <v>0</v>
      </c>
      <c r="H226" s="98" t="b">
        <v>0</v>
      </c>
      <c r="I226" s="98" t="b">
        <v>0</v>
      </c>
      <c r="J226" s="98" t="b">
        <v>0</v>
      </c>
      <c r="K226" s="98" t="b">
        <v>0</v>
      </c>
      <c r="L226" s="98" t="b">
        <v>0</v>
      </c>
    </row>
    <row r="227" spans="1:12" ht="15">
      <c r="A227" s="99" t="s">
        <v>1024</v>
      </c>
      <c r="B227" s="98" t="s">
        <v>1025</v>
      </c>
      <c r="C227" s="98">
        <v>2</v>
      </c>
      <c r="D227" s="111">
        <v>0.0016220642110015445</v>
      </c>
      <c r="E227" s="111">
        <v>3.0285712526925375</v>
      </c>
      <c r="F227" s="98" t="s">
        <v>1055</v>
      </c>
      <c r="G227" s="98" t="b">
        <v>0</v>
      </c>
      <c r="H227" s="98" t="b">
        <v>0</v>
      </c>
      <c r="I227" s="98" t="b">
        <v>0</v>
      </c>
      <c r="J227" s="98" t="b">
        <v>0</v>
      </c>
      <c r="K227" s="98" t="b">
        <v>0</v>
      </c>
      <c r="L227" s="98" t="b">
        <v>0</v>
      </c>
    </row>
    <row r="228" spans="1:12" ht="15">
      <c r="A228" s="99" t="s">
        <v>1025</v>
      </c>
      <c r="B228" s="98" t="s">
        <v>1026</v>
      </c>
      <c r="C228" s="98">
        <v>2</v>
      </c>
      <c r="D228" s="111">
        <v>0.0016220642110015445</v>
      </c>
      <c r="E228" s="111">
        <v>3.0285712526925375</v>
      </c>
      <c r="F228" s="98" t="s">
        <v>1055</v>
      </c>
      <c r="G228" s="98" t="b">
        <v>0</v>
      </c>
      <c r="H228" s="98" t="b">
        <v>0</v>
      </c>
      <c r="I228" s="98" t="b">
        <v>0</v>
      </c>
      <c r="J228" s="98" t="b">
        <v>0</v>
      </c>
      <c r="K228" s="98" t="b">
        <v>0</v>
      </c>
      <c r="L228" s="98" t="b">
        <v>0</v>
      </c>
    </row>
    <row r="229" spans="1:12" ht="15">
      <c r="A229" s="99" t="s">
        <v>1026</v>
      </c>
      <c r="B229" s="98" t="s">
        <v>1027</v>
      </c>
      <c r="C229" s="98">
        <v>2</v>
      </c>
      <c r="D229" s="111">
        <v>0.0016220642110015445</v>
      </c>
      <c r="E229" s="111">
        <v>2.288208563198294</v>
      </c>
      <c r="F229" s="98" t="s">
        <v>1055</v>
      </c>
      <c r="G229" s="98" t="b">
        <v>0</v>
      </c>
      <c r="H229" s="98" t="b">
        <v>0</v>
      </c>
      <c r="I229" s="98" t="b">
        <v>0</v>
      </c>
      <c r="J229" s="98" t="b">
        <v>0</v>
      </c>
      <c r="K229" s="98" t="b">
        <v>0</v>
      </c>
      <c r="L229" s="98" t="b">
        <v>0</v>
      </c>
    </row>
    <row r="230" spans="1:12" ht="15">
      <c r="A230" s="99" t="s">
        <v>1027</v>
      </c>
      <c r="B230" s="98" t="s">
        <v>1028</v>
      </c>
      <c r="C230" s="98">
        <v>2</v>
      </c>
      <c r="D230" s="111">
        <v>0.0016220642110015445</v>
      </c>
      <c r="E230" s="111">
        <v>2.288208563198294</v>
      </c>
      <c r="F230" s="98" t="s">
        <v>1055</v>
      </c>
      <c r="G230" s="98" t="b">
        <v>0</v>
      </c>
      <c r="H230" s="98" t="b">
        <v>0</v>
      </c>
      <c r="I230" s="98" t="b">
        <v>0</v>
      </c>
      <c r="J230" s="98" t="b">
        <v>0</v>
      </c>
      <c r="K230" s="98" t="b">
        <v>0</v>
      </c>
      <c r="L230" s="98" t="b">
        <v>0</v>
      </c>
    </row>
    <row r="231" spans="1:12" ht="15">
      <c r="A231" s="99" t="s">
        <v>1028</v>
      </c>
      <c r="B231" s="98" t="s">
        <v>949</v>
      </c>
      <c r="C231" s="98">
        <v>2</v>
      </c>
      <c r="D231" s="111">
        <v>0.0016220642110015445</v>
      </c>
      <c r="E231" s="111">
        <v>2.1535099893008374</v>
      </c>
      <c r="F231" s="98" t="s">
        <v>1055</v>
      </c>
      <c r="G231" s="98" t="b">
        <v>0</v>
      </c>
      <c r="H231" s="98" t="b">
        <v>0</v>
      </c>
      <c r="I231" s="98" t="b">
        <v>0</v>
      </c>
      <c r="J231" s="98" t="b">
        <v>0</v>
      </c>
      <c r="K231" s="98" t="b">
        <v>0</v>
      </c>
      <c r="L231" s="98" t="b">
        <v>0</v>
      </c>
    </row>
    <row r="232" spans="1:12" ht="15">
      <c r="A232" s="99" t="s">
        <v>949</v>
      </c>
      <c r="B232" s="98" t="s">
        <v>1029</v>
      </c>
      <c r="C232" s="98">
        <v>2</v>
      </c>
      <c r="D232" s="111">
        <v>0.0016220642110015445</v>
      </c>
      <c r="E232" s="111">
        <v>2.1535099893008374</v>
      </c>
      <c r="F232" s="98" t="s">
        <v>1055</v>
      </c>
      <c r="G232" s="98" t="b">
        <v>0</v>
      </c>
      <c r="H232" s="98" t="b">
        <v>0</v>
      </c>
      <c r="I232" s="98" t="b">
        <v>0</v>
      </c>
      <c r="J232" s="98" t="b">
        <v>0</v>
      </c>
      <c r="K232" s="98" t="b">
        <v>0</v>
      </c>
      <c r="L232" s="98" t="b">
        <v>0</v>
      </c>
    </row>
    <row r="233" spans="1:12" ht="15">
      <c r="A233" s="99" t="s">
        <v>1029</v>
      </c>
      <c r="B233" s="98" t="s">
        <v>1030</v>
      </c>
      <c r="C233" s="98">
        <v>2</v>
      </c>
      <c r="D233" s="111">
        <v>0.0016220642110015445</v>
      </c>
      <c r="E233" s="111">
        <v>3.0285712526925375</v>
      </c>
      <c r="F233" s="98" t="s">
        <v>1055</v>
      </c>
      <c r="G233" s="98" t="b">
        <v>0</v>
      </c>
      <c r="H233" s="98" t="b">
        <v>0</v>
      </c>
      <c r="I233" s="98" t="b">
        <v>0</v>
      </c>
      <c r="J233" s="98" t="b">
        <v>0</v>
      </c>
      <c r="K233" s="98" t="b">
        <v>0</v>
      </c>
      <c r="L233" s="98" t="b">
        <v>0</v>
      </c>
    </row>
    <row r="234" spans="1:12" ht="15">
      <c r="A234" s="99" t="s">
        <v>1030</v>
      </c>
      <c r="B234" s="98" t="s">
        <v>1031</v>
      </c>
      <c r="C234" s="98">
        <v>2</v>
      </c>
      <c r="D234" s="111">
        <v>0.0016220642110015445</v>
      </c>
      <c r="E234" s="111">
        <v>3.0285712526925375</v>
      </c>
      <c r="F234" s="98" t="s">
        <v>1055</v>
      </c>
      <c r="G234" s="98" t="b">
        <v>0</v>
      </c>
      <c r="H234" s="98" t="b">
        <v>0</v>
      </c>
      <c r="I234" s="98" t="b">
        <v>0</v>
      </c>
      <c r="J234" s="98" t="b">
        <v>0</v>
      </c>
      <c r="K234" s="98" t="b">
        <v>0</v>
      </c>
      <c r="L234" s="98" t="b">
        <v>0</v>
      </c>
    </row>
    <row r="235" spans="1:12" ht="15">
      <c r="A235" s="99" t="s">
        <v>1031</v>
      </c>
      <c r="B235" s="98" t="s">
        <v>932</v>
      </c>
      <c r="C235" s="98">
        <v>2</v>
      </c>
      <c r="D235" s="111">
        <v>0.0016220642110015445</v>
      </c>
      <c r="E235" s="111">
        <v>1.380211241711606</v>
      </c>
      <c r="F235" s="98" t="s">
        <v>1055</v>
      </c>
      <c r="G235" s="98" t="b">
        <v>0</v>
      </c>
      <c r="H235" s="98" t="b">
        <v>0</v>
      </c>
      <c r="I235" s="98" t="b">
        <v>0</v>
      </c>
      <c r="J235" s="98" t="b">
        <v>0</v>
      </c>
      <c r="K235" s="98" t="b">
        <v>0</v>
      </c>
      <c r="L235" s="98" t="b">
        <v>0</v>
      </c>
    </row>
    <row r="236" spans="1:12" ht="15">
      <c r="A236" s="99" t="s">
        <v>932</v>
      </c>
      <c r="B236" s="98" t="s">
        <v>1032</v>
      </c>
      <c r="C236" s="98">
        <v>2</v>
      </c>
      <c r="D236" s="111">
        <v>0.0016220642110015445</v>
      </c>
      <c r="E236" s="111">
        <v>0.9659892684643746</v>
      </c>
      <c r="F236" s="98" t="s">
        <v>1055</v>
      </c>
      <c r="G236" s="98" t="b">
        <v>0</v>
      </c>
      <c r="H236" s="98" t="b">
        <v>0</v>
      </c>
      <c r="I236" s="98" t="b">
        <v>0</v>
      </c>
      <c r="J236" s="98" t="b">
        <v>0</v>
      </c>
      <c r="K236" s="98" t="b">
        <v>0</v>
      </c>
      <c r="L236" s="98" t="b">
        <v>0</v>
      </c>
    </row>
    <row r="237" spans="1:12" ht="15">
      <c r="A237" s="99" t="s">
        <v>966</v>
      </c>
      <c r="B237" s="98" t="s">
        <v>948</v>
      </c>
      <c r="C237" s="98">
        <v>2</v>
      </c>
      <c r="D237" s="111">
        <v>0.0016220642110015445</v>
      </c>
      <c r="E237" s="111">
        <v>1.4545399849648188</v>
      </c>
      <c r="F237" s="98" t="s">
        <v>1055</v>
      </c>
      <c r="G237" s="98" t="b">
        <v>0</v>
      </c>
      <c r="H237" s="98" t="b">
        <v>0</v>
      </c>
      <c r="I237" s="98" t="b">
        <v>0</v>
      </c>
      <c r="J237" s="98" t="b">
        <v>0</v>
      </c>
      <c r="K237" s="98" t="b">
        <v>0</v>
      </c>
      <c r="L237" s="98" t="b">
        <v>0</v>
      </c>
    </row>
    <row r="238" spans="1:12" ht="15">
      <c r="A238" s="99" t="s">
        <v>948</v>
      </c>
      <c r="B238" s="98" t="s">
        <v>959</v>
      </c>
      <c r="C238" s="98">
        <v>2</v>
      </c>
      <c r="D238" s="111">
        <v>0.0016220642110015445</v>
      </c>
      <c r="E238" s="111">
        <v>1.8524799936368563</v>
      </c>
      <c r="F238" s="98" t="s">
        <v>1055</v>
      </c>
      <c r="G238" s="98" t="b">
        <v>0</v>
      </c>
      <c r="H238" s="98" t="b">
        <v>0</v>
      </c>
      <c r="I238" s="98" t="b">
        <v>0</v>
      </c>
      <c r="J238" s="98" t="b">
        <v>0</v>
      </c>
      <c r="K238" s="98" t="b">
        <v>0</v>
      </c>
      <c r="L238" s="98" t="b">
        <v>0</v>
      </c>
    </row>
    <row r="239" spans="1:12" ht="15">
      <c r="A239" s="99" t="s">
        <v>932</v>
      </c>
      <c r="B239" s="98" t="s">
        <v>945</v>
      </c>
      <c r="C239" s="98">
        <v>2</v>
      </c>
      <c r="D239" s="111">
        <v>0.0016220642110015445</v>
      </c>
      <c r="E239" s="111">
        <v>0.2969824875057989</v>
      </c>
      <c r="F239" s="98" t="s">
        <v>1055</v>
      </c>
      <c r="G239" s="98" t="b">
        <v>0</v>
      </c>
      <c r="H239" s="98" t="b">
        <v>0</v>
      </c>
      <c r="I239" s="98" t="b">
        <v>0</v>
      </c>
      <c r="J239" s="98" t="b">
        <v>0</v>
      </c>
      <c r="K239" s="98" t="b">
        <v>0</v>
      </c>
      <c r="L239" s="98" t="b">
        <v>0</v>
      </c>
    </row>
    <row r="240" spans="1:12" ht="15">
      <c r="A240" s="99" t="s">
        <v>966</v>
      </c>
      <c r="B240" s="98" t="s">
        <v>934</v>
      </c>
      <c r="C240" s="98">
        <v>2</v>
      </c>
      <c r="D240" s="111">
        <v>0.0016220642110015445</v>
      </c>
      <c r="E240" s="111">
        <v>0.5972074885335503</v>
      </c>
      <c r="F240" s="98" t="s">
        <v>1055</v>
      </c>
      <c r="G240" s="98" t="b">
        <v>0</v>
      </c>
      <c r="H240" s="98" t="b">
        <v>0</v>
      </c>
      <c r="I240" s="98" t="b">
        <v>0</v>
      </c>
      <c r="J240" s="98" t="b">
        <v>0</v>
      </c>
      <c r="K240" s="98" t="b">
        <v>0</v>
      </c>
      <c r="L240" s="98" t="b">
        <v>0</v>
      </c>
    </row>
    <row r="241" spans="1:12" ht="15">
      <c r="A241" s="99" t="s">
        <v>934</v>
      </c>
      <c r="B241" s="98" t="s">
        <v>1033</v>
      </c>
      <c r="C241" s="98">
        <v>2</v>
      </c>
      <c r="D241" s="111">
        <v>0.0016220642110015445</v>
      </c>
      <c r="E241" s="111">
        <v>1.4722687519252504</v>
      </c>
      <c r="F241" s="98" t="s">
        <v>1055</v>
      </c>
      <c r="G241" s="98" t="b">
        <v>0</v>
      </c>
      <c r="H241" s="98" t="b">
        <v>0</v>
      </c>
      <c r="I241" s="98" t="b">
        <v>0</v>
      </c>
      <c r="J241" s="98" t="b">
        <v>0</v>
      </c>
      <c r="K241" s="98" t="b">
        <v>0</v>
      </c>
      <c r="L241" s="98" t="b">
        <v>0</v>
      </c>
    </row>
    <row r="242" spans="1:12" ht="15">
      <c r="A242" s="99" t="s">
        <v>1033</v>
      </c>
      <c r="B242" s="98" t="s">
        <v>1034</v>
      </c>
      <c r="C242" s="98">
        <v>2</v>
      </c>
      <c r="D242" s="111">
        <v>0.0016220642110015445</v>
      </c>
      <c r="E242" s="111">
        <v>3.0285712526925375</v>
      </c>
      <c r="F242" s="98" t="s">
        <v>1055</v>
      </c>
      <c r="G242" s="98" t="b">
        <v>0</v>
      </c>
      <c r="H242" s="98" t="b">
        <v>0</v>
      </c>
      <c r="I242" s="98" t="b">
        <v>0</v>
      </c>
      <c r="J242" s="98" t="b">
        <v>0</v>
      </c>
      <c r="K242" s="98" t="b">
        <v>0</v>
      </c>
      <c r="L242" s="98" t="b">
        <v>0</v>
      </c>
    </row>
    <row r="243" spans="1:12" ht="15">
      <c r="A243" s="99" t="s">
        <v>1034</v>
      </c>
      <c r="B243" s="98" t="s">
        <v>1035</v>
      </c>
      <c r="C243" s="98">
        <v>2</v>
      </c>
      <c r="D243" s="111">
        <v>0.0016220642110015445</v>
      </c>
      <c r="E243" s="111">
        <v>3.0285712526925375</v>
      </c>
      <c r="F243" s="98" t="s">
        <v>1055</v>
      </c>
      <c r="G243" s="98" t="b">
        <v>0</v>
      </c>
      <c r="H243" s="98" t="b">
        <v>0</v>
      </c>
      <c r="I243" s="98" t="b">
        <v>0</v>
      </c>
      <c r="J243" s="98" t="b">
        <v>0</v>
      </c>
      <c r="K243" s="98" t="b">
        <v>0</v>
      </c>
      <c r="L243" s="98" t="b">
        <v>0</v>
      </c>
    </row>
    <row r="244" spans="1:12" ht="15">
      <c r="A244" s="99" t="s">
        <v>1035</v>
      </c>
      <c r="B244" s="98" t="s">
        <v>293</v>
      </c>
      <c r="C244" s="98">
        <v>2</v>
      </c>
      <c r="D244" s="111">
        <v>0.0016220642110015445</v>
      </c>
      <c r="E244" s="111">
        <v>1.7498176517397088</v>
      </c>
      <c r="F244" s="98" t="s">
        <v>1055</v>
      </c>
      <c r="G244" s="98" t="b">
        <v>0</v>
      </c>
      <c r="H244" s="98" t="b">
        <v>0</v>
      </c>
      <c r="I244" s="98" t="b">
        <v>0</v>
      </c>
      <c r="J244" s="98" t="b">
        <v>0</v>
      </c>
      <c r="K244" s="98" t="b">
        <v>0</v>
      </c>
      <c r="L244" s="98" t="b">
        <v>0</v>
      </c>
    </row>
    <row r="245" spans="1:12" ht="15">
      <c r="A245" s="99" t="s">
        <v>293</v>
      </c>
      <c r="B245" s="98" t="s">
        <v>1036</v>
      </c>
      <c r="C245" s="98">
        <v>2</v>
      </c>
      <c r="D245" s="111">
        <v>0.0016220642110015445</v>
      </c>
      <c r="E245" s="111">
        <v>1.5100573128146502</v>
      </c>
      <c r="F245" s="98" t="s">
        <v>1055</v>
      </c>
      <c r="G245" s="98" t="b">
        <v>0</v>
      </c>
      <c r="H245" s="98" t="b">
        <v>0</v>
      </c>
      <c r="I245" s="98" t="b">
        <v>0</v>
      </c>
      <c r="J245" s="98" t="b">
        <v>0</v>
      </c>
      <c r="K245" s="98" t="b">
        <v>0</v>
      </c>
      <c r="L245" s="98" t="b">
        <v>0</v>
      </c>
    </row>
    <row r="246" spans="1:12" ht="15">
      <c r="A246" s="99" t="s">
        <v>1036</v>
      </c>
      <c r="B246" s="98" t="s">
        <v>1037</v>
      </c>
      <c r="C246" s="98">
        <v>2</v>
      </c>
      <c r="D246" s="111">
        <v>0.0016220642110015445</v>
      </c>
      <c r="E246" s="111">
        <v>2.8524799936368566</v>
      </c>
      <c r="F246" s="98" t="s">
        <v>1055</v>
      </c>
      <c r="G246" s="98" t="b">
        <v>0</v>
      </c>
      <c r="H246" s="98" t="b">
        <v>0</v>
      </c>
      <c r="I246" s="98" t="b">
        <v>0</v>
      </c>
      <c r="J246" s="98" t="b">
        <v>0</v>
      </c>
      <c r="K246" s="98" t="b">
        <v>0</v>
      </c>
      <c r="L246" s="98" t="b">
        <v>0</v>
      </c>
    </row>
    <row r="247" spans="1:12" ht="15">
      <c r="A247" s="99" t="s">
        <v>1037</v>
      </c>
      <c r="B247" s="98" t="s">
        <v>944</v>
      </c>
      <c r="C247" s="98">
        <v>2</v>
      </c>
      <c r="D247" s="111">
        <v>0.0016220642110015445</v>
      </c>
      <c r="E247" s="111">
        <v>2.099152326978245</v>
      </c>
      <c r="F247" s="98" t="s">
        <v>1055</v>
      </c>
      <c r="G247" s="98" t="b">
        <v>0</v>
      </c>
      <c r="H247" s="98" t="b">
        <v>0</v>
      </c>
      <c r="I247" s="98" t="b">
        <v>0</v>
      </c>
      <c r="J247" s="98" t="b">
        <v>0</v>
      </c>
      <c r="K247" s="98" t="b">
        <v>0</v>
      </c>
      <c r="L247" s="98" t="b">
        <v>0</v>
      </c>
    </row>
    <row r="248" spans="1:12" ht="15">
      <c r="A248" s="99" t="s">
        <v>944</v>
      </c>
      <c r="B248" s="98" t="s">
        <v>1038</v>
      </c>
      <c r="C248" s="98">
        <v>2</v>
      </c>
      <c r="D248" s="111">
        <v>0.0016220642110015445</v>
      </c>
      <c r="E248" s="111">
        <v>2.099152326978245</v>
      </c>
      <c r="F248" s="98" t="s">
        <v>1055</v>
      </c>
      <c r="G248" s="98" t="b">
        <v>0</v>
      </c>
      <c r="H248" s="98" t="b">
        <v>0</v>
      </c>
      <c r="I248" s="98" t="b">
        <v>0</v>
      </c>
      <c r="J248" s="98" t="b">
        <v>0</v>
      </c>
      <c r="K248" s="98" t="b">
        <v>0</v>
      </c>
      <c r="L248" s="98" t="b">
        <v>0</v>
      </c>
    </row>
    <row r="249" spans="1:12" ht="15">
      <c r="A249" s="99" t="s">
        <v>1038</v>
      </c>
      <c r="B249" s="98" t="s">
        <v>1039</v>
      </c>
      <c r="C249" s="98">
        <v>2</v>
      </c>
      <c r="D249" s="111">
        <v>0.0016220642110015445</v>
      </c>
      <c r="E249" s="111">
        <v>3.0285712526925375</v>
      </c>
      <c r="F249" s="98" t="s">
        <v>1055</v>
      </c>
      <c r="G249" s="98" t="b">
        <v>0</v>
      </c>
      <c r="H249" s="98" t="b">
        <v>0</v>
      </c>
      <c r="I249" s="98" t="b">
        <v>0</v>
      </c>
      <c r="J249" s="98" t="b">
        <v>0</v>
      </c>
      <c r="K249" s="98" t="b">
        <v>0</v>
      </c>
      <c r="L249" s="98" t="b">
        <v>0</v>
      </c>
    </row>
    <row r="250" spans="1:12" ht="15">
      <c r="A250" s="99" t="s">
        <v>1039</v>
      </c>
      <c r="B250" s="98" t="s">
        <v>965</v>
      </c>
      <c r="C250" s="98">
        <v>2</v>
      </c>
      <c r="D250" s="111">
        <v>0.0016220642110015445</v>
      </c>
      <c r="E250" s="111">
        <v>2.4265112613645754</v>
      </c>
      <c r="F250" s="98" t="s">
        <v>1055</v>
      </c>
      <c r="G250" s="98" t="b">
        <v>0</v>
      </c>
      <c r="H250" s="98" t="b">
        <v>0</v>
      </c>
      <c r="I250" s="98" t="b">
        <v>0</v>
      </c>
      <c r="J250" s="98" t="b">
        <v>0</v>
      </c>
      <c r="K250" s="98" t="b">
        <v>0</v>
      </c>
      <c r="L250" s="98" t="b">
        <v>0</v>
      </c>
    </row>
    <row r="251" spans="1:12" ht="15">
      <c r="A251" s="99" t="s">
        <v>965</v>
      </c>
      <c r="B251" s="98" t="s">
        <v>1040</v>
      </c>
      <c r="C251" s="98">
        <v>2</v>
      </c>
      <c r="D251" s="111">
        <v>0.0016220642110015445</v>
      </c>
      <c r="E251" s="111">
        <v>2.4265112613645754</v>
      </c>
      <c r="F251" s="98" t="s">
        <v>1055</v>
      </c>
      <c r="G251" s="98" t="b">
        <v>0</v>
      </c>
      <c r="H251" s="98" t="b">
        <v>0</v>
      </c>
      <c r="I251" s="98" t="b">
        <v>0</v>
      </c>
      <c r="J251" s="98" t="b">
        <v>0</v>
      </c>
      <c r="K251" s="98" t="b">
        <v>0</v>
      </c>
      <c r="L251" s="98" t="b">
        <v>0</v>
      </c>
    </row>
    <row r="252" spans="1:12" ht="15">
      <c r="A252" s="99" t="s">
        <v>1040</v>
      </c>
      <c r="B252" s="98" t="s">
        <v>1041</v>
      </c>
      <c r="C252" s="98">
        <v>2</v>
      </c>
      <c r="D252" s="111">
        <v>0.0016220642110015445</v>
      </c>
      <c r="E252" s="111">
        <v>3.0285712526925375</v>
      </c>
      <c r="F252" s="98" t="s">
        <v>1055</v>
      </c>
      <c r="G252" s="98" t="b">
        <v>0</v>
      </c>
      <c r="H252" s="98" t="b">
        <v>0</v>
      </c>
      <c r="I252" s="98" t="b">
        <v>0</v>
      </c>
      <c r="J252" s="98" t="b">
        <v>0</v>
      </c>
      <c r="K252" s="98" t="b">
        <v>0</v>
      </c>
      <c r="L252" s="98" t="b">
        <v>0</v>
      </c>
    </row>
    <row r="253" spans="1:12" ht="15">
      <c r="A253" s="99" t="s">
        <v>1041</v>
      </c>
      <c r="B253" s="98" t="s">
        <v>260</v>
      </c>
      <c r="C253" s="98">
        <v>2</v>
      </c>
      <c r="D253" s="111">
        <v>0.0016220642110015445</v>
      </c>
      <c r="E253" s="111">
        <v>2.0285712526925375</v>
      </c>
      <c r="F253" s="98" t="s">
        <v>1055</v>
      </c>
      <c r="G253" s="98" t="b">
        <v>0</v>
      </c>
      <c r="H253" s="98" t="b">
        <v>0</v>
      </c>
      <c r="I253" s="98" t="b">
        <v>0</v>
      </c>
      <c r="J253" s="98" t="b">
        <v>0</v>
      </c>
      <c r="K253" s="98" t="b">
        <v>0</v>
      </c>
      <c r="L253" s="98" t="b">
        <v>0</v>
      </c>
    </row>
    <row r="254" spans="1:12" ht="15">
      <c r="A254" s="99" t="s">
        <v>260</v>
      </c>
      <c r="B254" s="98" t="s">
        <v>1042</v>
      </c>
      <c r="C254" s="98">
        <v>2</v>
      </c>
      <c r="D254" s="111">
        <v>0.0016220642110015445</v>
      </c>
      <c r="E254" s="111">
        <v>2.0285712526925375</v>
      </c>
      <c r="F254" s="98" t="s">
        <v>1055</v>
      </c>
      <c r="G254" s="98" t="b">
        <v>0</v>
      </c>
      <c r="H254" s="98" t="b">
        <v>0</v>
      </c>
      <c r="I254" s="98" t="b">
        <v>0</v>
      </c>
      <c r="J254" s="98" t="b">
        <v>0</v>
      </c>
      <c r="K254" s="98" t="b">
        <v>0</v>
      </c>
      <c r="L254" s="98" t="b">
        <v>0</v>
      </c>
    </row>
    <row r="255" spans="1:12" ht="15">
      <c r="A255" s="99" t="s">
        <v>1042</v>
      </c>
      <c r="B255" s="98" t="s">
        <v>1043</v>
      </c>
      <c r="C255" s="98">
        <v>2</v>
      </c>
      <c r="D255" s="111">
        <v>0.0016220642110015445</v>
      </c>
      <c r="E255" s="111">
        <v>3.0285712526925375</v>
      </c>
      <c r="F255" s="98" t="s">
        <v>1055</v>
      </c>
      <c r="G255" s="98" t="b">
        <v>0</v>
      </c>
      <c r="H255" s="98" t="b">
        <v>0</v>
      </c>
      <c r="I255" s="98" t="b">
        <v>0</v>
      </c>
      <c r="J255" s="98" t="b">
        <v>0</v>
      </c>
      <c r="K255" s="98" t="b">
        <v>0</v>
      </c>
      <c r="L255" s="98" t="b">
        <v>0</v>
      </c>
    </row>
    <row r="256" spans="1:12" ht="15">
      <c r="A256" s="99" t="s">
        <v>1045</v>
      </c>
      <c r="B256" s="98" t="s">
        <v>934</v>
      </c>
      <c r="C256" s="98">
        <v>2</v>
      </c>
      <c r="D256" s="111">
        <v>0.0016220642110015445</v>
      </c>
      <c r="E256" s="111">
        <v>1.4722687519252504</v>
      </c>
      <c r="F256" s="98" t="s">
        <v>1055</v>
      </c>
      <c r="G256" s="98" t="b">
        <v>0</v>
      </c>
      <c r="H256" s="98" t="b">
        <v>0</v>
      </c>
      <c r="I256" s="98" t="b">
        <v>0</v>
      </c>
      <c r="J256" s="98" t="b">
        <v>0</v>
      </c>
      <c r="K256" s="98" t="b">
        <v>0</v>
      </c>
      <c r="L256" s="98" t="b">
        <v>0</v>
      </c>
    </row>
    <row r="257" spans="1:12" ht="15">
      <c r="A257" s="99" t="s">
        <v>934</v>
      </c>
      <c r="B257" s="98" t="s">
        <v>1046</v>
      </c>
      <c r="C257" s="98">
        <v>2</v>
      </c>
      <c r="D257" s="111">
        <v>0.0016220642110015445</v>
      </c>
      <c r="E257" s="111">
        <v>1.4722687519252504</v>
      </c>
      <c r="F257" s="98" t="s">
        <v>1055</v>
      </c>
      <c r="G257" s="98" t="b">
        <v>0</v>
      </c>
      <c r="H257" s="98" t="b">
        <v>0</v>
      </c>
      <c r="I257" s="98" t="b">
        <v>0</v>
      </c>
      <c r="J257" s="98" t="b">
        <v>0</v>
      </c>
      <c r="K257" s="98" t="b">
        <v>0</v>
      </c>
      <c r="L257" s="98" t="b">
        <v>0</v>
      </c>
    </row>
    <row r="258" spans="1:12" ht="15">
      <c r="A258" s="99" t="s">
        <v>1046</v>
      </c>
      <c r="B258" s="98" t="s">
        <v>949</v>
      </c>
      <c r="C258" s="98">
        <v>2</v>
      </c>
      <c r="D258" s="111">
        <v>0.0016220642110015445</v>
      </c>
      <c r="E258" s="111">
        <v>2.1535099893008374</v>
      </c>
      <c r="F258" s="98" t="s">
        <v>1055</v>
      </c>
      <c r="G258" s="98" t="b">
        <v>0</v>
      </c>
      <c r="H258" s="98" t="b">
        <v>0</v>
      </c>
      <c r="I258" s="98" t="b">
        <v>0</v>
      </c>
      <c r="J258" s="98" t="b">
        <v>0</v>
      </c>
      <c r="K258" s="98" t="b">
        <v>0</v>
      </c>
      <c r="L258" s="98" t="b">
        <v>0</v>
      </c>
    </row>
    <row r="259" spans="1:12" ht="15">
      <c r="A259" s="99" t="s">
        <v>949</v>
      </c>
      <c r="B259" s="98" t="s">
        <v>1047</v>
      </c>
      <c r="C259" s="98">
        <v>2</v>
      </c>
      <c r="D259" s="111">
        <v>0.0016220642110015445</v>
      </c>
      <c r="E259" s="111">
        <v>2.1535099893008374</v>
      </c>
      <c r="F259" s="98" t="s">
        <v>1055</v>
      </c>
      <c r="G259" s="98" t="b">
        <v>0</v>
      </c>
      <c r="H259" s="98" t="b">
        <v>0</v>
      </c>
      <c r="I259" s="98" t="b">
        <v>0</v>
      </c>
      <c r="J259" s="98" t="b">
        <v>0</v>
      </c>
      <c r="K259" s="98" t="b">
        <v>0</v>
      </c>
      <c r="L259" s="98" t="b">
        <v>0</v>
      </c>
    </row>
    <row r="260" spans="1:12" ht="15">
      <c r="A260" s="99" t="s">
        <v>1047</v>
      </c>
      <c r="B260" s="98" t="s">
        <v>1048</v>
      </c>
      <c r="C260" s="98">
        <v>2</v>
      </c>
      <c r="D260" s="111">
        <v>0.0016220642110015445</v>
      </c>
      <c r="E260" s="111">
        <v>3.0285712526925375</v>
      </c>
      <c r="F260" s="98" t="s">
        <v>1055</v>
      </c>
      <c r="G260" s="98" t="b">
        <v>0</v>
      </c>
      <c r="H260" s="98" t="b">
        <v>0</v>
      </c>
      <c r="I260" s="98" t="b">
        <v>0</v>
      </c>
      <c r="J260" s="98" t="b">
        <v>0</v>
      </c>
      <c r="K260" s="98" t="b">
        <v>0</v>
      </c>
      <c r="L260" s="98" t="b">
        <v>0</v>
      </c>
    </row>
    <row r="261" spans="1:12" ht="15">
      <c r="A261" s="99" t="s">
        <v>1048</v>
      </c>
      <c r="B261" s="98" t="s">
        <v>1049</v>
      </c>
      <c r="C261" s="98">
        <v>2</v>
      </c>
      <c r="D261" s="111">
        <v>0.0016220642110015445</v>
      </c>
      <c r="E261" s="111">
        <v>2.3296012483565187</v>
      </c>
      <c r="F261" s="98" t="s">
        <v>1055</v>
      </c>
      <c r="G261" s="98" t="b">
        <v>0</v>
      </c>
      <c r="H261" s="98" t="b">
        <v>0</v>
      </c>
      <c r="I261" s="98" t="b">
        <v>0</v>
      </c>
      <c r="J261" s="98" t="b">
        <v>0</v>
      </c>
      <c r="K261" s="98" t="b">
        <v>0</v>
      </c>
      <c r="L261" s="98" t="b">
        <v>0</v>
      </c>
    </row>
    <row r="262" spans="1:12" ht="15">
      <c r="A262" s="99" t="s">
        <v>1049</v>
      </c>
      <c r="B262" s="98" t="s">
        <v>293</v>
      </c>
      <c r="C262" s="98">
        <v>2</v>
      </c>
      <c r="D262" s="111">
        <v>0.0016220642110015445</v>
      </c>
      <c r="E262" s="111">
        <v>1.7498176517397088</v>
      </c>
      <c r="F262" s="98" t="s">
        <v>1055</v>
      </c>
      <c r="G262" s="98" t="b">
        <v>0</v>
      </c>
      <c r="H262" s="98" t="b">
        <v>0</v>
      </c>
      <c r="I262" s="98" t="b">
        <v>0</v>
      </c>
      <c r="J262" s="98" t="b">
        <v>0</v>
      </c>
      <c r="K262" s="98" t="b">
        <v>0</v>
      </c>
      <c r="L262" s="98" t="b">
        <v>0</v>
      </c>
    </row>
    <row r="263" spans="1:12" ht="15">
      <c r="A263" s="99" t="s">
        <v>302</v>
      </c>
      <c r="B263" s="98" t="s">
        <v>299</v>
      </c>
      <c r="C263" s="98">
        <v>56</v>
      </c>
      <c r="D263" s="111">
        <v>0.00045989573217125373</v>
      </c>
      <c r="E263" s="111">
        <v>1.1881140194012805</v>
      </c>
      <c r="F263" s="98" t="s">
        <v>909</v>
      </c>
      <c r="G263" s="98" t="b">
        <v>0</v>
      </c>
      <c r="H263" s="98" t="b">
        <v>0</v>
      </c>
      <c r="I263" s="98" t="b">
        <v>0</v>
      </c>
      <c r="J263" s="98" t="b">
        <v>0</v>
      </c>
      <c r="K263" s="98" t="b">
        <v>0</v>
      </c>
      <c r="L263" s="98" t="b">
        <v>0</v>
      </c>
    </row>
    <row r="264" spans="1:12" ht="15">
      <c r="A264" s="99" t="s">
        <v>932</v>
      </c>
      <c r="B264" s="98" t="s">
        <v>302</v>
      </c>
      <c r="C264" s="98">
        <v>47</v>
      </c>
      <c r="D264" s="111">
        <v>0.004206750954731171</v>
      </c>
      <c r="E264" s="111">
        <v>1.1518953623684898</v>
      </c>
      <c r="F264" s="98" t="s">
        <v>909</v>
      </c>
      <c r="G264" s="98" t="b">
        <v>0</v>
      </c>
      <c r="H264" s="98" t="b">
        <v>0</v>
      </c>
      <c r="I264" s="98" t="b">
        <v>0</v>
      </c>
      <c r="J264" s="98" t="b">
        <v>0</v>
      </c>
      <c r="K264" s="98" t="b">
        <v>0</v>
      </c>
      <c r="L264" s="98" t="b">
        <v>0</v>
      </c>
    </row>
    <row r="265" spans="1:12" ht="15">
      <c r="A265" s="99" t="s">
        <v>934</v>
      </c>
      <c r="B265" s="98" t="s">
        <v>936</v>
      </c>
      <c r="C265" s="98">
        <v>45</v>
      </c>
      <c r="D265" s="111">
        <v>0.004935689514285947</v>
      </c>
      <c r="E265" s="111">
        <v>1.2907763612984282</v>
      </c>
      <c r="F265" s="98" t="s">
        <v>909</v>
      </c>
      <c r="G265" s="98" t="b">
        <v>0</v>
      </c>
      <c r="H265" s="98" t="b">
        <v>0</v>
      </c>
      <c r="I265" s="98" t="b">
        <v>0</v>
      </c>
      <c r="J265" s="98" t="b">
        <v>0</v>
      </c>
      <c r="K265" s="98" t="b">
        <v>0</v>
      </c>
      <c r="L265" s="98" t="b">
        <v>0</v>
      </c>
    </row>
    <row r="266" spans="1:12" ht="15">
      <c r="A266" s="99" t="s">
        <v>936</v>
      </c>
      <c r="B266" s="98" t="s">
        <v>931</v>
      </c>
      <c r="C266" s="98">
        <v>45</v>
      </c>
      <c r="D266" s="111">
        <v>0.004935689514285947</v>
      </c>
      <c r="E266" s="111">
        <v>0.9995062029236033</v>
      </c>
      <c r="F266" s="98" t="s">
        <v>909</v>
      </c>
      <c r="G266" s="98" t="b">
        <v>0</v>
      </c>
      <c r="H266" s="98" t="b">
        <v>0</v>
      </c>
      <c r="I266" s="98" t="b">
        <v>0</v>
      </c>
      <c r="J266" s="98" t="b">
        <v>0</v>
      </c>
      <c r="K266" s="98" t="b">
        <v>0</v>
      </c>
      <c r="L266" s="98" t="b">
        <v>0</v>
      </c>
    </row>
    <row r="267" spans="1:12" ht="15">
      <c r="A267" s="99" t="s">
        <v>930</v>
      </c>
      <c r="B267" s="98" t="s">
        <v>933</v>
      </c>
      <c r="C267" s="98">
        <v>45</v>
      </c>
      <c r="D267" s="111">
        <v>0.004935689514285947</v>
      </c>
      <c r="E267" s="111">
        <v>0.9995062029236033</v>
      </c>
      <c r="F267" s="98" t="s">
        <v>909</v>
      </c>
      <c r="G267" s="98" t="b">
        <v>0</v>
      </c>
      <c r="H267" s="98" t="b">
        <v>0</v>
      </c>
      <c r="I267" s="98" t="b">
        <v>0</v>
      </c>
      <c r="J267" s="98" t="b">
        <v>0</v>
      </c>
      <c r="K267" s="98" t="b">
        <v>0</v>
      </c>
      <c r="L267" s="98" t="b">
        <v>0</v>
      </c>
    </row>
    <row r="268" spans="1:12" ht="15">
      <c r="A268" s="99" t="s">
        <v>939</v>
      </c>
      <c r="B268" s="98" t="s">
        <v>930</v>
      </c>
      <c r="C268" s="98">
        <v>43</v>
      </c>
      <c r="D268" s="111">
        <v>0.005623370944439005</v>
      </c>
      <c r="E268" s="111">
        <v>0.9995062029236033</v>
      </c>
      <c r="F268" s="98" t="s">
        <v>909</v>
      </c>
      <c r="G268" s="98" t="b">
        <v>0</v>
      </c>
      <c r="H268" s="98" t="b">
        <v>0</v>
      </c>
      <c r="I268" s="98" t="b">
        <v>0</v>
      </c>
      <c r="J268" s="98" t="b">
        <v>0</v>
      </c>
      <c r="K268" s="98" t="b">
        <v>0</v>
      </c>
      <c r="L268" s="98" t="b">
        <v>0</v>
      </c>
    </row>
    <row r="269" spans="1:12" ht="15">
      <c r="A269" s="99" t="s">
        <v>930</v>
      </c>
      <c r="B269" s="98" t="s">
        <v>940</v>
      </c>
      <c r="C269" s="98">
        <v>43</v>
      </c>
      <c r="D269" s="111">
        <v>0.005623370944439005</v>
      </c>
      <c r="E269" s="111">
        <v>0.9995062029236033</v>
      </c>
      <c r="F269" s="98" t="s">
        <v>909</v>
      </c>
      <c r="G269" s="98" t="b">
        <v>0</v>
      </c>
      <c r="H269" s="98" t="b">
        <v>0</v>
      </c>
      <c r="I269" s="98" t="b">
        <v>0</v>
      </c>
      <c r="J269" s="98" t="b">
        <v>0</v>
      </c>
      <c r="K269" s="98" t="b">
        <v>0</v>
      </c>
      <c r="L269" s="98" t="b">
        <v>0</v>
      </c>
    </row>
    <row r="270" spans="1:12" ht="15">
      <c r="A270" s="99" t="s">
        <v>940</v>
      </c>
      <c r="B270" s="98" t="s">
        <v>941</v>
      </c>
      <c r="C270" s="98">
        <v>43</v>
      </c>
      <c r="D270" s="111">
        <v>0.005623370944439005</v>
      </c>
      <c r="E270" s="111">
        <v>1.3105204194941853</v>
      </c>
      <c r="F270" s="98" t="s">
        <v>909</v>
      </c>
      <c r="G270" s="98" t="b">
        <v>0</v>
      </c>
      <c r="H270" s="98" t="b">
        <v>0</v>
      </c>
      <c r="I270" s="98" t="b">
        <v>0</v>
      </c>
      <c r="J270" s="98" t="b">
        <v>0</v>
      </c>
      <c r="K270" s="98" t="b">
        <v>0</v>
      </c>
      <c r="L270" s="98" t="b">
        <v>0</v>
      </c>
    </row>
    <row r="271" spans="1:12" ht="15">
      <c r="A271" s="99" t="s">
        <v>941</v>
      </c>
      <c r="B271" s="98" t="s">
        <v>931</v>
      </c>
      <c r="C271" s="98">
        <v>43</v>
      </c>
      <c r="D271" s="111">
        <v>0.005623370944439005</v>
      </c>
      <c r="E271" s="111">
        <v>0.9995062029236033</v>
      </c>
      <c r="F271" s="98" t="s">
        <v>909</v>
      </c>
      <c r="G271" s="98" t="b">
        <v>0</v>
      </c>
      <c r="H271" s="98" t="b">
        <v>0</v>
      </c>
      <c r="I271" s="98" t="b">
        <v>0</v>
      </c>
      <c r="J271" s="98" t="b">
        <v>0</v>
      </c>
      <c r="K271" s="98" t="b">
        <v>0</v>
      </c>
      <c r="L271" s="98" t="b">
        <v>0</v>
      </c>
    </row>
    <row r="272" spans="1:12" ht="15">
      <c r="A272" s="99" t="s">
        <v>931</v>
      </c>
      <c r="B272" s="98" t="s">
        <v>942</v>
      </c>
      <c r="C272" s="98">
        <v>43</v>
      </c>
      <c r="D272" s="111">
        <v>0.005623370944439005</v>
      </c>
      <c r="E272" s="111">
        <v>0.9995062029236033</v>
      </c>
      <c r="F272" s="98" t="s">
        <v>909</v>
      </c>
      <c r="G272" s="98" t="b">
        <v>0</v>
      </c>
      <c r="H272" s="98" t="b">
        <v>0</v>
      </c>
      <c r="I272" s="98" t="b">
        <v>0</v>
      </c>
      <c r="J272" s="98" t="b">
        <v>0</v>
      </c>
      <c r="K272" s="98" t="b">
        <v>0</v>
      </c>
      <c r="L272" s="98" t="b">
        <v>0</v>
      </c>
    </row>
    <row r="273" spans="1:12" ht="15">
      <c r="A273" s="99" t="s">
        <v>942</v>
      </c>
      <c r="B273" s="98" t="s">
        <v>938</v>
      </c>
      <c r="C273" s="98">
        <v>43</v>
      </c>
      <c r="D273" s="111">
        <v>0.005623370944439005</v>
      </c>
      <c r="E273" s="111">
        <v>1.3005361985875845</v>
      </c>
      <c r="F273" s="98" t="s">
        <v>909</v>
      </c>
      <c r="G273" s="98" t="b">
        <v>0</v>
      </c>
      <c r="H273" s="98" t="b">
        <v>0</v>
      </c>
      <c r="I273" s="98" t="b">
        <v>0</v>
      </c>
      <c r="J273" s="98" t="b">
        <v>0</v>
      </c>
      <c r="K273" s="98" t="b">
        <v>0</v>
      </c>
      <c r="L273" s="98" t="b">
        <v>0</v>
      </c>
    </row>
    <row r="274" spans="1:12" ht="15">
      <c r="A274" s="99" t="s">
        <v>938</v>
      </c>
      <c r="B274" s="98" t="s">
        <v>935</v>
      </c>
      <c r="C274" s="98">
        <v>43</v>
      </c>
      <c r="D274" s="111">
        <v>0.005623370944439005</v>
      </c>
      <c r="E274" s="111">
        <v>1.2905519776809835</v>
      </c>
      <c r="F274" s="98" t="s">
        <v>909</v>
      </c>
      <c r="G274" s="98" t="b">
        <v>0</v>
      </c>
      <c r="H274" s="98" t="b">
        <v>0</v>
      </c>
      <c r="I274" s="98" t="b">
        <v>0</v>
      </c>
      <c r="J274" s="98" t="b">
        <v>0</v>
      </c>
      <c r="K274" s="98" t="b">
        <v>0</v>
      </c>
      <c r="L274" s="98" t="b">
        <v>0</v>
      </c>
    </row>
    <row r="275" spans="1:12" ht="15">
      <c r="A275" s="99" t="s">
        <v>935</v>
      </c>
      <c r="B275" s="98" t="s">
        <v>934</v>
      </c>
      <c r="C275" s="98">
        <v>43</v>
      </c>
      <c r="D275" s="111">
        <v>0.005623370944439005</v>
      </c>
      <c r="E275" s="111">
        <v>1.2807921403918274</v>
      </c>
      <c r="F275" s="98" t="s">
        <v>909</v>
      </c>
      <c r="G275" s="98" t="b">
        <v>0</v>
      </c>
      <c r="H275" s="98" t="b">
        <v>0</v>
      </c>
      <c r="I275" s="98" t="b">
        <v>0</v>
      </c>
      <c r="J275" s="98" t="b">
        <v>0</v>
      </c>
      <c r="K275" s="98" t="b">
        <v>0</v>
      </c>
      <c r="L275" s="98" t="b">
        <v>0</v>
      </c>
    </row>
    <row r="276" spans="1:12" ht="15">
      <c r="A276" s="99" t="s">
        <v>931</v>
      </c>
      <c r="B276" s="98" t="s">
        <v>937</v>
      </c>
      <c r="C276" s="98">
        <v>43</v>
      </c>
      <c r="D276" s="111">
        <v>0.005623370944439005</v>
      </c>
      <c r="E276" s="111">
        <v>0.9995062029236033</v>
      </c>
      <c r="F276" s="98" t="s">
        <v>909</v>
      </c>
      <c r="G276" s="98" t="b">
        <v>0</v>
      </c>
      <c r="H276" s="98" t="b">
        <v>0</v>
      </c>
      <c r="I276" s="98" t="b">
        <v>0</v>
      </c>
      <c r="J276" s="98" t="b">
        <v>0</v>
      </c>
      <c r="K276" s="98" t="b">
        <v>0</v>
      </c>
      <c r="L276" s="98" t="b">
        <v>0</v>
      </c>
    </row>
    <row r="277" spans="1:12" ht="15">
      <c r="A277" s="99" t="s">
        <v>937</v>
      </c>
      <c r="B277" s="98" t="s">
        <v>943</v>
      </c>
      <c r="C277" s="98">
        <v>43</v>
      </c>
      <c r="D277" s="111">
        <v>0.005623370944439005</v>
      </c>
      <c r="E277" s="111">
        <v>1.3105204194941853</v>
      </c>
      <c r="F277" s="98" t="s">
        <v>909</v>
      </c>
      <c r="G277" s="98" t="b">
        <v>0</v>
      </c>
      <c r="H277" s="98" t="b">
        <v>0</v>
      </c>
      <c r="I277" s="98" t="b">
        <v>0</v>
      </c>
      <c r="J277" s="98" t="b">
        <v>0</v>
      </c>
      <c r="K277" s="98" t="b">
        <v>0</v>
      </c>
      <c r="L277" s="98" t="b">
        <v>0</v>
      </c>
    </row>
    <row r="278" spans="1:12" ht="15">
      <c r="A278" s="99" t="s">
        <v>943</v>
      </c>
      <c r="B278" s="98" t="s">
        <v>930</v>
      </c>
      <c r="C278" s="98">
        <v>43</v>
      </c>
      <c r="D278" s="111">
        <v>0.005623370944439005</v>
      </c>
      <c r="E278" s="111">
        <v>0.9995062029236033</v>
      </c>
      <c r="F278" s="98" t="s">
        <v>909</v>
      </c>
      <c r="G278" s="98" t="b">
        <v>0</v>
      </c>
      <c r="H278" s="98" t="b">
        <v>0</v>
      </c>
      <c r="I278" s="98" t="b">
        <v>0</v>
      </c>
      <c r="J278" s="98" t="b">
        <v>0</v>
      </c>
      <c r="K278" s="98" t="b">
        <v>0</v>
      </c>
      <c r="L278" s="98" t="b">
        <v>0</v>
      </c>
    </row>
    <row r="279" spans="1:12" ht="15">
      <c r="A279" s="99" t="s">
        <v>933</v>
      </c>
      <c r="B279" s="98" t="s">
        <v>932</v>
      </c>
      <c r="C279" s="98">
        <v>43</v>
      </c>
      <c r="D279" s="111">
        <v>0.005623370944439005</v>
      </c>
      <c r="E279" s="111">
        <v>1.2279855314389727</v>
      </c>
      <c r="F279" s="98" t="s">
        <v>909</v>
      </c>
      <c r="G279" s="98" t="b">
        <v>0</v>
      </c>
      <c r="H279" s="98" t="b">
        <v>0</v>
      </c>
      <c r="I279" s="98" t="b">
        <v>0</v>
      </c>
      <c r="J279" s="98" t="b">
        <v>0</v>
      </c>
      <c r="K279" s="98" t="b">
        <v>0</v>
      </c>
      <c r="L279" s="98" t="b">
        <v>0</v>
      </c>
    </row>
    <row r="280" spans="1:12" ht="15">
      <c r="A280" s="99" t="s">
        <v>2365</v>
      </c>
      <c r="B280" s="98" t="s">
        <v>2392</v>
      </c>
      <c r="C280" s="98">
        <v>5</v>
      </c>
      <c r="D280" s="111">
        <v>0.005645859248592269</v>
      </c>
      <c r="E280" s="111">
        <v>2.245018870737753</v>
      </c>
      <c r="F280" s="98" t="s">
        <v>909</v>
      </c>
      <c r="G280" s="98" t="b">
        <v>0</v>
      </c>
      <c r="H280" s="98" t="b">
        <v>0</v>
      </c>
      <c r="I280" s="98" t="b">
        <v>0</v>
      </c>
      <c r="J280" s="98" t="b">
        <v>0</v>
      </c>
      <c r="K280" s="98" t="b">
        <v>0</v>
      </c>
      <c r="L280" s="98" t="b">
        <v>0</v>
      </c>
    </row>
    <row r="281" spans="1:12" ht="15">
      <c r="A281" s="99" t="s">
        <v>2392</v>
      </c>
      <c r="B281" s="98" t="s">
        <v>2393</v>
      </c>
      <c r="C281" s="98">
        <v>5</v>
      </c>
      <c r="D281" s="111">
        <v>0.005645859248592269</v>
      </c>
      <c r="E281" s="111">
        <v>2.245018870737753</v>
      </c>
      <c r="F281" s="98" t="s">
        <v>909</v>
      </c>
      <c r="G281" s="98" t="b">
        <v>0</v>
      </c>
      <c r="H281" s="98" t="b">
        <v>0</v>
      </c>
      <c r="I281" s="98" t="b">
        <v>0</v>
      </c>
      <c r="J281" s="98" t="b">
        <v>0</v>
      </c>
      <c r="K281" s="98" t="b">
        <v>0</v>
      </c>
      <c r="L281" s="98" t="b">
        <v>0</v>
      </c>
    </row>
    <row r="282" spans="1:12" ht="15">
      <c r="A282" s="99" t="s">
        <v>2393</v>
      </c>
      <c r="B282" s="98" t="s">
        <v>945</v>
      </c>
      <c r="C282" s="98">
        <v>5</v>
      </c>
      <c r="D282" s="111">
        <v>0.005645859248592269</v>
      </c>
      <c r="E282" s="111">
        <v>1.989746365634447</v>
      </c>
      <c r="F282" s="98" t="s">
        <v>909</v>
      </c>
      <c r="G282" s="98" t="b">
        <v>0</v>
      </c>
      <c r="H282" s="98" t="b">
        <v>0</v>
      </c>
      <c r="I282" s="98" t="b">
        <v>0</v>
      </c>
      <c r="J282" s="98" t="b">
        <v>0</v>
      </c>
      <c r="K282" s="98" t="b">
        <v>0</v>
      </c>
      <c r="L282" s="98" t="b">
        <v>0</v>
      </c>
    </row>
    <row r="283" spans="1:12" ht="15">
      <c r="A283" s="99" t="s">
        <v>945</v>
      </c>
      <c r="B283" s="98" t="s">
        <v>338</v>
      </c>
      <c r="C283" s="98">
        <v>5</v>
      </c>
      <c r="D283" s="111">
        <v>0.005645859248592269</v>
      </c>
      <c r="E283" s="111">
        <v>1.9025961899155468</v>
      </c>
      <c r="F283" s="98" t="s">
        <v>909</v>
      </c>
      <c r="G283" s="98" t="b">
        <v>0</v>
      </c>
      <c r="H283" s="98" t="b">
        <v>0</v>
      </c>
      <c r="I283" s="98" t="b">
        <v>0</v>
      </c>
      <c r="J283" s="98" t="b">
        <v>0</v>
      </c>
      <c r="K283" s="98" t="b">
        <v>0</v>
      </c>
      <c r="L283" s="98" t="b">
        <v>0</v>
      </c>
    </row>
    <row r="284" spans="1:12" ht="15">
      <c r="A284" s="99" t="s">
        <v>338</v>
      </c>
      <c r="B284" s="98" t="s">
        <v>293</v>
      </c>
      <c r="C284" s="98">
        <v>5</v>
      </c>
      <c r="D284" s="111">
        <v>0.005645859248592269</v>
      </c>
      <c r="E284" s="111">
        <v>2.1658376246901283</v>
      </c>
      <c r="F284" s="98" t="s">
        <v>909</v>
      </c>
      <c r="G284" s="98" t="b">
        <v>0</v>
      </c>
      <c r="H284" s="98" t="b">
        <v>0</v>
      </c>
      <c r="I284" s="98" t="b">
        <v>0</v>
      </c>
      <c r="J284" s="98" t="b">
        <v>0</v>
      </c>
      <c r="K284" s="98" t="b">
        <v>0</v>
      </c>
      <c r="L284" s="98" t="b">
        <v>0</v>
      </c>
    </row>
    <row r="285" spans="1:12" ht="15">
      <c r="A285" s="99" t="s">
        <v>293</v>
      </c>
      <c r="B285" s="98" t="s">
        <v>302</v>
      </c>
      <c r="C285" s="98">
        <v>5</v>
      </c>
      <c r="D285" s="111">
        <v>0.005645859248592269</v>
      </c>
      <c r="E285" s="111">
        <v>1.1166196020199466</v>
      </c>
      <c r="F285" s="98" t="s">
        <v>909</v>
      </c>
      <c r="G285" s="98" t="b">
        <v>0</v>
      </c>
      <c r="H285" s="98" t="b">
        <v>0</v>
      </c>
      <c r="I285" s="98" t="b">
        <v>0</v>
      </c>
      <c r="J285" s="98" t="b">
        <v>0</v>
      </c>
      <c r="K285" s="98" t="b">
        <v>0</v>
      </c>
      <c r="L285" s="98" t="b">
        <v>0</v>
      </c>
    </row>
    <row r="286" spans="1:12" ht="15">
      <c r="A286" s="99" t="s">
        <v>980</v>
      </c>
      <c r="B286" s="98" t="s">
        <v>945</v>
      </c>
      <c r="C286" s="98">
        <v>4</v>
      </c>
      <c r="D286" s="111">
        <v>0.004930832753609098</v>
      </c>
      <c r="E286" s="111">
        <v>1.989746365634447</v>
      </c>
      <c r="F286" s="98" t="s">
        <v>909</v>
      </c>
      <c r="G286" s="98" t="b">
        <v>0</v>
      </c>
      <c r="H286" s="98" t="b">
        <v>0</v>
      </c>
      <c r="I286" s="98" t="b">
        <v>0</v>
      </c>
      <c r="J286" s="98" t="b">
        <v>0</v>
      </c>
      <c r="K286" s="98" t="b">
        <v>0</v>
      </c>
      <c r="L286" s="98" t="b">
        <v>0</v>
      </c>
    </row>
    <row r="287" spans="1:12" ht="15">
      <c r="A287" s="99" t="s">
        <v>945</v>
      </c>
      <c r="B287" s="98" t="s">
        <v>932</v>
      </c>
      <c r="C287" s="98">
        <v>4</v>
      </c>
      <c r="D287" s="111">
        <v>0.004930832753609098</v>
      </c>
      <c r="E287" s="111">
        <v>0.78865283760871</v>
      </c>
      <c r="F287" s="98" t="s">
        <v>909</v>
      </c>
      <c r="G287" s="98" t="b">
        <v>0</v>
      </c>
      <c r="H287" s="98" t="b">
        <v>0</v>
      </c>
      <c r="I287" s="98" t="b">
        <v>0</v>
      </c>
      <c r="J287" s="98" t="b">
        <v>0</v>
      </c>
      <c r="K287" s="98" t="b">
        <v>0</v>
      </c>
      <c r="L287" s="98" t="b">
        <v>0</v>
      </c>
    </row>
    <row r="288" spans="1:12" ht="15">
      <c r="A288" s="99" t="s">
        <v>932</v>
      </c>
      <c r="B288" s="98" t="s">
        <v>959</v>
      </c>
      <c r="C288" s="98">
        <v>4</v>
      </c>
      <c r="D288" s="111">
        <v>0.004930832753609098</v>
      </c>
      <c r="E288" s="111">
        <v>1.2279855314389727</v>
      </c>
      <c r="F288" s="98" t="s">
        <v>909</v>
      </c>
      <c r="G288" s="98" t="b">
        <v>0</v>
      </c>
      <c r="H288" s="98" t="b">
        <v>0</v>
      </c>
      <c r="I288" s="98" t="b">
        <v>0</v>
      </c>
      <c r="J288" s="98" t="b">
        <v>0</v>
      </c>
      <c r="K288" s="98" t="b">
        <v>0</v>
      </c>
      <c r="L288" s="98" t="b">
        <v>0</v>
      </c>
    </row>
    <row r="289" spans="1:12" ht="15">
      <c r="A289" s="99" t="s">
        <v>959</v>
      </c>
      <c r="B289" s="98" t="s">
        <v>960</v>
      </c>
      <c r="C289" s="98">
        <v>4</v>
      </c>
      <c r="D289" s="111">
        <v>0.004930832753609098</v>
      </c>
      <c r="E289" s="111">
        <v>2.3419288837458097</v>
      </c>
      <c r="F289" s="98" t="s">
        <v>909</v>
      </c>
      <c r="G289" s="98" t="b">
        <v>0</v>
      </c>
      <c r="H289" s="98" t="b">
        <v>0</v>
      </c>
      <c r="I289" s="98" t="b">
        <v>0</v>
      </c>
      <c r="J289" s="98" t="b">
        <v>0</v>
      </c>
      <c r="K289" s="98" t="b">
        <v>0</v>
      </c>
      <c r="L289" s="98" t="b">
        <v>0</v>
      </c>
    </row>
    <row r="290" spans="1:12" ht="15">
      <c r="A290" s="99" t="s">
        <v>960</v>
      </c>
      <c r="B290" s="98" t="s">
        <v>961</v>
      </c>
      <c r="C290" s="98">
        <v>4</v>
      </c>
      <c r="D290" s="111">
        <v>0.004930832753609098</v>
      </c>
      <c r="E290" s="111">
        <v>2.3419288837458097</v>
      </c>
      <c r="F290" s="98" t="s">
        <v>909</v>
      </c>
      <c r="G290" s="98" t="b">
        <v>0</v>
      </c>
      <c r="H290" s="98" t="b">
        <v>0</v>
      </c>
      <c r="I290" s="98" t="b">
        <v>0</v>
      </c>
      <c r="J290" s="98" t="b">
        <v>0</v>
      </c>
      <c r="K290" s="98" t="b">
        <v>0</v>
      </c>
      <c r="L290" s="98" t="b">
        <v>0</v>
      </c>
    </row>
    <row r="291" spans="1:12" ht="15">
      <c r="A291" s="99" t="s">
        <v>961</v>
      </c>
      <c r="B291" s="98" t="s">
        <v>962</v>
      </c>
      <c r="C291" s="98">
        <v>4</v>
      </c>
      <c r="D291" s="111">
        <v>0.004930832753609098</v>
      </c>
      <c r="E291" s="111">
        <v>2.3419288837458097</v>
      </c>
      <c r="F291" s="98" t="s">
        <v>909</v>
      </c>
      <c r="G291" s="98" t="b">
        <v>0</v>
      </c>
      <c r="H291" s="98" t="b">
        <v>0</v>
      </c>
      <c r="I291" s="98" t="b">
        <v>0</v>
      </c>
      <c r="J291" s="98" t="b">
        <v>0</v>
      </c>
      <c r="K291" s="98" t="b">
        <v>0</v>
      </c>
      <c r="L291" s="98" t="b">
        <v>0</v>
      </c>
    </row>
    <row r="292" spans="1:12" ht="15">
      <c r="A292" s="99" t="s">
        <v>962</v>
      </c>
      <c r="B292" s="98" t="s">
        <v>963</v>
      </c>
      <c r="C292" s="98">
        <v>4</v>
      </c>
      <c r="D292" s="111">
        <v>0.004930832753609098</v>
      </c>
      <c r="E292" s="111">
        <v>2.3419288837458097</v>
      </c>
      <c r="F292" s="98" t="s">
        <v>909</v>
      </c>
      <c r="G292" s="98" t="b">
        <v>0</v>
      </c>
      <c r="H292" s="98" t="b">
        <v>0</v>
      </c>
      <c r="I292" s="98" t="b">
        <v>0</v>
      </c>
      <c r="J292" s="98" t="b">
        <v>0</v>
      </c>
      <c r="K292" s="98" t="b">
        <v>0</v>
      </c>
      <c r="L292" s="98" t="b">
        <v>0</v>
      </c>
    </row>
    <row r="293" spans="1:12" ht="15">
      <c r="A293" s="99" t="s">
        <v>963</v>
      </c>
      <c r="B293" s="98" t="s">
        <v>964</v>
      </c>
      <c r="C293" s="98">
        <v>4</v>
      </c>
      <c r="D293" s="111">
        <v>0.004930832753609098</v>
      </c>
      <c r="E293" s="111">
        <v>2.3419288837458097</v>
      </c>
      <c r="F293" s="98" t="s">
        <v>909</v>
      </c>
      <c r="G293" s="98" t="b">
        <v>0</v>
      </c>
      <c r="H293" s="98" t="b">
        <v>0</v>
      </c>
      <c r="I293" s="98" t="b">
        <v>0</v>
      </c>
      <c r="J293" s="98" t="b">
        <v>0</v>
      </c>
      <c r="K293" s="98" t="b">
        <v>0</v>
      </c>
      <c r="L293" s="98" t="b">
        <v>0</v>
      </c>
    </row>
    <row r="294" spans="1:12" ht="15">
      <c r="A294" s="99" t="s">
        <v>964</v>
      </c>
      <c r="B294" s="98" t="s">
        <v>965</v>
      </c>
      <c r="C294" s="98">
        <v>4</v>
      </c>
      <c r="D294" s="111">
        <v>0.004930832753609098</v>
      </c>
      <c r="E294" s="111">
        <v>2.3419288837458097</v>
      </c>
      <c r="F294" s="98" t="s">
        <v>909</v>
      </c>
      <c r="G294" s="98" t="b">
        <v>0</v>
      </c>
      <c r="H294" s="98" t="b">
        <v>0</v>
      </c>
      <c r="I294" s="98" t="b">
        <v>0</v>
      </c>
      <c r="J294" s="98" t="b">
        <v>0</v>
      </c>
      <c r="K294" s="98" t="b">
        <v>0</v>
      </c>
      <c r="L294" s="98" t="b">
        <v>0</v>
      </c>
    </row>
    <row r="295" spans="1:12" ht="15">
      <c r="A295" s="99" t="s">
        <v>965</v>
      </c>
      <c r="B295" s="98" t="s">
        <v>981</v>
      </c>
      <c r="C295" s="98">
        <v>4</v>
      </c>
      <c r="D295" s="111">
        <v>0.004930832753609098</v>
      </c>
      <c r="E295" s="111">
        <v>2.3419288837458097</v>
      </c>
      <c r="F295" s="98" t="s">
        <v>909</v>
      </c>
      <c r="G295" s="98" t="b">
        <v>0</v>
      </c>
      <c r="H295" s="98" t="b">
        <v>0</v>
      </c>
      <c r="I295" s="98" t="b">
        <v>0</v>
      </c>
      <c r="J295" s="98" t="b">
        <v>0</v>
      </c>
      <c r="K295" s="98" t="b">
        <v>0</v>
      </c>
      <c r="L295" s="98" t="b">
        <v>0</v>
      </c>
    </row>
    <row r="296" spans="1:12" ht="15">
      <c r="A296" s="99" t="s">
        <v>981</v>
      </c>
      <c r="B296" s="98" t="s">
        <v>982</v>
      </c>
      <c r="C296" s="98">
        <v>4</v>
      </c>
      <c r="D296" s="111">
        <v>0.004930832753609098</v>
      </c>
      <c r="E296" s="111">
        <v>2.3419288837458097</v>
      </c>
      <c r="F296" s="98" t="s">
        <v>909</v>
      </c>
      <c r="G296" s="98" t="b">
        <v>0</v>
      </c>
      <c r="H296" s="98" t="b">
        <v>0</v>
      </c>
      <c r="I296" s="98" t="b">
        <v>0</v>
      </c>
      <c r="J296" s="98" t="b">
        <v>0</v>
      </c>
      <c r="K296" s="98" t="b">
        <v>0</v>
      </c>
      <c r="L296" s="98" t="b">
        <v>0</v>
      </c>
    </row>
    <row r="297" spans="1:12" ht="15">
      <c r="A297" s="99" t="s">
        <v>982</v>
      </c>
      <c r="B297" s="98" t="s">
        <v>983</v>
      </c>
      <c r="C297" s="98">
        <v>4</v>
      </c>
      <c r="D297" s="111">
        <v>0.004930832753609098</v>
      </c>
      <c r="E297" s="111">
        <v>2.3419288837458097</v>
      </c>
      <c r="F297" s="98" t="s">
        <v>909</v>
      </c>
      <c r="G297" s="98" t="b">
        <v>0</v>
      </c>
      <c r="H297" s="98" t="b">
        <v>0</v>
      </c>
      <c r="I297" s="98" t="b">
        <v>0</v>
      </c>
      <c r="J297" s="98" t="b">
        <v>0</v>
      </c>
      <c r="K297" s="98" t="b">
        <v>0</v>
      </c>
      <c r="L297" s="98" t="b">
        <v>0</v>
      </c>
    </row>
    <row r="298" spans="1:12" ht="15">
      <c r="A298" s="99" t="s">
        <v>983</v>
      </c>
      <c r="B298" s="98" t="s">
        <v>984</v>
      </c>
      <c r="C298" s="98">
        <v>4</v>
      </c>
      <c r="D298" s="111">
        <v>0.004930832753609098</v>
      </c>
      <c r="E298" s="111">
        <v>2.3419288837458097</v>
      </c>
      <c r="F298" s="98" t="s">
        <v>909</v>
      </c>
      <c r="G298" s="98" t="b">
        <v>0</v>
      </c>
      <c r="H298" s="98" t="b">
        <v>0</v>
      </c>
      <c r="I298" s="98" t="b">
        <v>0</v>
      </c>
      <c r="J298" s="98" t="b">
        <v>0</v>
      </c>
      <c r="K298" s="98" t="b">
        <v>0</v>
      </c>
      <c r="L298" s="98" t="b">
        <v>0</v>
      </c>
    </row>
    <row r="299" spans="1:12" ht="15">
      <c r="A299" s="99" t="s">
        <v>984</v>
      </c>
      <c r="B299" s="98" t="s">
        <v>302</v>
      </c>
      <c r="C299" s="98">
        <v>4</v>
      </c>
      <c r="D299" s="111">
        <v>0.004930832753609098</v>
      </c>
      <c r="E299" s="111">
        <v>1.1958008480675715</v>
      </c>
      <c r="F299" s="98" t="s">
        <v>909</v>
      </c>
      <c r="G299" s="98" t="b">
        <v>0</v>
      </c>
      <c r="H299" s="98" t="b">
        <v>0</v>
      </c>
      <c r="I299" s="98" t="b">
        <v>0</v>
      </c>
      <c r="J299" s="98" t="b">
        <v>0</v>
      </c>
      <c r="K299" s="98" t="b">
        <v>0</v>
      </c>
      <c r="L299" s="98" t="b">
        <v>0</v>
      </c>
    </row>
    <row r="300" spans="1:12" ht="15">
      <c r="A300" s="99" t="s">
        <v>945</v>
      </c>
      <c r="B300" s="98" t="s">
        <v>1000</v>
      </c>
      <c r="C300" s="98">
        <v>2</v>
      </c>
      <c r="D300" s="111">
        <v>0.0031086428632660476</v>
      </c>
      <c r="E300" s="111">
        <v>1.9025961899155468</v>
      </c>
      <c r="F300" s="98" t="s">
        <v>909</v>
      </c>
      <c r="G300" s="98" t="b">
        <v>0</v>
      </c>
      <c r="H300" s="98" t="b">
        <v>0</v>
      </c>
      <c r="I300" s="98" t="b">
        <v>0</v>
      </c>
      <c r="J300" s="98" t="b">
        <v>0</v>
      </c>
      <c r="K300" s="98" t="b">
        <v>0</v>
      </c>
      <c r="L300" s="98" t="b">
        <v>0</v>
      </c>
    </row>
    <row r="301" spans="1:12" ht="15">
      <c r="A301" s="99" t="s">
        <v>1000</v>
      </c>
      <c r="B301" s="98" t="s">
        <v>934</v>
      </c>
      <c r="C301" s="98">
        <v>2</v>
      </c>
      <c r="D301" s="111">
        <v>0.0031086428632660476</v>
      </c>
      <c r="E301" s="111">
        <v>1.2907763612984282</v>
      </c>
      <c r="F301" s="98" t="s">
        <v>909</v>
      </c>
      <c r="G301" s="98" t="b">
        <v>0</v>
      </c>
      <c r="H301" s="98" t="b">
        <v>0</v>
      </c>
      <c r="I301" s="98" t="b">
        <v>0</v>
      </c>
      <c r="J301" s="98" t="b">
        <v>0</v>
      </c>
      <c r="K301" s="98" t="b">
        <v>0</v>
      </c>
      <c r="L301" s="98" t="b">
        <v>0</v>
      </c>
    </row>
    <row r="302" spans="1:12" ht="15">
      <c r="A302" s="99" t="s">
        <v>931</v>
      </c>
      <c r="B302" s="98" t="s">
        <v>932</v>
      </c>
      <c r="C302" s="98">
        <v>2</v>
      </c>
      <c r="D302" s="111">
        <v>0.0031086428632660476</v>
      </c>
      <c r="E302" s="111">
        <v>-0.41546714504721477</v>
      </c>
      <c r="F302" s="98" t="s">
        <v>909</v>
      </c>
      <c r="G302" s="98" t="b">
        <v>0</v>
      </c>
      <c r="H302" s="98" t="b">
        <v>0</v>
      </c>
      <c r="I302" s="98" t="b">
        <v>0</v>
      </c>
      <c r="J302" s="98" t="b">
        <v>0</v>
      </c>
      <c r="K302" s="98" t="b">
        <v>0</v>
      </c>
      <c r="L302" s="98" t="b">
        <v>0</v>
      </c>
    </row>
    <row r="303" spans="1:12" ht="15">
      <c r="A303" s="99" t="s">
        <v>299</v>
      </c>
      <c r="B303" s="98" t="s">
        <v>930</v>
      </c>
      <c r="C303" s="98">
        <v>2</v>
      </c>
      <c r="D303" s="111">
        <v>0.0031086428632660476</v>
      </c>
      <c r="E303" s="111">
        <v>0.823414943867922</v>
      </c>
      <c r="F303" s="98" t="s">
        <v>909</v>
      </c>
      <c r="G303" s="98" t="b">
        <v>0</v>
      </c>
      <c r="H303" s="98" t="b">
        <v>0</v>
      </c>
      <c r="I303" s="98" t="b">
        <v>0</v>
      </c>
      <c r="J303" s="98" t="b">
        <v>0</v>
      </c>
      <c r="K303" s="98" t="b">
        <v>0</v>
      </c>
      <c r="L303" s="98" t="b">
        <v>0</v>
      </c>
    </row>
    <row r="304" spans="1:12" ht="15">
      <c r="A304" s="99" t="s">
        <v>260</v>
      </c>
      <c r="B304" s="98" t="s">
        <v>295</v>
      </c>
      <c r="C304" s="98">
        <v>16</v>
      </c>
      <c r="D304" s="111">
        <v>0.00884705662779896</v>
      </c>
      <c r="E304" s="111">
        <v>1.5275540879215252</v>
      </c>
      <c r="F304" s="98" t="s">
        <v>910</v>
      </c>
      <c r="G304" s="98" t="b">
        <v>0</v>
      </c>
      <c r="H304" s="98" t="b">
        <v>0</v>
      </c>
      <c r="I304" s="98" t="b">
        <v>0</v>
      </c>
      <c r="J304" s="98" t="b">
        <v>0</v>
      </c>
      <c r="K304" s="98" t="b">
        <v>0</v>
      </c>
      <c r="L304" s="98" t="b">
        <v>0</v>
      </c>
    </row>
    <row r="305" spans="1:12" ht="15">
      <c r="A305" s="99" t="s">
        <v>930</v>
      </c>
      <c r="B305" s="98" t="s">
        <v>933</v>
      </c>
      <c r="C305" s="98">
        <v>15</v>
      </c>
      <c r="D305" s="111">
        <v>0.008848773707299853</v>
      </c>
      <c r="E305" s="111">
        <v>1.4931851862902628</v>
      </c>
      <c r="F305" s="98" t="s">
        <v>910</v>
      </c>
      <c r="G305" s="98" t="b">
        <v>0</v>
      </c>
      <c r="H305" s="98" t="b">
        <v>0</v>
      </c>
      <c r="I305" s="98" t="b">
        <v>0</v>
      </c>
      <c r="J305" s="98" t="b">
        <v>0</v>
      </c>
      <c r="K305" s="98" t="b">
        <v>0</v>
      </c>
      <c r="L305" s="98" t="b">
        <v>0</v>
      </c>
    </row>
    <row r="306" spans="1:12" ht="15">
      <c r="A306" s="99" t="s">
        <v>996</v>
      </c>
      <c r="B306" s="98" t="s">
        <v>997</v>
      </c>
      <c r="C306" s="98">
        <v>11</v>
      </c>
      <c r="D306" s="111">
        <v>0.00844382936363645</v>
      </c>
      <c r="E306" s="111">
        <v>1.8135203371496305</v>
      </c>
      <c r="F306" s="98" t="s">
        <v>910</v>
      </c>
      <c r="G306" s="98" t="b">
        <v>0</v>
      </c>
      <c r="H306" s="98" t="b">
        <v>0</v>
      </c>
      <c r="I306" s="98" t="b">
        <v>0</v>
      </c>
      <c r="J306" s="98" t="b">
        <v>0</v>
      </c>
      <c r="K306" s="98" t="b">
        <v>0</v>
      </c>
      <c r="L306" s="98" t="b">
        <v>0</v>
      </c>
    </row>
    <row r="307" spans="1:12" ht="15">
      <c r="A307" s="99" t="s">
        <v>997</v>
      </c>
      <c r="B307" s="98" t="s">
        <v>998</v>
      </c>
      <c r="C307" s="98">
        <v>11</v>
      </c>
      <c r="D307" s="111">
        <v>0.00844382936363645</v>
      </c>
      <c r="E307" s="111">
        <v>1.8135203371496305</v>
      </c>
      <c r="F307" s="98" t="s">
        <v>910</v>
      </c>
      <c r="G307" s="98" t="b">
        <v>0</v>
      </c>
      <c r="H307" s="98" t="b">
        <v>0</v>
      </c>
      <c r="I307" s="98" t="b">
        <v>0</v>
      </c>
      <c r="J307" s="98" t="b">
        <v>0</v>
      </c>
      <c r="K307" s="98" t="b">
        <v>0</v>
      </c>
      <c r="L307" s="98" t="b">
        <v>0</v>
      </c>
    </row>
    <row r="308" spans="1:12" ht="15">
      <c r="A308" s="99" t="s">
        <v>293</v>
      </c>
      <c r="B308" s="98" t="s">
        <v>299</v>
      </c>
      <c r="C308" s="98">
        <v>9</v>
      </c>
      <c r="D308" s="111">
        <v>0.00794335228051079</v>
      </c>
      <c r="E308" s="111">
        <v>1.1279142943715932</v>
      </c>
      <c r="F308" s="98" t="s">
        <v>910</v>
      </c>
      <c r="G308" s="98" t="b">
        <v>0</v>
      </c>
      <c r="H308" s="98" t="b">
        <v>0</v>
      </c>
      <c r="I308" s="98" t="b">
        <v>0</v>
      </c>
      <c r="J308" s="98" t="b">
        <v>0</v>
      </c>
      <c r="K308" s="98" t="b">
        <v>0</v>
      </c>
      <c r="L308" s="98" t="b">
        <v>0</v>
      </c>
    </row>
    <row r="309" spans="1:12" ht="15">
      <c r="A309" s="99" t="s">
        <v>2366</v>
      </c>
      <c r="B309" s="98" t="s">
        <v>2367</v>
      </c>
      <c r="C309" s="98">
        <v>9</v>
      </c>
      <c r="D309" s="111">
        <v>0.00794335228051079</v>
      </c>
      <c r="E309" s="111">
        <v>1.9006705128685306</v>
      </c>
      <c r="F309" s="98" t="s">
        <v>910</v>
      </c>
      <c r="G309" s="98" t="b">
        <v>0</v>
      </c>
      <c r="H309" s="98" t="b">
        <v>0</v>
      </c>
      <c r="I309" s="98" t="b">
        <v>0</v>
      </c>
      <c r="J309" s="98" t="b">
        <v>0</v>
      </c>
      <c r="K309" s="98" t="b">
        <v>0</v>
      </c>
      <c r="L309" s="98" t="b">
        <v>0</v>
      </c>
    </row>
    <row r="310" spans="1:12" ht="15">
      <c r="A310" s="99" t="s">
        <v>2367</v>
      </c>
      <c r="B310" s="98" t="s">
        <v>2368</v>
      </c>
      <c r="C310" s="98">
        <v>9</v>
      </c>
      <c r="D310" s="111">
        <v>0.00794335228051079</v>
      </c>
      <c r="E310" s="111">
        <v>1.9006705128685306</v>
      </c>
      <c r="F310" s="98" t="s">
        <v>910</v>
      </c>
      <c r="G310" s="98" t="b">
        <v>0</v>
      </c>
      <c r="H310" s="98" t="b">
        <v>0</v>
      </c>
      <c r="I310" s="98" t="b">
        <v>0</v>
      </c>
      <c r="J310" s="98" t="b">
        <v>0</v>
      </c>
      <c r="K310" s="98" t="b">
        <v>0</v>
      </c>
      <c r="L310" s="98" t="b">
        <v>0</v>
      </c>
    </row>
    <row r="311" spans="1:12" ht="15">
      <c r="A311" s="99" t="s">
        <v>2368</v>
      </c>
      <c r="B311" s="98" t="s">
        <v>2369</v>
      </c>
      <c r="C311" s="98">
        <v>9</v>
      </c>
      <c r="D311" s="111">
        <v>0.00794335228051079</v>
      </c>
      <c r="E311" s="111">
        <v>1.9006705128685306</v>
      </c>
      <c r="F311" s="98" t="s">
        <v>910</v>
      </c>
      <c r="G311" s="98" t="b">
        <v>0</v>
      </c>
      <c r="H311" s="98" t="b">
        <v>0</v>
      </c>
      <c r="I311" s="98" t="b">
        <v>0</v>
      </c>
      <c r="J311" s="98" t="b">
        <v>0</v>
      </c>
      <c r="K311" s="98" t="b">
        <v>0</v>
      </c>
      <c r="L311" s="98" t="b">
        <v>0</v>
      </c>
    </row>
    <row r="312" spans="1:12" ht="15">
      <c r="A312" s="99" t="s">
        <v>2369</v>
      </c>
      <c r="B312" s="98" t="s">
        <v>2370</v>
      </c>
      <c r="C312" s="98">
        <v>9</v>
      </c>
      <c r="D312" s="111">
        <v>0.00794335228051079</v>
      </c>
      <c r="E312" s="111">
        <v>1.9006705128685306</v>
      </c>
      <c r="F312" s="98" t="s">
        <v>910</v>
      </c>
      <c r="G312" s="98" t="b">
        <v>0</v>
      </c>
      <c r="H312" s="98" t="b">
        <v>0</v>
      </c>
      <c r="I312" s="98" t="b">
        <v>0</v>
      </c>
      <c r="J312" s="98" t="b">
        <v>0</v>
      </c>
      <c r="K312" s="98" t="b">
        <v>0</v>
      </c>
      <c r="L312" s="98" t="b">
        <v>0</v>
      </c>
    </row>
    <row r="313" spans="1:12" ht="15">
      <c r="A313" s="99" t="s">
        <v>2370</v>
      </c>
      <c r="B313" s="98" t="s">
        <v>2371</v>
      </c>
      <c r="C313" s="98">
        <v>9</v>
      </c>
      <c r="D313" s="111">
        <v>0.00794335228051079</v>
      </c>
      <c r="E313" s="111">
        <v>1.9006705128685306</v>
      </c>
      <c r="F313" s="98" t="s">
        <v>910</v>
      </c>
      <c r="G313" s="98" t="b">
        <v>0</v>
      </c>
      <c r="H313" s="98" t="b">
        <v>0</v>
      </c>
      <c r="I313" s="98" t="b">
        <v>0</v>
      </c>
      <c r="J313" s="98" t="b">
        <v>0</v>
      </c>
      <c r="K313" s="98" t="b">
        <v>0</v>
      </c>
      <c r="L313" s="98" t="b">
        <v>0</v>
      </c>
    </row>
    <row r="314" spans="1:12" ht="15">
      <c r="A314" s="99" t="s">
        <v>2371</v>
      </c>
      <c r="B314" s="98" t="s">
        <v>2372</v>
      </c>
      <c r="C314" s="98">
        <v>9</v>
      </c>
      <c r="D314" s="111">
        <v>0.00794335228051079</v>
      </c>
      <c r="E314" s="111">
        <v>1.9006705128685306</v>
      </c>
      <c r="F314" s="98" t="s">
        <v>910</v>
      </c>
      <c r="G314" s="98" t="b">
        <v>0</v>
      </c>
      <c r="H314" s="98" t="b">
        <v>0</v>
      </c>
      <c r="I314" s="98" t="b">
        <v>0</v>
      </c>
      <c r="J314" s="98" t="b">
        <v>0</v>
      </c>
      <c r="K314" s="98" t="b">
        <v>0</v>
      </c>
      <c r="L314" s="98" t="b">
        <v>0</v>
      </c>
    </row>
    <row r="315" spans="1:12" ht="15">
      <c r="A315" s="99" t="s">
        <v>2372</v>
      </c>
      <c r="B315" s="98" t="s">
        <v>2373</v>
      </c>
      <c r="C315" s="98">
        <v>9</v>
      </c>
      <c r="D315" s="111">
        <v>0.00794335228051079</v>
      </c>
      <c r="E315" s="111">
        <v>1.9006705128685306</v>
      </c>
      <c r="F315" s="98" t="s">
        <v>910</v>
      </c>
      <c r="G315" s="98" t="b">
        <v>0</v>
      </c>
      <c r="H315" s="98" t="b">
        <v>0</v>
      </c>
      <c r="I315" s="98" t="b">
        <v>0</v>
      </c>
      <c r="J315" s="98" t="b">
        <v>0</v>
      </c>
      <c r="K315" s="98" t="b">
        <v>0</v>
      </c>
      <c r="L315" s="98" t="b">
        <v>0</v>
      </c>
    </row>
    <row r="316" spans="1:12" ht="15">
      <c r="A316" s="99" t="s">
        <v>2373</v>
      </c>
      <c r="B316" s="98" t="s">
        <v>2374</v>
      </c>
      <c r="C316" s="98">
        <v>9</v>
      </c>
      <c r="D316" s="111">
        <v>0.00794335228051079</v>
      </c>
      <c r="E316" s="111">
        <v>1.9006705128685306</v>
      </c>
      <c r="F316" s="98" t="s">
        <v>910</v>
      </c>
      <c r="G316" s="98" t="b">
        <v>0</v>
      </c>
      <c r="H316" s="98" t="b">
        <v>0</v>
      </c>
      <c r="I316" s="98" t="b">
        <v>0</v>
      </c>
      <c r="J316" s="98" t="b">
        <v>0</v>
      </c>
      <c r="K316" s="98" t="b">
        <v>0</v>
      </c>
      <c r="L316" s="98" t="b">
        <v>0</v>
      </c>
    </row>
    <row r="317" spans="1:12" ht="15">
      <c r="A317" s="99" t="s">
        <v>2374</v>
      </c>
      <c r="B317" s="98" t="s">
        <v>2375</v>
      </c>
      <c r="C317" s="98">
        <v>9</v>
      </c>
      <c r="D317" s="111">
        <v>0.00794335228051079</v>
      </c>
      <c r="E317" s="111">
        <v>1.9006705128685306</v>
      </c>
      <c r="F317" s="98" t="s">
        <v>910</v>
      </c>
      <c r="G317" s="98" t="b">
        <v>0</v>
      </c>
      <c r="H317" s="98" t="b">
        <v>0</v>
      </c>
      <c r="I317" s="98" t="b">
        <v>0</v>
      </c>
      <c r="J317" s="98" t="b">
        <v>0</v>
      </c>
      <c r="K317" s="98" t="b">
        <v>0</v>
      </c>
      <c r="L317" s="98" t="b">
        <v>0</v>
      </c>
    </row>
    <row r="318" spans="1:12" ht="15">
      <c r="A318" s="99" t="s">
        <v>2375</v>
      </c>
      <c r="B318" s="98" t="s">
        <v>2376</v>
      </c>
      <c r="C318" s="98">
        <v>9</v>
      </c>
      <c r="D318" s="111">
        <v>0.00794335228051079</v>
      </c>
      <c r="E318" s="111">
        <v>1.9006705128685306</v>
      </c>
      <c r="F318" s="98" t="s">
        <v>910</v>
      </c>
      <c r="G318" s="98" t="b">
        <v>0</v>
      </c>
      <c r="H318" s="98" t="b">
        <v>0</v>
      </c>
      <c r="I318" s="98" t="b">
        <v>0</v>
      </c>
      <c r="J318" s="98" t="b">
        <v>0</v>
      </c>
      <c r="K318" s="98" t="b">
        <v>0</v>
      </c>
      <c r="L318" s="98" t="b">
        <v>0</v>
      </c>
    </row>
    <row r="319" spans="1:12" ht="15">
      <c r="A319" s="99" t="s">
        <v>2376</v>
      </c>
      <c r="B319" s="98" t="s">
        <v>293</v>
      </c>
      <c r="C319" s="98">
        <v>9</v>
      </c>
      <c r="D319" s="111">
        <v>0.00794335228051079</v>
      </c>
      <c r="E319" s="111">
        <v>1.4747017805962495</v>
      </c>
      <c r="F319" s="98" t="s">
        <v>910</v>
      </c>
      <c r="G319" s="98" t="b">
        <v>0</v>
      </c>
      <c r="H319" s="98" t="b">
        <v>0</v>
      </c>
      <c r="I319" s="98" t="b">
        <v>0</v>
      </c>
      <c r="J319" s="98" t="b">
        <v>0</v>
      </c>
      <c r="K319" s="98" t="b">
        <v>0</v>
      </c>
      <c r="L319" s="98" t="b">
        <v>0</v>
      </c>
    </row>
    <row r="320" spans="1:12" ht="15">
      <c r="A320" s="99" t="s">
        <v>293</v>
      </c>
      <c r="B320" s="98" t="s">
        <v>260</v>
      </c>
      <c r="C320" s="98">
        <v>9</v>
      </c>
      <c r="D320" s="111">
        <v>0.00794335228051079</v>
      </c>
      <c r="E320" s="111">
        <v>1.101585355649244</v>
      </c>
      <c r="F320" s="98" t="s">
        <v>910</v>
      </c>
      <c r="G320" s="98" t="b">
        <v>0</v>
      </c>
      <c r="H320" s="98" t="b">
        <v>0</v>
      </c>
      <c r="I320" s="98" t="b">
        <v>0</v>
      </c>
      <c r="J320" s="98" t="b">
        <v>0</v>
      </c>
      <c r="K320" s="98" t="b">
        <v>0</v>
      </c>
      <c r="L320" s="98" t="b">
        <v>0</v>
      </c>
    </row>
    <row r="321" spans="1:12" ht="15">
      <c r="A321" s="99" t="s">
        <v>295</v>
      </c>
      <c r="B321" s="98" t="s">
        <v>252</v>
      </c>
      <c r="C321" s="98">
        <v>9</v>
      </c>
      <c r="D321" s="111">
        <v>0.00794335228051079</v>
      </c>
      <c r="E321" s="111">
        <v>1.7409696700010187</v>
      </c>
      <c r="F321" s="98" t="s">
        <v>910</v>
      </c>
      <c r="G321" s="98" t="b">
        <v>0</v>
      </c>
      <c r="H321" s="98" t="b">
        <v>0</v>
      </c>
      <c r="I321" s="98" t="b">
        <v>0</v>
      </c>
      <c r="J321" s="98" t="b">
        <v>0</v>
      </c>
      <c r="K321" s="98" t="b">
        <v>0</v>
      </c>
      <c r="L321" s="98" t="b">
        <v>0</v>
      </c>
    </row>
    <row r="322" spans="1:12" ht="15">
      <c r="A322" s="99" t="s">
        <v>252</v>
      </c>
      <c r="B322" s="98" t="s">
        <v>2377</v>
      </c>
      <c r="C322" s="98">
        <v>9</v>
      </c>
      <c r="D322" s="111">
        <v>0.00794335228051079</v>
      </c>
      <c r="E322" s="111">
        <v>1.9006705128685306</v>
      </c>
      <c r="F322" s="98" t="s">
        <v>910</v>
      </c>
      <c r="G322" s="98" t="b">
        <v>0</v>
      </c>
      <c r="H322" s="98" t="b">
        <v>0</v>
      </c>
      <c r="I322" s="98" t="b">
        <v>0</v>
      </c>
      <c r="J322" s="98" t="b">
        <v>0</v>
      </c>
      <c r="K322" s="98" t="b">
        <v>0</v>
      </c>
      <c r="L322" s="98" t="b">
        <v>0</v>
      </c>
    </row>
    <row r="323" spans="1:12" ht="15">
      <c r="A323" s="99" t="s">
        <v>2377</v>
      </c>
      <c r="B323" s="98" t="s">
        <v>996</v>
      </c>
      <c r="C323" s="98">
        <v>9</v>
      </c>
      <c r="D323" s="111">
        <v>0.00794335228051079</v>
      </c>
      <c r="E323" s="111">
        <v>1.8135203371496305</v>
      </c>
      <c r="F323" s="98" t="s">
        <v>910</v>
      </c>
      <c r="G323" s="98" t="b">
        <v>0</v>
      </c>
      <c r="H323" s="98" t="b">
        <v>0</v>
      </c>
      <c r="I323" s="98" t="b">
        <v>0</v>
      </c>
      <c r="J323" s="98" t="b">
        <v>0</v>
      </c>
      <c r="K323" s="98" t="b">
        <v>0</v>
      </c>
      <c r="L323" s="98" t="b">
        <v>0</v>
      </c>
    </row>
    <row r="324" spans="1:12" ht="15">
      <c r="A324" s="99" t="s">
        <v>998</v>
      </c>
      <c r="B324" s="98" t="s">
        <v>2378</v>
      </c>
      <c r="C324" s="98">
        <v>9</v>
      </c>
      <c r="D324" s="111">
        <v>0.00794335228051079</v>
      </c>
      <c r="E324" s="111">
        <v>1.8135203371496305</v>
      </c>
      <c r="F324" s="98" t="s">
        <v>910</v>
      </c>
      <c r="G324" s="98" t="b">
        <v>0</v>
      </c>
      <c r="H324" s="98" t="b">
        <v>0</v>
      </c>
      <c r="I324" s="98" t="b">
        <v>0</v>
      </c>
      <c r="J324" s="98" t="b">
        <v>0</v>
      </c>
      <c r="K324" s="98" t="b">
        <v>0</v>
      </c>
      <c r="L324" s="98" t="b">
        <v>0</v>
      </c>
    </row>
    <row r="325" spans="1:12" ht="15">
      <c r="A325" s="99" t="s">
        <v>1048</v>
      </c>
      <c r="B325" s="98" t="s">
        <v>2380</v>
      </c>
      <c r="C325" s="98">
        <v>7</v>
      </c>
      <c r="D325" s="111">
        <v>0.007186093341273754</v>
      </c>
      <c r="E325" s="111">
        <v>2.009814982293599</v>
      </c>
      <c r="F325" s="98" t="s">
        <v>910</v>
      </c>
      <c r="G325" s="98" t="b">
        <v>0</v>
      </c>
      <c r="H325" s="98" t="b">
        <v>0</v>
      </c>
      <c r="I325" s="98" t="b">
        <v>0</v>
      </c>
      <c r="J325" s="98" t="b">
        <v>0</v>
      </c>
      <c r="K325" s="98" t="b">
        <v>0</v>
      </c>
      <c r="L325" s="98" t="b">
        <v>0</v>
      </c>
    </row>
    <row r="326" spans="1:12" ht="15">
      <c r="A326" s="99" t="s">
        <v>2380</v>
      </c>
      <c r="B326" s="98" t="s">
        <v>2381</v>
      </c>
      <c r="C326" s="98">
        <v>7</v>
      </c>
      <c r="D326" s="111">
        <v>0.007186093341273754</v>
      </c>
      <c r="E326" s="111">
        <v>2.009814982293599</v>
      </c>
      <c r="F326" s="98" t="s">
        <v>910</v>
      </c>
      <c r="G326" s="98" t="b">
        <v>0</v>
      </c>
      <c r="H326" s="98" t="b">
        <v>0</v>
      </c>
      <c r="I326" s="98" t="b">
        <v>0</v>
      </c>
      <c r="J326" s="98" t="b">
        <v>0</v>
      </c>
      <c r="K326" s="98" t="b">
        <v>0</v>
      </c>
      <c r="L326" s="98" t="b">
        <v>0</v>
      </c>
    </row>
    <row r="327" spans="1:12" ht="15">
      <c r="A327" s="99" t="s">
        <v>2381</v>
      </c>
      <c r="B327" s="98" t="s">
        <v>2382</v>
      </c>
      <c r="C327" s="98">
        <v>7</v>
      </c>
      <c r="D327" s="111">
        <v>0.007186093341273754</v>
      </c>
      <c r="E327" s="111">
        <v>2.009814982293599</v>
      </c>
      <c r="F327" s="98" t="s">
        <v>910</v>
      </c>
      <c r="G327" s="98" t="b">
        <v>0</v>
      </c>
      <c r="H327" s="98" t="b">
        <v>0</v>
      </c>
      <c r="I327" s="98" t="b">
        <v>0</v>
      </c>
      <c r="J327" s="98" t="b">
        <v>0</v>
      </c>
      <c r="K327" s="98" t="b">
        <v>0</v>
      </c>
      <c r="L327" s="98" t="b">
        <v>0</v>
      </c>
    </row>
    <row r="328" spans="1:12" ht="15">
      <c r="A328" s="99" t="s">
        <v>2382</v>
      </c>
      <c r="B328" s="98" t="s">
        <v>2383</v>
      </c>
      <c r="C328" s="98">
        <v>7</v>
      </c>
      <c r="D328" s="111">
        <v>0.007186093341273754</v>
      </c>
      <c r="E328" s="111">
        <v>2.009814982293599</v>
      </c>
      <c r="F328" s="98" t="s">
        <v>910</v>
      </c>
      <c r="G328" s="98" t="b">
        <v>0</v>
      </c>
      <c r="H328" s="98" t="b">
        <v>0</v>
      </c>
      <c r="I328" s="98" t="b">
        <v>0</v>
      </c>
      <c r="J328" s="98" t="b">
        <v>0</v>
      </c>
      <c r="K328" s="98" t="b">
        <v>0</v>
      </c>
      <c r="L328" s="98" t="b">
        <v>0</v>
      </c>
    </row>
    <row r="329" spans="1:12" ht="15">
      <c r="A329" s="99" t="s">
        <v>2383</v>
      </c>
      <c r="B329" s="98" t="s">
        <v>2379</v>
      </c>
      <c r="C329" s="98">
        <v>7</v>
      </c>
      <c r="D329" s="111">
        <v>0.007186093341273754</v>
      </c>
      <c r="E329" s="111">
        <v>2.009814982293599</v>
      </c>
      <c r="F329" s="98" t="s">
        <v>910</v>
      </c>
      <c r="G329" s="98" t="b">
        <v>0</v>
      </c>
      <c r="H329" s="98" t="b">
        <v>0</v>
      </c>
      <c r="I329" s="98" t="b">
        <v>0</v>
      </c>
      <c r="J329" s="98" t="b">
        <v>0</v>
      </c>
      <c r="K329" s="98" t="b">
        <v>0</v>
      </c>
      <c r="L329" s="98" t="b">
        <v>0</v>
      </c>
    </row>
    <row r="330" spans="1:12" ht="15">
      <c r="A330" s="99" t="s">
        <v>2379</v>
      </c>
      <c r="B330" s="98" t="s">
        <v>2384</v>
      </c>
      <c r="C330" s="98">
        <v>7</v>
      </c>
      <c r="D330" s="111">
        <v>0.007186093341273754</v>
      </c>
      <c r="E330" s="111">
        <v>2.009814982293599</v>
      </c>
      <c r="F330" s="98" t="s">
        <v>910</v>
      </c>
      <c r="G330" s="98" t="b">
        <v>0</v>
      </c>
      <c r="H330" s="98" t="b">
        <v>0</v>
      </c>
      <c r="I330" s="98" t="b">
        <v>0</v>
      </c>
      <c r="J330" s="98" t="b">
        <v>0</v>
      </c>
      <c r="K330" s="98" t="b">
        <v>0</v>
      </c>
      <c r="L330" s="98" t="b">
        <v>0</v>
      </c>
    </row>
    <row r="331" spans="1:12" ht="15">
      <c r="A331" s="99" t="s">
        <v>2384</v>
      </c>
      <c r="B331" s="98" t="s">
        <v>2385</v>
      </c>
      <c r="C331" s="98">
        <v>7</v>
      </c>
      <c r="D331" s="111">
        <v>0.007186093341273754</v>
      </c>
      <c r="E331" s="111">
        <v>2.009814982293599</v>
      </c>
      <c r="F331" s="98" t="s">
        <v>910</v>
      </c>
      <c r="G331" s="98" t="b">
        <v>0</v>
      </c>
      <c r="H331" s="98" t="b">
        <v>0</v>
      </c>
      <c r="I331" s="98" t="b">
        <v>0</v>
      </c>
      <c r="J331" s="98" t="b">
        <v>0</v>
      </c>
      <c r="K331" s="98" t="b">
        <v>0</v>
      </c>
      <c r="L331" s="98" t="b">
        <v>0</v>
      </c>
    </row>
    <row r="332" spans="1:12" ht="15">
      <c r="A332" s="99" t="s">
        <v>2385</v>
      </c>
      <c r="B332" s="98" t="s">
        <v>949</v>
      </c>
      <c r="C332" s="98">
        <v>7</v>
      </c>
      <c r="D332" s="111">
        <v>0.007186093341273754</v>
      </c>
      <c r="E332" s="111">
        <v>1.8549130223078556</v>
      </c>
      <c r="F332" s="98" t="s">
        <v>910</v>
      </c>
      <c r="G332" s="98" t="b">
        <v>0</v>
      </c>
      <c r="H332" s="98" t="b">
        <v>0</v>
      </c>
      <c r="I332" s="98" t="b">
        <v>0</v>
      </c>
      <c r="J332" s="98" t="b">
        <v>0</v>
      </c>
      <c r="K332" s="98" t="b">
        <v>0</v>
      </c>
      <c r="L332" s="98" t="b">
        <v>0</v>
      </c>
    </row>
    <row r="333" spans="1:12" ht="15">
      <c r="A333" s="99" t="s">
        <v>949</v>
      </c>
      <c r="B333" s="98" t="s">
        <v>2386</v>
      </c>
      <c r="C333" s="98">
        <v>7</v>
      </c>
      <c r="D333" s="111">
        <v>0.007186093341273754</v>
      </c>
      <c r="E333" s="111">
        <v>1.8549130223078556</v>
      </c>
      <c r="F333" s="98" t="s">
        <v>910</v>
      </c>
      <c r="G333" s="98" t="b">
        <v>0</v>
      </c>
      <c r="H333" s="98" t="b">
        <v>0</v>
      </c>
      <c r="I333" s="98" t="b">
        <v>0</v>
      </c>
      <c r="J333" s="98" t="b">
        <v>0</v>
      </c>
      <c r="K333" s="98" t="b">
        <v>0</v>
      </c>
      <c r="L333" s="98" t="b">
        <v>0</v>
      </c>
    </row>
    <row r="334" spans="1:12" ht="15">
      <c r="A334" s="99" t="s">
        <v>2386</v>
      </c>
      <c r="B334" s="98" t="s">
        <v>2387</v>
      </c>
      <c r="C334" s="98">
        <v>7</v>
      </c>
      <c r="D334" s="111">
        <v>0.007186093341273754</v>
      </c>
      <c r="E334" s="111">
        <v>2.009814982293599</v>
      </c>
      <c r="F334" s="98" t="s">
        <v>910</v>
      </c>
      <c r="G334" s="98" t="b">
        <v>0</v>
      </c>
      <c r="H334" s="98" t="b">
        <v>0</v>
      </c>
      <c r="I334" s="98" t="b">
        <v>0</v>
      </c>
      <c r="J334" s="98" t="b">
        <v>0</v>
      </c>
      <c r="K334" s="98" t="b">
        <v>0</v>
      </c>
      <c r="L334" s="98" t="b">
        <v>0</v>
      </c>
    </row>
    <row r="335" spans="1:12" ht="15">
      <c r="A335" s="99" t="s">
        <v>2387</v>
      </c>
      <c r="B335" s="98" t="s">
        <v>2388</v>
      </c>
      <c r="C335" s="98">
        <v>7</v>
      </c>
      <c r="D335" s="111">
        <v>0.007186093341273754</v>
      </c>
      <c r="E335" s="111">
        <v>2.009814982293599</v>
      </c>
      <c r="F335" s="98" t="s">
        <v>910</v>
      </c>
      <c r="G335" s="98" t="b">
        <v>0</v>
      </c>
      <c r="H335" s="98" t="b">
        <v>0</v>
      </c>
      <c r="I335" s="98" t="b">
        <v>0</v>
      </c>
      <c r="J335" s="98" t="b">
        <v>0</v>
      </c>
      <c r="K335" s="98" t="b">
        <v>0</v>
      </c>
      <c r="L335" s="98" t="b">
        <v>0</v>
      </c>
    </row>
    <row r="336" spans="1:12" ht="15">
      <c r="A336" s="99" t="s">
        <v>2388</v>
      </c>
      <c r="B336" s="98" t="s">
        <v>2389</v>
      </c>
      <c r="C336" s="98">
        <v>7</v>
      </c>
      <c r="D336" s="111">
        <v>0.007186093341273754</v>
      </c>
      <c r="E336" s="111">
        <v>2.009814982293599</v>
      </c>
      <c r="F336" s="98" t="s">
        <v>910</v>
      </c>
      <c r="G336" s="98" t="b">
        <v>0</v>
      </c>
      <c r="H336" s="98" t="b">
        <v>0</v>
      </c>
      <c r="I336" s="98" t="b">
        <v>0</v>
      </c>
      <c r="J336" s="98" t="b">
        <v>0</v>
      </c>
      <c r="K336" s="98" t="b">
        <v>0</v>
      </c>
      <c r="L336" s="98" t="b">
        <v>0</v>
      </c>
    </row>
    <row r="337" spans="1:12" ht="15">
      <c r="A337" s="99" t="s">
        <v>2389</v>
      </c>
      <c r="B337" s="98" t="s">
        <v>2390</v>
      </c>
      <c r="C337" s="98">
        <v>7</v>
      </c>
      <c r="D337" s="111">
        <v>0.007186093341273754</v>
      </c>
      <c r="E337" s="111">
        <v>2.009814982293599</v>
      </c>
      <c r="F337" s="98" t="s">
        <v>910</v>
      </c>
      <c r="G337" s="98" t="b">
        <v>0</v>
      </c>
      <c r="H337" s="98" t="b">
        <v>0</v>
      </c>
      <c r="I337" s="98" t="b">
        <v>0</v>
      </c>
      <c r="J337" s="98" t="b">
        <v>0</v>
      </c>
      <c r="K337" s="98" t="b">
        <v>0</v>
      </c>
      <c r="L337" s="98" t="b">
        <v>0</v>
      </c>
    </row>
    <row r="338" spans="1:12" ht="15">
      <c r="A338" s="99" t="s">
        <v>2390</v>
      </c>
      <c r="B338" s="98" t="s">
        <v>293</v>
      </c>
      <c r="C338" s="98">
        <v>7</v>
      </c>
      <c r="D338" s="111">
        <v>0.007186093341273754</v>
      </c>
      <c r="E338" s="111">
        <v>1.4747017805962497</v>
      </c>
      <c r="F338" s="98" t="s">
        <v>910</v>
      </c>
      <c r="G338" s="98" t="b">
        <v>0</v>
      </c>
      <c r="H338" s="98" t="b">
        <v>0</v>
      </c>
      <c r="I338" s="98" t="b">
        <v>0</v>
      </c>
      <c r="J338" s="98" t="b">
        <v>0</v>
      </c>
      <c r="K338" s="98" t="b">
        <v>0</v>
      </c>
      <c r="L338" s="98" t="b">
        <v>0</v>
      </c>
    </row>
    <row r="339" spans="1:12" ht="15">
      <c r="A339" s="99" t="s">
        <v>299</v>
      </c>
      <c r="B339" s="98" t="s">
        <v>260</v>
      </c>
      <c r="C339" s="98">
        <v>7</v>
      </c>
      <c r="D339" s="111">
        <v>0.007186093341273754</v>
      </c>
      <c r="E339" s="111">
        <v>1.5153196315045137</v>
      </c>
      <c r="F339" s="98" t="s">
        <v>910</v>
      </c>
      <c r="G339" s="98" t="b">
        <v>0</v>
      </c>
      <c r="H339" s="98" t="b">
        <v>0</v>
      </c>
      <c r="I339" s="98" t="b">
        <v>0</v>
      </c>
      <c r="J339" s="98" t="b">
        <v>0</v>
      </c>
      <c r="K339" s="98" t="b">
        <v>0</v>
      </c>
      <c r="L339" s="98" t="b">
        <v>0</v>
      </c>
    </row>
    <row r="340" spans="1:12" ht="15">
      <c r="A340" s="99" t="s">
        <v>302</v>
      </c>
      <c r="B340" s="98" t="s">
        <v>299</v>
      </c>
      <c r="C340" s="98">
        <v>7</v>
      </c>
      <c r="D340" s="111">
        <v>0.007186093341273754</v>
      </c>
      <c r="E340" s="111">
        <v>1.5416485702268627</v>
      </c>
      <c r="F340" s="98" t="s">
        <v>910</v>
      </c>
      <c r="G340" s="98" t="b">
        <v>0</v>
      </c>
      <c r="H340" s="98" t="b">
        <v>0</v>
      </c>
      <c r="I340" s="98" t="b">
        <v>0</v>
      </c>
      <c r="J340" s="98" t="b">
        <v>0</v>
      </c>
      <c r="K340" s="98" t="b">
        <v>0</v>
      </c>
      <c r="L340" s="98" t="b">
        <v>0</v>
      </c>
    </row>
    <row r="341" spans="1:12" ht="15">
      <c r="A341" s="99" t="s">
        <v>939</v>
      </c>
      <c r="B341" s="98" t="s">
        <v>930</v>
      </c>
      <c r="C341" s="98">
        <v>6</v>
      </c>
      <c r="D341" s="111">
        <v>0.006689430395891215</v>
      </c>
      <c r="E341" s="111">
        <v>1.5124903414856494</v>
      </c>
      <c r="F341" s="98" t="s">
        <v>910</v>
      </c>
      <c r="G341" s="98" t="b">
        <v>0</v>
      </c>
      <c r="H341" s="98" t="b">
        <v>0</v>
      </c>
      <c r="I341" s="98" t="b">
        <v>0</v>
      </c>
      <c r="J341" s="98" t="b">
        <v>0</v>
      </c>
      <c r="K341" s="98" t="b">
        <v>0</v>
      </c>
      <c r="L341" s="98" t="b">
        <v>0</v>
      </c>
    </row>
    <row r="342" spans="1:12" ht="15">
      <c r="A342" s="99" t="s">
        <v>930</v>
      </c>
      <c r="B342" s="98" t="s">
        <v>940</v>
      </c>
      <c r="C342" s="98">
        <v>6</v>
      </c>
      <c r="D342" s="111">
        <v>0.006689430395891215</v>
      </c>
      <c r="E342" s="111">
        <v>1.4931851862902628</v>
      </c>
      <c r="F342" s="98" t="s">
        <v>910</v>
      </c>
      <c r="G342" s="98" t="b">
        <v>0</v>
      </c>
      <c r="H342" s="98" t="b">
        <v>0</v>
      </c>
      <c r="I342" s="98" t="b">
        <v>0</v>
      </c>
      <c r="J342" s="98" t="b">
        <v>0</v>
      </c>
      <c r="K342" s="98" t="b">
        <v>0</v>
      </c>
      <c r="L342" s="98" t="b">
        <v>0</v>
      </c>
    </row>
    <row r="343" spans="1:12" ht="15">
      <c r="A343" s="99" t="s">
        <v>940</v>
      </c>
      <c r="B343" s="98" t="s">
        <v>941</v>
      </c>
      <c r="C343" s="98">
        <v>6</v>
      </c>
      <c r="D343" s="111">
        <v>0.006689430395891215</v>
      </c>
      <c r="E343" s="111">
        <v>2.076761771924212</v>
      </c>
      <c r="F343" s="98" t="s">
        <v>910</v>
      </c>
      <c r="G343" s="98" t="b">
        <v>0</v>
      </c>
      <c r="H343" s="98" t="b">
        <v>0</v>
      </c>
      <c r="I343" s="98" t="b">
        <v>0</v>
      </c>
      <c r="J343" s="98" t="b">
        <v>0</v>
      </c>
      <c r="K343" s="98" t="b">
        <v>0</v>
      </c>
      <c r="L343" s="98" t="b">
        <v>0</v>
      </c>
    </row>
    <row r="344" spans="1:12" ht="15">
      <c r="A344" s="99" t="s">
        <v>941</v>
      </c>
      <c r="B344" s="98" t="s">
        <v>931</v>
      </c>
      <c r="C344" s="98">
        <v>6</v>
      </c>
      <c r="D344" s="111">
        <v>0.006689430395891215</v>
      </c>
      <c r="E344" s="111">
        <v>1.7409696700010187</v>
      </c>
      <c r="F344" s="98" t="s">
        <v>910</v>
      </c>
      <c r="G344" s="98" t="b">
        <v>0</v>
      </c>
      <c r="H344" s="98" t="b">
        <v>0</v>
      </c>
      <c r="I344" s="98" t="b">
        <v>0</v>
      </c>
      <c r="J344" s="98" t="b">
        <v>0</v>
      </c>
      <c r="K344" s="98" t="b">
        <v>0</v>
      </c>
      <c r="L344" s="98" t="b">
        <v>0</v>
      </c>
    </row>
    <row r="345" spans="1:12" ht="15">
      <c r="A345" s="99" t="s">
        <v>931</v>
      </c>
      <c r="B345" s="98" t="s">
        <v>942</v>
      </c>
      <c r="C345" s="98">
        <v>6</v>
      </c>
      <c r="D345" s="111">
        <v>0.006689430395891215</v>
      </c>
      <c r="E345" s="111">
        <v>1.7409696700010187</v>
      </c>
      <c r="F345" s="98" t="s">
        <v>910</v>
      </c>
      <c r="G345" s="98" t="b">
        <v>0</v>
      </c>
      <c r="H345" s="98" t="b">
        <v>0</v>
      </c>
      <c r="I345" s="98" t="b">
        <v>0</v>
      </c>
      <c r="J345" s="98" t="b">
        <v>0</v>
      </c>
      <c r="K345" s="98" t="b">
        <v>0</v>
      </c>
      <c r="L345" s="98" t="b">
        <v>0</v>
      </c>
    </row>
    <row r="346" spans="1:12" ht="15">
      <c r="A346" s="99" t="s">
        <v>942</v>
      </c>
      <c r="B346" s="98" t="s">
        <v>938</v>
      </c>
      <c r="C346" s="98">
        <v>6</v>
      </c>
      <c r="D346" s="111">
        <v>0.006689430395891215</v>
      </c>
      <c r="E346" s="111">
        <v>2.076761771924212</v>
      </c>
      <c r="F346" s="98" t="s">
        <v>910</v>
      </c>
      <c r="G346" s="98" t="b">
        <v>0</v>
      </c>
      <c r="H346" s="98" t="b">
        <v>0</v>
      </c>
      <c r="I346" s="98" t="b">
        <v>0</v>
      </c>
      <c r="J346" s="98" t="b">
        <v>0</v>
      </c>
      <c r="K346" s="98" t="b">
        <v>0</v>
      </c>
      <c r="L346" s="98" t="b">
        <v>0</v>
      </c>
    </row>
    <row r="347" spans="1:12" ht="15">
      <c r="A347" s="99" t="s">
        <v>938</v>
      </c>
      <c r="B347" s="98" t="s">
        <v>935</v>
      </c>
      <c r="C347" s="98">
        <v>6</v>
      </c>
      <c r="D347" s="111">
        <v>0.006689430395891215</v>
      </c>
      <c r="E347" s="111">
        <v>1.7757317762602307</v>
      </c>
      <c r="F347" s="98" t="s">
        <v>910</v>
      </c>
      <c r="G347" s="98" t="b">
        <v>0</v>
      </c>
      <c r="H347" s="98" t="b">
        <v>0</v>
      </c>
      <c r="I347" s="98" t="b">
        <v>0</v>
      </c>
      <c r="J347" s="98" t="b">
        <v>0</v>
      </c>
      <c r="K347" s="98" t="b">
        <v>0</v>
      </c>
      <c r="L347" s="98" t="b">
        <v>0</v>
      </c>
    </row>
    <row r="348" spans="1:12" ht="15">
      <c r="A348" s="99" t="s">
        <v>935</v>
      </c>
      <c r="B348" s="98" t="s">
        <v>934</v>
      </c>
      <c r="C348" s="98">
        <v>6</v>
      </c>
      <c r="D348" s="111">
        <v>0.006689430395891215</v>
      </c>
      <c r="E348" s="111">
        <v>1.5538830266438743</v>
      </c>
      <c r="F348" s="98" t="s">
        <v>910</v>
      </c>
      <c r="G348" s="98" t="b">
        <v>0</v>
      </c>
      <c r="H348" s="98" t="b">
        <v>0</v>
      </c>
      <c r="I348" s="98" t="b">
        <v>0</v>
      </c>
      <c r="J348" s="98" t="b">
        <v>0</v>
      </c>
      <c r="K348" s="98" t="b">
        <v>0</v>
      </c>
      <c r="L348" s="98" t="b">
        <v>0</v>
      </c>
    </row>
    <row r="349" spans="1:12" ht="15">
      <c r="A349" s="99" t="s">
        <v>934</v>
      </c>
      <c r="B349" s="98" t="s">
        <v>936</v>
      </c>
      <c r="C349" s="98">
        <v>6</v>
      </c>
      <c r="D349" s="111">
        <v>0.006689430395891215</v>
      </c>
      <c r="E349" s="111">
        <v>1.8549130223078556</v>
      </c>
      <c r="F349" s="98" t="s">
        <v>910</v>
      </c>
      <c r="G349" s="98" t="b">
        <v>0</v>
      </c>
      <c r="H349" s="98" t="b">
        <v>0</v>
      </c>
      <c r="I349" s="98" t="b">
        <v>0</v>
      </c>
      <c r="J349" s="98" t="b">
        <v>0</v>
      </c>
      <c r="K349" s="98" t="b">
        <v>0</v>
      </c>
      <c r="L349" s="98" t="b">
        <v>0</v>
      </c>
    </row>
    <row r="350" spans="1:12" ht="15">
      <c r="A350" s="99" t="s">
        <v>936</v>
      </c>
      <c r="B350" s="98" t="s">
        <v>931</v>
      </c>
      <c r="C350" s="98">
        <v>6</v>
      </c>
      <c r="D350" s="111">
        <v>0.006689430395891215</v>
      </c>
      <c r="E350" s="111">
        <v>1.7409696700010187</v>
      </c>
      <c r="F350" s="98" t="s">
        <v>910</v>
      </c>
      <c r="G350" s="98" t="b">
        <v>0</v>
      </c>
      <c r="H350" s="98" t="b">
        <v>0</v>
      </c>
      <c r="I350" s="98" t="b">
        <v>0</v>
      </c>
      <c r="J350" s="98" t="b">
        <v>0</v>
      </c>
      <c r="K350" s="98" t="b">
        <v>0</v>
      </c>
      <c r="L350" s="98" t="b">
        <v>0</v>
      </c>
    </row>
    <row r="351" spans="1:12" ht="15">
      <c r="A351" s="99" t="s">
        <v>931</v>
      </c>
      <c r="B351" s="98" t="s">
        <v>937</v>
      </c>
      <c r="C351" s="98">
        <v>6</v>
      </c>
      <c r="D351" s="111">
        <v>0.006689430395891215</v>
      </c>
      <c r="E351" s="111">
        <v>1.6740228803704056</v>
      </c>
      <c r="F351" s="98" t="s">
        <v>910</v>
      </c>
      <c r="G351" s="98" t="b">
        <v>0</v>
      </c>
      <c r="H351" s="98" t="b">
        <v>0</v>
      </c>
      <c r="I351" s="98" t="b">
        <v>0</v>
      </c>
      <c r="J351" s="98" t="b">
        <v>0</v>
      </c>
      <c r="K351" s="98" t="b">
        <v>0</v>
      </c>
      <c r="L351" s="98" t="b">
        <v>0</v>
      </c>
    </row>
    <row r="352" spans="1:12" ht="15">
      <c r="A352" s="99" t="s">
        <v>937</v>
      </c>
      <c r="B352" s="98" t="s">
        <v>943</v>
      </c>
      <c r="C352" s="98">
        <v>6</v>
      </c>
      <c r="D352" s="111">
        <v>0.006689430395891215</v>
      </c>
      <c r="E352" s="111">
        <v>2.009814982293599</v>
      </c>
      <c r="F352" s="98" t="s">
        <v>910</v>
      </c>
      <c r="G352" s="98" t="b">
        <v>0</v>
      </c>
      <c r="H352" s="98" t="b">
        <v>0</v>
      </c>
      <c r="I352" s="98" t="b">
        <v>0</v>
      </c>
      <c r="J352" s="98" t="b">
        <v>0</v>
      </c>
      <c r="K352" s="98" t="b">
        <v>0</v>
      </c>
      <c r="L352" s="98" t="b">
        <v>0</v>
      </c>
    </row>
    <row r="353" spans="1:12" ht="15">
      <c r="A353" s="99" t="s">
        <v>943</v>
      </c>
      <c r="B353" s="98" t="s">
        <v>930</v>
      </c>
      <c r="C353" s="98">
        <v>6</v>
      </c>
      <c r="D353" s="111">
        <v>0.006689430395891215</v>
      </c>
      <c r="E353" s="111">
        <v>1.5124903414856494</v>
      </c>
      <c r="F353" s="98" t="s">
        <v>910</v>
      </c>
      <c r="G353" s="98" t="b">
        <v>0</v>
      </c>
      <c r="H353" s="98" t="b">
        <v>0</v>
      </c>
      <c r="I353" s="98" t="b">
        <v>0</v>
      </c>
      <c r="J353" s="98" t="b">
        <v>0</v>
      </c>
      <c r="K353" s="98" t="b">
        <v>0</v>
      </c>
      <c r="L353" s="98" t="b">
        <v>0</v>
      </c>
    </row>
    <row r="354" spans="1:12" ht="15">
      <c r="A354" s="99" t="s">
        <v>933</v>
      </c>
      <c r="B354" s="98" t="s">
        <v>932</v>
      </c>
      <c r="C354" s="98">
        <v>6</v>
      </c>
      <c r="D354" s="111">
        <v>0.006689430395891215</v>
      </c>
      <c r="E354" s="111">
        <v>1.178219412682989</v>
      </c>
      <c r="F354" s="98" t="s">
        <v>910</v>
      </c>
      <c r="G354" s="98" t="b">
        <v>0</v>
      </c>
      <c r="H354" s="98" t="b">
        <v>0</v>
      </c>
      <c r="I354" s="98" t="b">
        <v>0</v>
      </c>
      <c r="J354" s="98" t="b">
        <v>0</v>
      </c>
      <c r="K354" s="98" t="b">
        <v>0</v>
      </c>
      <c r="L354" s="98" t="b">
        <v>0</v>
      </c>
    </row>
    <row r="355" spans="1:12" ht="15">
      <c r="A355" s="99" t="s">
        <v>932</v>
      </c>
      <c r="B355" s="98" t="s">
        <v>302</v>
      </c>
      <c r="C355" s="98">
        <v>6</v>
      </c>
      <c r="D355" s="111">
        <v>0.006689430395891215</v>
      </c>
      <c r="E355" s="111">
        <v>1.4747017805962495</v>
      </c>
      <c r="F355" s="98" t="s">
        <v>910</v>
      </c>
      <c r="G355" s="98" t="b">
        <v>0</v>
      </c>
      <c r="H355" s="98" t="b">
        <v>0</v>
      </c>
      <c r="I355" s="98" t="b">
        <v>0</v>
      </c>
      <c r="J355" s="98" t="b">
        <v>0</v>
      </c>
      <c r="K355" s="98" t="b">
        <v>0</v>
      </c>
      <c r="L355" s="98" t="b">
        <v>0</v>
      </c>
    </row>
    <row r="356" spans="1:12" ht="15">
      <c r="A356" s="99" t="s">
        <v>946</v>
      </c>
      <c r="B356" s="98" t="s">
        <v>947</v>
      </c>
      <c r="C356" s="98">
        <v>4</v>
      </c>
      <c r="D356" s="111">
        <v>0.005388861736516823</v>
      </c>
      <c r="E356" s="111">
        <v>2.2528530309798933</v>
      </c>
      <c r="F356" s="98" t="s">
        <v>910</v>
      </c>
      <c r="G356" s="98" t="b">
        <v>0</v>
      </c>
      <c r="H356" s="98" t="b">
        <v>0</v>
      </c>
      <c r="I356" s="98" t="b">
        <v>0</v>
      </c>
      <c r="J356" s="98" t="b">
        <v>0</v>
      </c>
      <c r="K356" s="98" t="b">
        <v>0</v>
      </c>
      <c r="L356" s="98" t="b">
        <v>0</v>
      </c>
    </row>
    <row r="357" spans="1:12" ht="15">
      <c r="A357" s="99" t="s">
        <v>947</v>
      </c>
      <c r="B357" s="98" t="s">
        <v>948</v>
      </c>
      <c r="C357" s="98">
        <v>4</v>
      </c>
      <c r="D357" s="111">
        <v>0.005388861736516823</v>
      </c>
      <c r="E357" s="111">
        <v>2.2528530309798933</v>
      </c>
      <c r="F357" s="98" t="s">
        <v>910</v>
      </c>
      <c r="G357" s="98" t="b">
        <v>0</v>
      </c>
      <c r="H357" s="98" t="b">
        <v>0</v>
      </c>
      <c r="I357" s="98" t="b">
        <v>0</v>
      </c>
      <c r="J357" s="98" t="b">
        <v>0</v>
      </c>
      <c r="K357" s="98" t="b">
        <v>0</v>
      </c>
      <c r="L357" s="98" t="b">
        <v>0</v>
      </c>
    </row>
    <row r="358" spans="1:12" ht="15">
      <c r="A358" s="99" t="s">
        <v>293</v>
      </c>
      <c r="B358" s="98" t="s">
        <v>967</v>
      </c>
      <c r="C358" s="98">
        <v>4</v>
      </c>
      <c r="D358" s="111">
        <v>0.005388861736516823</v>
      </c>
      <c r="E358" s="111">
        <v>1.3777917675881932</v>
      </c>
      <c r="F358" s="98" t="s">
        <v>910</v>
      </c>
      <c r="G358" s="98" t="b">
        <v>0</v>
      </c>
      <c r="H358" s="98" t="b">
        <v>0</v>
      </c>
      <c r="I358" s="98" t="b">
        <v>0</v>
      </c>
      <c r="J358" s="98" t="b">
        <v>0</v>
      </c>
      <c r="K358" s="98" t="b">
        <v>0</v>
      </c>
      <c r="L358" s="98" t="b">
        <v>0</v>
      </c>
    </row>
    <row r="359" spans="1:12" ht="15">
      <c r="A359" s="99" t="s">
        <v>967</v>
      </c>
      <c r="B359" s="98" t="s">
        <v>930</v>
      </c>
      <c r="C359" s="98">
        <v>4</v>
      </c>
      <c r="D359" s="111">
        <v>0.005388861736516823</v>
      </c>
      <c r="E359" s="111">
        <v>1.5124903414856494</v>
      </c>
      <c r="F359" s="98" t="s">
        <v>910</v>
      </c>
      <c r="G359" s="98" t="b">
        <v>0</v>
      </c>
      <c r="H359" s="98" t="b">
        <v>0</v>
      </c>
      <c r="I359" s="98" t="b">
        <v>0</v>
      </c>
      <c r="J359" s="98" t="b">
        <v>0</v>
      </c>
      <c r="K359" s="98" t="b">
        <v>0</v>
      </c>
      <c r="L359" s="98" t="b">
        <v>0</v>
      </c>
    </row>
    <row r="360" spans="1:12" ht="15">
      <c r="A360" s="99" t="s">
        <v>933</v>
      </c>
      <c r="B360" s="98" t="s">
        <v>935</v>
      </c>
      <c r="C360" s="98">
        <v>4</v>
      </c>
      <c r="D360" s="111">
        <v>0.005388861736516823</v>
      </c>
      <c r="E360" s="111">
        <v>1.2017005085325119</v>
      </c>
      <c r="F360" s="98" t="s">
        <v>910</v>
      </c>
      <c r="G360" s="98" t="b">
        <v>0</v>
      </c>
      <c r="H360" s="98" t="b">
        <v>0</v>
      </c>
      <c r="I360" s="98" t="b">
        <v>0</v>
      </c>
      <c r="J360" s="98" t="b">
        <v>0</v>
      </c>
      <c r="K360" s="98" t="b">
        <v>0</v>
      </c>
      <c r="L360" s="98" t="b">
        <v>0</v>
      </c>
    </row>
    <row r="361" spans="1:12" ht="15">
      <c r="A361" s="99" t="s">
        <v>935</v>
      </c>
      <c r="B361" s="98" t="s">
        <v>968</v>
      </c>
      <c r="C361" s="98">
        <v>4</v>
      </c>
      <c r="D361" s="111">
        <v>0.005388861736516823</v>
      </c>
      <c r="E361" s="111">
        <v>1.7757317762602307</v>
      </c>
      <c r="F361" s="98" t="s">
        <v>910</v>
      </c>
      <c r="G361" s="98" t="b">
        <v>0</v>
      </c>
      <c r="H361" s="98" t="b">
        <v>0</v>
      </c>
      <c r="I361" s="98" t="b">
        <v>0</v>
      </c>
      <c r="J361" s="98" t="b">
        <v>0</v>
      </c>
      <c r="K361" s="98" t="b">
        <v>0</v>
      </c>
      <c r="L361" s="98" t="b">
        <v>0</v>
      </c>
    </row>
    <row r="362" spans="1:12" ht="15">
      <c r="A362" s="99" t="s">
        <v>968</v>
      </c>
      <c r="B362" s="98" t="s">
        <v>969</v>
      </c>
      <c r="C362" s="98">
        <v>4</v>
      </c>
      <c r="D362" s="111">
        <v>0.005388861736516823</v>
      </c>
      <c r="E362" s="111">
        <v>2.2528530309798933</v>
      </c>
      <c r="F362" s="98" t="s">
        <v>910</v>
      </c>
      <c r="G362" s="98" t="b">
        <v>0</v>
      </c>
      <c r="H362" s="98" t="b">
        <v>0</v>
      </c>
      <c r="I362" s="98" t="b">
        <v>0</v>
      </c>
      <c r="J362" s="98" t="b">
        <v>0</v>
      </c>
      <c r="K362" s="98" t="b">
        <v>0</v>
      </c>
      <c r="L362" s="98" t="b">
        <v>0</v>
      </c>
    </row>
    <row r="363" spans="1:12" ht="15">
      <c r="A363" s="99" t="s">
        <v>969</v>
      </c>
      <c r="B363" s="98" t="s">
        <v>295</v>
      </c>
      <c r="C363" s="98">
        <v>4</v>
      </c>
      <c r="D363" s="111">
        <v>0.005388861736516823</v>
      </c>
      <c r="E363" s="111">
        <v>1.5538830266438743</v>
      </c>
      <c r="F363" s="98" t="s">
        <v>910</v>
      </c>
      <c r="G363" s="98" t="b">
        <v>0</v>
      </c>
      <c r="H363" s="98" t="b">
        <v>0</v>
      </c>
      <c r="I363" s="98" t="b">
        <v>0</v>
      </c>
      <c r="J363" s="98" t="b">
        <v>0</v>
      </c>
      <c r="K363" s="98" t="b">
        <v>0</v>
      </c>
      <c r="L363" s="98" t="b">
        <v>0</v>
      </c>
    </row>
    <row r="364" spans="1:12" ht="15">
      <c r="A364" s="99" t="s">
        <v>295</v>
      </c>
      <c r="B364" s="98" t="s">
        <v>970</v>
      </c>
      <c r="C364" s="98">
        <v>4</v>
      </c>
      <c r="D364" s="111">
        <v>0.005388861736516823</v>
      </c>
      <c r="E364" s="111">
        <v>1.7409696700010187</v>
      </c>
      <c r="F364" s="98" t="s">
        <v>910</v>
      </c>
      <c r="G364" s="98" t="b">
        <v>0</v>
      </c>
      <c r="H364" s="98" t="b">
        <v>0</v>
      </c>
      <c r="I364" s="98" t="b">
        <v>0</v>
      </c>
      <c r="J364" s="98" t="b">
        <v>0</v>
      </c>
      <c r="K364" s="98" t="b">
        <v>0</v>
      </c>
      <c r="L364" s="98" t="b">
        <v>0</v>
      </c>
    </row>
    <row r="365" spans="1:12" ht="15">
      <c r="A365" s="99" t="s">
        <v>970</v>
      </c>
      <c r="B365" s="98" t="s">
        <v>971</v>
      </c>
      <c r="C365" s="98">
        <v>4</v>
      </c>
      <c r="D365" s="111">
        <v>0.005388861736516823</v>
      </c>
      <c r="E365" s="111">
        <v>2.2528530309798933</v>
      </c>
      <c r="F365" s="98" t="s">
        <v>910</v>
      </c>
      <c r="G365" s="98" t="b">
        <v>0</v>
      </c>
      <c r="H365" s="98" t="b">
        <v>0</v>
      </c>
      <c r="I365" s="98" t="b">
        <v>0</v>
      </c>
      <c r="J365" s="98" t="b">
        <v>0</v>
      </c>
      <c r="K365" s="98" t="b">
        <v>0</v>
      </c>
      <c r="L365" s="98" t="b">
        <v>0</v>
      </c>
    </row>
    <row r="366" spans="1:12" ht="15">
      <c r="A366" s="99" t="s">
        <v>971</v>
      </c>
      <c r="B366" s="98" t="s">
        <v>972</v>
      </c>
      <c r="C366" s="98">
        <v>4</v>
      </c>
      <c r="D366" s="111">
        <v>0.005388861736516823</v>
      </c>
      <c r="E366" s="111">
        <v>2.2528530309798933</v>
      </c>
      <c r="F366" s="98" t="s">
        <v>910</v>
      </c>
      <c r="G366" s="98" t="b">
        <v>0</v>
      </c>
      <c r="H366" s="98" t="b">
        <v>0</v>
      </c>
      <c r="I366" s="98" t="b">
        <v>0</v>
      </c>
      <c r="J366" s="98" t="b">
        <v>0</v>
      </c>
      <c r="K366" s="98" t="b">
        <v>0</v>
      </c>
      <c r="L366" s="98" t="b">
        <v>0</v>
      </c>
    </row>
    <row r="367" spans="1:12" ht="15">
      <c r="A367" s="99" t="s">
        <v>972</v>
      </c>
      <c r="B367" s="98" t="s">
        <v>973</v>
      </c>
      <c r="C367" s="98">
        <v>4</v>
      </c>
      <c r="D367" s="111">
        <v>0.005388861736516823</v>
      </c>
      <c r="E367" s="111">
        <v>2.2528530309798933</v>
      </c>
      <c r="F367" s="98" t="s">
        <v>910</v>
      </c>
      <c r="G367" s="98" t="b">
        <v>0</v>
      </c>
      <c r="H367" s="98" t="b">
        <v>0</v>
      </c>
      <c r="I367" s="98" t="b">
        <v>0</v>
      </c>
      <c r="J367" s="98" t="b">
        <v>0</v>
      </c>
      <c r="K367" s="98" t="b">
        <v>0</v>
      </c>
      <c r="L367" s="98" t="b">
        <v>0</v>
      </c>
    </row>
    <row r="368" spans="1:12" ht="15">
      <c r="A368" s="99" t="s">
        <v>973</v>
      </c>
      <c r="B368" s="98" t="s">
        <v>974</v>
      </c>
      <c r="C368" s="98">
        <v>4</v>
      </c>
      <c r="D368" s="111">
        <v>0.005388861736516823</v>
      </c>
      <c r="E368" s="111">
        <v>2.2528530309798933</v>
      </c>
      <c r="F368" s="98" t="s">
        <v>910</v>
      </c>
      <c r="G368" s="98" t="b">
        <v>0</v>
      </c>
      <c r="H368" s="98" t="b">
        <v>0</v>
      </c>
      <c r="I368" s="98" t="b">
        <v>0</v>
      </c>
      <c r="J368" s="98" t="b">
        <v>0</v>
      </c>
      <c r="K368" s="98" t="b">
        <v>0</v>
      </c>
      <c r="L368" s="98" t="b">
        <v>0</v>
      </c>
    </row>
    <row r="369" spans="1:12" ht="15">
      <c r="A369" s="99" t="s">
        <v>974</v>
      </c>
      <c r="B369" s="98" t="s">
        <v>975</v>
      </c>
      <c r="C369" s="98">
        <v>4</v>
      </c>
      <c r="D369" s="111">
        <v>0.005388861736516823</v>
      </c>
      <c r="E369" s="111">
        <v>2.2528530309798933</v>
      </c>
      <c r="F369" s="98" t="s">
        <v>910</v>
      </c>
      <c r="G369" s="98" t="b">
        <v>0</v>
      </c>
      <c r="H369" s="98" t="b">
        <v>0</v>
      </c>
      <c r="I369" s="98" t="b">
        <v>0</v>
      </c>
      <c r="J369" s="98" t="b">
        <v>0</v>
      </c>
      <c r="K369" s="98" t="b">
        <v>0</v>
      </c>
      <c r="L369" s="98" t="b">
        <v>0</v>
      </c>
    </row>
    <row r="370" spans="1:12" ht="15">
      <c r="A370" s="99" t="s">
        <v>975</v>
      </c>
      <c r="B370" s="98" t="s">
        <v>976</v>
      </c>
      <c r="C370" s="98">
        <v>4</v>
      </c>
      <c r="D370" s="111">
        <v>0.005388861736516823</v>
      </c>
      <c r="E370" s="111">
        <v>2.2528530309798933</v>
      </c>
      <c r="F370" s="98" t="s">
        <v>910</v>
      </c>
      <c r="G370" s="98" t="b">
        <v>0</v>
      </c>
      <c r="H370" s="98" t="b">
        <v>0</v>
      </c>
      <c r="I370" s="98" t="b">
        <v>0</v>
      </c>
      <c r="J370" s="98" t="b">
        <v>0</v>
      </c>
      <c r="K370" s="98" t="b">
        <v>0</v>
      </c>
      <c r="L370" s="98" t="b">
        <v>0</v>
      </c>
    </row>
    <row r="371" spans="1:12" ht="15">
      <c r="A371" s="99" t="s">
        <v>976</v>
      </c>
      <c r="B371" s="98" t="s">
        <v>977</v>
      </c>
      <c r="C371" s="98">
        <v>4</v>
      </c>
      <c r="D371" s="111">
        <v>0.005388861736516823</v>
      </c>
      <c r="E371" s="111">
        <v>2.2528530309798933</v>
      </c>
      <c r="F371" s="98" t="s">
        <v>910</v>
      </c>
      <c r="G371" s="98" t="b">
        <v>0</v>
      </c>
      <c r="H371" s="98" t="b">
        <v>0</v>
      </c>
      <c r="I371" s="98" t="b">
        <v>0</v>
      </c>
      <c r="J371" s="98" t="b">
        <v>0</v>
      </c>
      <c r="K371" s="98" t="b">
        <v>0</v>
      </c>
      <c r="L371" s="98" t="b">
        <v>0</v>
      </c>
    </row>
    <row r="372" spans="1:12" ht="15">
      <c r="A372" s="99" t="s">
        <v>977</v>
      </c>
      <c r="B372" s="98" t="s">
        <v>297</v>
      </c>
      <c r="C372" s="98">
        <v>4</v>
      </c>
      <c r="D372" s="111">
        <v>0.005388861736516823</v>
      </c>
      <c r="E372" s="111">
        <v>2.2528530309798933</v>
      </c>
      <c r="F372" s="98" t="s">
        <v>910</v>
      </c>
      <c r="G372" s="98" t="b">
        <v>0</v>
      </c>
      <c r="H372" s="98" t="b">
        <v>0</v>
      </c>
      <c r="I372" s="98" t="b">
        <v>0</v>
      </c>
      <c r="J372" s="98" t="b">
        <v>0</v>
      </c>
      <c r="K372" s="98" t="b">
        <v>0</v>
      </c>
      <c r="L372" s="98" t="b">
        <v>0</v>
      </c>
    </row>
    <row r="373" spans="1:12" ht="15">
      <c r="A373" s="99" t="s">
        <v>297</v>
      </c>
      <c r="B373" s="98" t="s">
        <v>932</v>
      </c>
      <c r="C373" s="98">
        <v>4</v>
      </c>
      <c r="D373" s="111">
        <v>0.005388861736516823</v>
      </c>
      <c r="E373" s="111">
        <v>1.5761594213550267</v>
      </c>
      <c r="F373" s="98" t="s">
        <v>910</v>
      </c>
      <c r="G373" s="98" t="b">
        <v>0</v>
      </c>
      <c r="H373" s="98" t="b">
        <v>0</v>
      </c>
      <c r="I373" s="98" t="b">
        <v>0</v>
      </c>
      <c r="J373" s="98" t="b">
        <v>0</v>
      </c>
      <c r="K373" s="98" t="b">
        <v>0</v>
      </c>
      <c r="L373" s="98" t="b">
        <v>0</v>
      </c>
    </row>
    <row r="374" spans="1:12" ht="15">
      <c r="A374" s="99" t="s">
        <v>932</v>
      </c>
      <c r="B374" s="98" t="s">
        <v>978</v>
      </c>
      <c r="C374" s="98">
        <v>4</v>
      </c>
      <c r="D374" s="111">
        <v>0.005388861736516823</v>
      </c>
      <c r="E374" s="111">
        <v>1.6507930396519308</v>
      </c>
      <c r="F374" s="98" t="s">
        <v>910</v>
      </c>
      <c r="G374" s="98" t="b">
        <v>0</v>
      </c>
      <c r="H374" s="98" t="b">
        <v>0</v>
      </c>
      <c r="I374" s="98" t="b">
        <v>0</v>
      </c>
      <c r="J374" s="98" t="b">
        <v>0</v>
      </c>
      <c r="K374" s="98" t="b">
        <v>0</v>
      </c>
      <c r="L374" s="98" t="b">
        <v>0</v>
      </c>
    </row>
    <row r="375" spans="1:12" ht="15">
      <c r="A375" s="99" t="s">
        <v>950</v>
      </c>
      <c r="B375" s="98" t="s">
        <v>303</v>
      </c>
      <c r="C375" s="98">
        <v>3</v>
      </c>
      <c r="D375" s="111">
        <v>0.004536126790283264</v>
      </c>
      <c r="E375" s="111">
        <v>2.377791767588193</v>
      </c>
      <c r="F375" s="98" t="s">
        <v>910</v>
      </c>
      <c r="G375" s="98" t="b">
        <v>0</v>
      </c>
      <c r="H375" s="98" t="b">
        <v>0</v>
      </c>
      <c r="I375" s="98" t="b">
        <v>0</v>
      </c>
      <c r="J375" s="98" t="b">
        <v>0</v>
      </c>
      <c r="K375" s="98" t="b">
        <v>0</v>
      </c>
      <c r="L375" s="98" t="b">
        <v>0</v>
      </c>
    </row>
    <row r="376" spans="1:12" ht="15">
      <c r="A376" s="99" t="s">
        <v>303</v>
      </c>
      <c r="B376" s="98" t="s">
        <v>951</v>
      </c>
      <c r="C376" s="98">
        <v>3</v>
      </c>
      <c r="D376" s="111">
        <v>0.004536126790283264</v>
      </c>
      <c r="E376" s="111">
        <v>2.377791767588193</v>
      </c>
      <c r="F376" s="98" t="s">
        <v>910</v>
      </c>
      <c r="G376" s="98" t="b">
        <v>0</v>
      </c>
      <c r="H376" s="98" t="b">
        <v>0</v>
      </c>
      <c r="I376" s="98" t="b">
        <v>0</v>
      </c>
      <c r="J376" s="98" t="b">
        <v>0</v>
      </c>
      <c r="K376" s="98" t="b">
        <v>0</v>
      </c>
      <c r="L376" s="98" t="b">
        <v>0</v>
      </c>
    </row>
    <row r="377" spans="1:12" ht="15">
      <c r="A377" s="99" t="s">
        <v>951</v>
      </c>
      <c r="B377" s="98" t="s">
        <v>952</v>
      </c>
      <c r="C377" s="98">
        <v>3</v>
      </c>
      <c r="D377" s="111">
        <v>0.004536126790283264</v>
      </c>
      <c r="E377" s="111">
        <v>2.377791767588193</v>
      </c>
      <c r="F377" s="98" t="s">
        <v>910</v>
      </c>
      <c r="G377" s="98" t="b">
        <v>0</v>
      </c>
      <c r="H377" s="98" t="b">
        <v>0</v>
      </c>
      <c r="I377" s="98" t="b">
        <v>0</v>
      </c>
      <c r="J377" s="98" t="b">
        <v>0</v>
      </c>
      <c r="K377" s="98" t="b">
        <v>0</v>
      </c>
      <c r="L377" s="98" t="b">
        <v>0</v>
      </c>
    </row>
    <row r="378" spans="1:12" ht="15">
      <c r="A378" s="99" t="s">
        <v>952</v>
      </c>
      <c r="B378" s="98" t="s">
        <v>953</v>
      </c>
      <c r="C378" s="98">
        <v>3</v>
      </c>
      <c r="D378" s="111">
        <v>0.004536126790283264</v>
      </c>
      <c r="E378" s="111">
        <v>2.377791767588193</v>
      </c>
      <c r="F378" s="98" t="s">
        <v>910</v>
      </c>
      <c r="G378" s="98" t="b">
        <v>0</v>
      </c>
      <c r="H378" s="98" t="b">
        <v>0</v>
      </c>
      <c r="I378" s="98" t="b">
        <v>0</v>
      </c>
      <c r="J378" s="98" t="b">
        <v>0</v>
      </c>
      <c r="K378" s="98" t="b">
        <v>0</v>
      </c>
      <c r="L378" s="98" t="b">
        <v>0</v>
      </c>
    </row>
    <row r="379" spans="1:12" ht="15">
      <c r="A379" s="99" t="s">
        <v>953</v>
      </c>
      <c r="B379" s="98" t="s">
        <v>954</v>
      </c>
      <c r="C379" s="98">
        <v>3</v>
      </c>
      <c r="D379" s="111">
        <v>0.004536126790283264</v>
      </c>
      <c r="E379" s="111">
        <v>2.377791767588193</v>
      </c>
      <c r="F379" s="98" t="s">
        <v>910</v>
      </c>
      <c r="G379" s="98" t="b">
        <v>0</v>
      </c>
      <c r="H379" s="98" t="b">
        <v>0</v>
      </c>
      <c r="I379" s="98" t="b">
        <v>0</v>
      </c>
      <c r="J379" s="98" t="b">
        <v>0</v>
      </c>
      <c r="K379" s="98" t="b">
        <v>0</v>
      </c>
      <c r="L379" s="98" t="b">
        <v>0</v>
      </c>
    </row>
    <row r="380" spans="1:12" ht="15">
      <c r="A380" s="99" t="s">
        <v>954</v>
      </c>
      <c r="B380" s="98" t="s">
        <v>944</v>
      </c>
      <c r="C380" s="98">
        <v>3</v>
      </c>
      <c r="D380" s="111">
        <v>0.004536126790283264</v>
      </c>
      <c r="E380" s="111">
        <v>1.9006705128685306</v>
      </c>
      <c r="F380" s="98" t="s">
        <v>910</v>
      </c>
      <c r="G380" s="98" t="b">
        <v>0</v>
      </c>
      <c r="H380" s="98" t="b">
        <v>0</v>
      </c>
      <c r="I380" s="98" t="b">
        <v>0</v>
      </c>
      <c r="J380" s="98" t="b">
        <v>0</v>
      </c>
      <c r="K380" s="98" t="b">
        <v>0</v>
      </c>
      <c r="L380" s="98" t="b">
        <v>0</v>
      </c>
    </row>
    <row r="381" spans="1:12" ht="15">
      <c r="A381" s="99" t="s">
        <v>944</v>
      </c>
      <c r="B381" s="98" t="s">
        <v>955</v>
      </c>
      <c r="C381" s="98">
        <v>3</v>
      </c>
      <c r="D381" s="111">
        <v>0.004536126790283264</v>
      </c>
      <c r="E381" s="111">
        <v>1.9006705128685306</v>
      </c>
      <c r="F381" s="98" t="s">
        <v>910</v>
      </c>
      <c r="G381" s="98" t="b">
        <v>0</v>
      </c>
      <c r="H381" s="98" t="b">
        <v>0</v>
      </c>
      <c r="I381" s="98" t="b">
        <v>0</v>
      </c>
      <c r="J381" s="98" t="b">
        <v>0</v>
      </c>
      <c r="K381" s="98" t="b">
        <v>0</v>
      </c>
      <c r="L381" s="98" t="b">
        <v>0</v>
      </c>
    </row>
    <row r="382" spans="1:12" ht="15">
      <c r="A382" s="99" t="s">
        <v>955</v>
      </c>
      <c r="B382" s="98" t="s">
        <v>956</v>
      </c>
      <c r="C382" s="98">
        <v>3</v>
      </c>
      <c r="D382" s="111">
        <v>0.004536126790283264</v>
      </c>
      <c r="E382" s="111">
        <v>2.377791767588193</v>
      </c>
      <c r="F382" s="98" t="s">
        <v>910</v>
      </c>
      <c r="G382" s="98" t="b">
        <v>0</v>
      </c>
      <c r="H382" s="98" t="b">
        <v>0</v>
      </c>
      <c r="I382" s="98" t="b">
        <v>0</v>
      </c>
      <c r="J382" s="98" t="b">
        <v>0</v>
      </c>
      <c r="K382" s="98" t="b">
        <v>0</v>
      </c>
      <c r="L382" s="98" t="b">
        <v>0</v>
      </c>
    </row>
    <row r="383" spans="1:12" ht="15">
      <c r="A383" s="99" t="s">
        <v>956</v>
      </c>
      <c r="B383" s="98" t="s">
        <v>957</v>
      </c>
      <c r="C383" s="98">
        <v>3</v>
      </c>
      <c r="D383" s="111">
        <v>0.004536126790283264</v>
      </c>
      <c r="E383" s="111">
        <v>2.377791767588193</v>
      </c>
      <c r="F383" s="98" t="s">
        <v>910</v>
      </c>
      <c r="G383" s="98" t="b">
        <v>0</v>
      </c>
      <c r="H383" s="98" t="b">
        <v>0</v>
      </c>
      <c r="I383" s="98" t="b">
        <v>0</v>
      </c>
      <c r="J383" s="98" t="b">
        <v>0</v>
      </c>
      <c r="K383" s="98" t="b">
        <v>0</v>
      </c>
      <c r="L383" s="98" t="b">
        <v>0</v>
      </c>
    </row>
    <row r="384" spans="1:12" ht="15">
      <c r="A384" s="99" t="s">
        <v>957</v>
      </c>
      <c r="B384" s="98" t="s">
        <v>946</v>
      </c>
      <c r="C384" s="98">
        <v>3</v>
      </c>
      <c r="D384" s="111">
        <v>0.004536126790283264</v>
      </c>
      <c r="E384" s="111">
        <v>2.2528530309798933</v>
      </c>
      <c r="F384" s="98" t="s">
        <v>910</v>
      </c>
      <c r="G384" s="98" t="b">
        <v>0</v>
      </c>
      <c r="H384" s="98" t="b">
        <v>0</v>
      </c>
      <c r="I384" s="98" t="b">
        <v>0</v>
      </c>
      <c r="J384" s="98" t="b">
        <v>0</v>
      </c>
      <c r="K384" s="98" t="b">
        <v>0</v>
      </c>
      <c r="L384" s="98" t="b">
        <v>0</v>
      </c>
    </row>
    <row r="385" spans="1:12" ht="15">
      <c r="A385" s="99" t="s">
        <v>948</v>
      </c>
      <c r="B385" s="98" t="s">
        <v>944</v>
      </c>
      <c r="C385" s="98">
        <v>3</v>
      </c>
      <c r="D385" s="111">
        <v>0.004536126790283264</v>
      </c>
      <c r="E385" s="111">
        <v>1.7757317762602307</v>
      </c>
      <c r="F385" s="98" t="s">
        <v>910</v>
      </c>
      <c r="G385" s="98" t="b">
        <v>0</v>
      </c>
      <c r="H385" s="98" t="b">
        <v>0</v>
      </c>
      <c r="I385" s="98" t="b">
        <v>0</v>
      </c>
      <c r="J385" s="98" t="b">
        <v>0</v>
      </c>
      <c r="K385" s="98" t="b">
        <v>0</v>
      </c>
      <c r="L385" s="98" t="b">
        <v>0</v>
      </c>
    </row>
    <row r="386" spans="1:12" ht="15">
      <c r="A386" s="99" t="s">
        <v>944</v>
      </c>
      <c r="B386" s="98" t="s">
        <v>958</v>
      </c>
      <c r="C386" s="98">
        <v>3</v>
      </c>
      <c r="D386" s="111">
        <v>0.004536126790283264</v>
      </c>
      <c r="E386" s="111">
        <v>1.9006705128685306</v>
      </c>
      <c r="F386" s="98" t="s">
        <v>910</v>
      </c>
      <c r="G386" s="98" t="b">
        <v>0</v>
      </c>
      <c r="H386" s="98" t="b">
        <v>0</v>
      </c>
      <c r="I386" s="98" t="b">
        <v>0</v>
      </c>
      <c r="J386" s="98" t="b">
        <v>0</v>
      </c>
      <c r="K386" s="98" t="b">
        <v>0</v>
      </c>
      <c r="L386" s="98" t="b">
        <v>0</v>
      </c>
    </row>
    <row r="387" spans="1:12" ht="15">
      <c r="A387" s="99" t="s">
        <v>958</v>
      </c>
      <c r="B387" s="98" t="s">
        <v>932</v>
      </c>
      <c r="C387" s="98">
        <v>3</v>
      </c>
      <c r="D387" s="111">
        <v>0.004536126790283264</v>
      </c>
      <c r="E387" s="111">
        <v>1.5761594213550265</v>
      </c>
      <c r="F387" s="98" t="s">
        <v>910</v>
      </c>
      <c r="G387" s="98" t="b">
        <v>0</v>
      </c>
      <c r="H387" s="98" t="b">
        <v>0</v>
      </c>
      <c r="I387" s="98" t="b">
        <v>0</v>
      </c>
      <c r="J387" s="98" t="b">
        <v>0</v>
      </c>
      <c r="K387" s="98" t="b">
        <v>0</v>
      </c>
      <c r="L387" s="98" t="b">
        <v>0</v>
      </c>
    </row>
    <row r="388" spans="1:12" ht="15">
      <c r="A388" s="99" t="s">
        <v>2420</v>
      </c>
      <c r="B388" s="98" t="s">
        <v>2421</v>
      </c>
      <c r="C388" s="98">
        <v>3</v>
      </c>
      <c r="D388" s="111">
        <v>0.004536126790283264</v>
      </c>
      <c r="E388" s="111">
        <v>2.377791767588193</v>
      </c>
      <c r="F388" s="98" t="s">
        <v>910</v>
      </c>
      <c r="G388" s="98" t="b">
        <v>0</v>
      </c>
      <c r="H388" s="98" t="b">
        <v>0</v>
      </c>
      <c r="I388" s="98" t="b">
        <v>0</v>
      </c>
      <c r="J388" s="98" t="b">
        <v>0</v>
      </c>
      <c r="K388" s="98" t="b">
        <v>0</v>
      </c>
      <c r="L388" s="98" t="b">
        <v>0</v>
      </c>
    </row>
    <row r="389" spans="1:12" ht="15">
      <c r="A389" s="99" t="s">
        <v>2421</v>
      </c>
      <c r="B389" s="98" t="s">
        <v>2391</v>
      </c>
      <c r="C389" s="98">
        <v>3</v>
      </c>
      <c r="D389" s="111">
        <v>0.004536126790283264</v>
      </c>
      <c r="E389" s="111">
        <v>2.076761771924212</v>
      </c>
      <c r="F389" s="98" t="s">
        <v>910</v>
      </c>
      <c r="G389" s="98" t="b">
        <v>0</v>
      </c>
      <c r="H389" s="98" t="b">
        <v>0</v>
      </c>
      <c r="I389" s="98" t="b">
        <v>0</v>
      </c>
      <c r="J389" s="98" t="b">
        <v>0</v>
      </c>
      <c r="K389" s="98" t="b">
        <v>0</v>
      </c>
      <c r="L389" s="98" t="b">
        <v>0</v>
      </c>
    </row>
    <row r="390" spans="1:12" ht="15">
      <c r="A390" s="99" t="s">
        <v>2391</v>
      </c>
      <c r="B390" s="98" t="s">
        <v>2391</v>
      </c>
      <c r="C390" s="98">
        <v>3</v>
      </c>
      <c r="D390" s="111">
        <v>0.004536126790283264</v>
      </c>
      <c r="E390" s="111">
        <v>1.7757317762602307</v>
      </c>
      <c r="F390" s="98" t="s">
        <v>910</v>
      </c>
      <c r="G390" s="98" t="b">
        <v>0</v>
      </c>
      <c r="H390" s="98" t="b">
        <v>0</v>
      </c>
      <c r="I390" s="98" t="b">
        <v>0</v>
      </c>
      <c r="J390" s="98" t="b">
        <v>0</v>
      </c>
      <c r="K390" s="98" t="b">
        <v>0</v>
      </c>
      <c r="L390" s="98" t="b">
        <v>0</v>
      </c>
    </row>
    <row r="391" spans="1:12" ht="15">
      <c r="A391" s="99" t="s">
        <v>2391</v>
      </c>
      <c r="B391" s="98" t="s">
        <v>2422</v>
      </c>
      <c r="C391" s="98">
        <v>3</v>
      </c>
      <c r="D391" s="111">
        <v>0.004536126790283264</v>
      </c>
      <c r="E391" s="111">
        <v>2.076761771924212</v>
      </c>
      <c r="F391" s="98" t="s">
        <v>910</v>
      </c>
      <c r="G391" s="98" t="b">
        <v>0</v>
      </c>
      <c r="H391" s="98" t="b">
        <v>0</v>
      </c>
      <c r="I391" s="98" t="b">
        <v>0</v>
      </c>
      <c r="J391" s="98" t="b">
        <v>0</v>
      </c>
      <c r="K391" s="98" t="b">
        <v>0</v>
      </c>
      <c r="L391" s="98" t="b">
        <v>0</v>
      </c>
    </row>
    <row r="392" spans="1:12" ht="15">
      <c r="A392" s="99" t="s">
        <v>2422</v>
      </c>
      <c r="B392" s="98" t="s">
        <v>2423</v>
      </c>
      <c r="C392" s="98">
        <v>3</v>
      </c>
      <c r="D392" s="111">
        <v>0.004536126790283264</v>
      </c>
      <c r="E392" s="111">
        <v>2.377791767588193</v>
      </c>
      <c r="F392" s="98" t="s">
        <v>910</v>
      </c>
      <c r="G392" s="98" t="b">
        <v>0</v>
      </c>
      <c r="H392" s="98" t="b">
        <v>0</v>
      </c>
      <c r="I392" s="98" t="b">
        <v>0</v>
      </c>
      <c r="J392" s="98" t="b">
        <v>0</v>
      </c>
      <c r="K392" s="98" t="b">
        <v>0</v>
      </c>
      <c r="L392" s="98" t="b">
        <v>0</v>
      </c>
    </row>
    <row r="393" spans="1:12" ht="15">
      <c r="A393" s="99" t="s">
        <v>2423</v>
      </c>
      <c r="B393" s="98" t="s">
        <v>985</v>
      </c>
      <c r="C393" s="98">
        <v>3</v>
      </c>
      <c r="D393" s="111">
        <v>0.004536126790283264</v>
      </c>
      <c r="E393" s="111">
        <v>2.2528530309798933</v>
      </c>
      <c r="F393" s="98" t="s">
        <v>910</v>
      </c>
      <c r="G393" s="98" t="b">
        <v>0</v>
      </c>
      <c r="H393" s="98" t="b">
        <v>0</v>
      </c>
      <c r="I393" s="98" t="b">
        <v>0</v>
      </c>
      <c r="J393" s="98" t="b">
        <v>0</v>
      </c>
      <c r="K393" s="98" t="b">
        <v>0</v>
      </c>
      <c r="L393" s="98" t="b">
        <v>0</v>
      </c>
    </row>
    <row r="394" spans="1:12" ht="15">
      <c r="A394" s="99" t="s">
        <v>985</v>
      </c>
      <c r="B394" s="98" t="s">
        <v>2424</v>
      </c>
      <c r="C394" s="98">
        <v>3</v>
      </c>
      <c r="D394" s="111">
        <v>0.004536126790283264</v>
      </c>
      <c r="E394" s="111">
        <v>2.2528530309798933</v>
      </c>
      <c r="F394" s="98" t="s">
        <v>910</v>
      </c>
      <c r="G394" s="98" t="b">
        <v>0</v>
      </c>
      <c r="H394" s="98" t="b">
        <v>0</v>
      </c>
      <c r="I394" s="98" t="b">
        <v>0</v>
      </c>
      <c r="J394" s="98" t="b">
        <v>0</v>
      </c>
      <c r="K394" s="98" t="b">
        <v>0</v>
      </c>
      <c r="L394" s="98" t="b">
        <v>0</v>
      </c>
    </row>
    <row r="395" spans="1:12" ht="15">
      <c r="A395" s="99" t="s">
        <v>2424</v>
      </c>
      <c r="B395" s="98" t="s">
        <v>2425</v>
      </c>
      <c r="C395" s="98">
        <v>3</v>
      </c>
      <c r="D395" s="111">
        <v>0.004536126790283264</v>
      </c>
      <c r="E395" s="111">
        <v>2.377791767588193</v>
      </c>
      <c r="F395" s="98" t="s">
        <v>910</v>
      </c>
      <c r="G395" s="98" t="b">
        <v>0</v>
      </c>
      <c r="H395" s="98" t="b">
        <v>0</v>
      </c>
      <c r="I395" s="98" t="b">
        <v>0</v>
      </c>
      <c r="J395" s="98" t="b">
        <v>0</v>
      </c>
      <c r="K395" s="98" t="b">
        <v>0</v>
      </c>
      <c r="L395" s="98" t="b">
        <v>0</v>
      </c>
    </row>
    <row r="396" spans="1:12" ht="15">
      <c r="A396" s="99" t="s">
        <v>2425</v>
      </c>
      <c r="B396" s="98" t="s">
        <v>930</v>
      </c>
      <c r="C396" s="98">
        <v>3</v>
      </c>
      <c r="D396" s="111">
        <v>0.004536126790283264</v>
      </c>
      <c r="E396" s="111">
        <v>1.5124903414856494</v>
      </c>
      <c r="F396" s="98" t="s">
        <v>910</v>
      </c>
      <c r="G396" s="98" t="b">
        <v>0</v>
      </c>
      <c r="H396" s="98" t="b">
        <v>0</v>
      </c>
      <c r="I396" s="98" t="b">
        <v>0</v>
      </c>
      <c r="J396" s="98" t="b">
        <v>0</v>
      </c>
      <c r="K396" s="98" t="b">
        <v>0</v>
      </c>
      <c r="L396" s="98" t="b">
        <v>0</v>
      </c>
    </row>
    <row r="397" spans="1:12" ht="15">
      <c r="A397" s="99" t="s">
        <v>933</v>
      </c>
      <c r="B397" s="98" t="s">
        <v>2405</v>
      </c>
      <c r="C397" s="98">
        <v>3</v>
      </c>
      <c r="D397" s="111">
        <v>0.004536126790283264</v>
      </c>
      <c r="E397" s="111">
        <v>1.6788217632521742</v>
      </c>
      <c r="F397" s="98" t="s">
        <v>910</v>
      </c>
      <c r="G397" s="98" t="b">
        <v>0</v>
      </c>
      <c r="H397" s="98" t="b">
        <v>0</v>
      </c>
      <c r="I397" s="98" t="b">
        <v>0</v>
      </c>
      <c r="J397" s="98" t="b">
        <v>0</v>
      </c>
      <c r="K397" s="98" t="b">
        <v>0</v>
      </c>
      <c r="L397" s="98" t="b">
        <v>0</v>
      </c>
    </row>
    <row r="398" spans="1:12" ht="15">
      <c r="A398" s="99" t="s">
        <v>2405</v>
      </c>
      <c r="B398" s="98" t="s">
        <v>2426</v>
      </c>
      <c r="C398" s="98">
        <v>3</v>
      </c>
      <c r="D398" s="111">
        <v>0.004536126790283264</v>
      </c>
      <c r="E398" s="111">
        <v>2.377791767588193</v>
      </c>
      <c r="F398" s="98" t="s">
        <v>910</v>
      </c>
      <c r="G398" s="98" t="b">
        <v>0</v>
      </c>
      <c r="H398" s="98" t="b">
        <v>0</v>
      </c>
      <c r="I398" s="98" t="b">
        <v>0</v>
      </c>
      <c r="J398" s="98" t="b">
        <v>0</v>
      </c>
      <c r="K398" s="98" t="b">
        <v>0</v>
      </c>
      <c r="L398" s="98" t="b">
        <v>0</v>
      </c>
    </row>
    <row r="399" spans="1:12" ht="15">
      <c r="A399" s="99" t="s">
        <v>2426</v>
      </c>
      <c r="B399" s="98" t="s">
        <v>2427</v>
      </c>
      <c r="C399" s="98">
        <v>3</v>
      </c>
      <c r="D399" s="111">
        <v>0.004536126790283264</v>
      </c>
      <c r="E399" s="111">
        <v>2.377791767588193</v>
      </c>
      <c r="F399" s="98" t="s">
        <v>910</v>
      </c>
      <c r="G399" s="98" t="b">
        <v>0</v>
      </c>
      <c r="H399" s="98" t="b">
        <v>0</v>
      </c>
      <c r="I399" s="98" t="b">
        <v>0</v>
      </c>
      <c r="J399" s="98" t="b">
        <v>0</v>
      </c>
      <c r="K399" s="98" t="b">
        <v>0</v>
      </c>
      <c r="L399" s="98" t="b">
        <v>0</v>
      </c>
    </row>
    <row r="400" spans="1:12" ht="15">
      <c r="A400" s="99" t="s">
        <v>2427</v>
      </c>
      <c r="B400" s="98" t="s">
        <v>2428</v>
      </c>
      <c r="C400" s="98">
        <v>3</v>
      </c>
      <c r="D400" s="111">
        <v>0.004536126790283264</v>
      </c>
      <c r="E400" s="111">
        <v>2.377791767588193</v>
      </c>
      <c r="F400" s="98" t="s">
        <v>910</v>
      </c>
      <c r="G400" s="98" t="b">
        <v>0</v>
      </c>
      <c r="H400" s="98" t="b">
        <v>0</v>
      </c>
      <c r="I400" s="98" t="b">
        <v>0</v>
      </c>
      <c r="J400" s="98" t="b">
        <v>0</v>
      </c>
      <c r="K400" s="98" t="b">
        <v>0</v>
      </c>
      <c r="L400" s="98" t="b">
        <v>0</v>
      </c>
    </row>
    <row r="401" spans="1:12" ht="15">
      <c r="A401" s="99" t="s">
        <v>2428</v>
      </c>
      <c r="B401" s="98" t="s">
        <v>293</v>
      </c>
      <c r="C401" s="98">
        <v>3</v>
      </c>
      <c r="D401" s="111">
        <v>0.004536126790283264</v>
      </c>
      <c r="E401" s="111">
        <v>1.4747017805962495</v>
      </c>
      <c r="F401" s="98" t="s">
        <v>910</v>
      </c>
      <c r="G401" s="98" t="b">
        <v>0</v>
      </c>
      <c r="H401" s="98" t="b">
        <v>0</v>
      </c>
      <c r="I401" s="98" t="b">
        <v>0</v>
      </c>
      <c r="J401" s="98" t="b">
        <v>0</v>
      </c>
      <c r="K401" s="98" t="b">
        <v>0</v>
      </c>
      <c r="L401" s="98" t="b">
        <v>0</v>
      </c>
    </row>
    <row r="402" spans="1:12" ht="15">
      <c r="A402" s="99" t="s">
        <v>293</v>
      </c>
      <c r="B402" s="98" t="s">
        <v>1032</v>
      </c>
      <c r="C402" s="98">
        <v>3</v>
      </c>
      <c r="D402" s="111">
        <v>0.004536126790283264</v>
      </c>
      <c r="E402" s="111">
        <v>1.1559430179718369</v>
      </c>
      <c r="F402" s="98" t="s">
        <v>910</v>
      </c>
      <c r="G402" s="98" t="b">
        <v>0</v>
      </c>
      <c r="H402" s="98" t="b">
        <v>0</v>
      </c>
      <c r="I402" s="98" t="b">
        <v>0</v>
      </c>
      <c r="J402" s="98" t="b">
        <v>0</v>
      </c>
      <c r="K402" s="98" t="b">
        <v>0</v>
      </c>
      <c r="L402" s="98" t="b">
        <v>0</v>
      </c>
    </row>
    <row r="403" spans="1:12" ht="15">
      <c r="A403" s="99" t="s">
        <v>945</v>
      </c>
      <c r="B403" s="98" t="s">
        <v>966</v>
      </c>
      <c r="C403" s="98">
        <v>2</v>
      </c>
      <c r="D403" s="111">
        <v>0.0034887052631501826</v>
      </c>
      <c r="E403" s="111">
        <v>2.076761771924212</v>
      </c>
      <c r="F403" s="98" t="s">
        <v>910</v>
      </c>
      <c r="G403" s="98" t="b">
        <v>0</v>
      </c>
      <c r="H403" s="98" t="b">
        <v>0</v>
      </c>
      <c r="I403" s="98" t="b">
        <v>0</v>
      </c>
      <c r="J403" s="98" t="b">
        <v>0</v>
      </c>
      <c r="K403" s="98" t="b">
        <v>0</v>
      </c>
      <c r="L403" s="98" t="b">
        <v>0</v>
      </c>
    </row>
    <row r="404" spans="1:12" ht="15">
      <c r="A404" s="99" t="s">
        <v>959</v>
      </c>
      <c r="B404" s="98" t="s">
        <v>960</v>
      </c>
      <c r="C404" s="98">
        <v>2</v>
      </c>
      <c r="D404" s="111">
        <v>0.0034887052631501826</v>
      </c>
      <c r="E404" s="111">
        <v>2.5538830266438746</v>
      </c>
      <c r="F404" s="98" t="s">
        <v>910</v>
      </c>
      <c r="G404" s="98" t="b">
        <v>0</v>
      </c>
      <c r="H404" s="98" t="b">
        <v>0</v>
      </c>
      <c r="I404" s="98" t="b">
        <v>0</v>
      </c>
      <c r="J404" s="98" t="b">
        <v>0</v>
      </c>
      <c r="K404" s="98" t="b">
        <v>0</v>
      </c>
      <c r="L404" s="98" t="b">
        <v>0</v>
      </c>
    </row>
    <row r="405" spans="1:12" ht="15">
      <c r="A405" s="99" t="s">
        <v>960</v>
      </c>
      <c r="B405" s="98" t="s">
        <v>961</v>
      </c>
      <c r="C405" s="98">
        <v>2</v>
      </c>
      <c r="D405" s="111">
        <v>0.0034887052631501826</v>
      </c>
      <c r="E405" s="111">
        <v>2.5538830266438746</v>
      </c>
      <c r="F405" s="98" t="s">
        <v>910</v>
      </c>
      <c r="G405" s="98" t="b">
        <v>0</v>
      </c>
      <c r="H405" s="98" t="b">
        <v>0</v>
      </c>
      <c r="I405" s="98" t="b">
        <v>0</v>
      </c>
      <c r="J405" s="98" t="b">
        <v>0</v>
      </c>
      <c r="K405" s="98" t="b">
        <v>0</v>
      </c>
      <c r="L405" s="98" t="b">
        <v>0</v>
      </c>
    </row>
    <row r="406" spans="1:12" ht="15">
      <c r="A406" s="99" t="s">
        <v>961</v>
      </c>
      <c r="B406" s="98" t="s">
        <v>962</v>
      </c>
      <c r="C406" s="98">
        <v>2</v>
      </c>
      <c r="D406" s="111">
        <v>0.0034887052631501826</v>
      </c>
      <c r="E406" s="111">
        <v>2.5538830266438746</v>
      </c>
      <c r="F406" s="98" t="s">
        <v>910</v>
      </c>
      <c r="G406" s="98" t="b">
        <v>0</v>
      </c>
      <c r="H406" s="98" t="b">
        <v>0</v>
      </c>
      <c r="I406" s="98" t="b">
        <v>0</v>
      </c>
      <c r="J406" s="98" t="b">
        <v>0</v>
      </c>
      <c r="K406" s="98" t="b">
        <v>0</v>
      </c>
      <c r="L406" s="98" t="b">
        <v>0</v>
      </c>
    </row>
    <row r="407" spans="1:12" ht="15">
      <c r="A407" s="99" t="s">
        <v>962</v>
      </c>
      <c r="B407" s="98" t="s">
        <v>963</v>
      </c>
      <c r="C407" s="98">
        <v>2</v>
      </c>
      <c r="D407" s="111">
        <v>0.0034887052631501826</v>
      </c>
      <c r="E407" s="111">
        <v>2.5538830266438746</v>
      </c>
      <c r="F407" s="98" t="s">
        <v>910</v>
      </c>
      <c r="G407" s="98" t="b">
        <v>0</v>
      </c>
      <c r="H407" s="98" t="b">
        <v>0</v>
      </c>
      <c r="I407" s="98" t="b">
        <v>0</v>
      </c>
      <c r="J407" s="98" t="b">
        <v>0</v>
      </c>
      <c r="K407" s="98" t="b">
        <v>0</v>
      </c>
      <c r="L407" s="98" t="b">
        <v>0</v>
      </c>
    </row>
    <row r="408" spans="1:12" ht="15">
      <c r="A408" s="99" t="s">
        <v>963</v>
      </c>
      <c r="B408" s="98" t="s">
        <v>964</v>
      </c>
      <c r="C408" s="98">
        <v>2</v>
      </c>
      <c r="D408" s="111">
        <v>0.0034887052631501826</v>
      </c>
      <c r="E408" s="111">
        <v>2.5538830266438746</v>
      </c>
      <c r="F408" s="98" t="s">
        <v>910</v>
      </c>
      <c r="G408" s="98" t="b">
        <v>0</v>
      </c>
      <c r="H408" s="98" t="b">
        <v>0</v>
      </c>
      <c r="I408" s="98" t="b">
        <v>0</v>
      </c>
      <c r="J408" s="98" t="b">
        <v>0</v>
      </c>
      <c r="K408" s="98" t="b">
        <v>0</v>
      </c>
      <c r="L408" s="98" t="b">
        <v>0</v>
      </c>
    </row>
    <row r="409" spans="1:12" ht="15">
      <c r="A409" s="99" t="s">
        <v>964</v>
      </c>
      <c r="B409" s="98" t="s">
        <v>930</v>
      </c>
      <c r="C409" s="98">
        <v>2</v>
      </c>
      <c r="D409" s="111">
        <v>0.0034887052631501826</v>
      </c>
      <c r="E409" s="111">
        <v>1.5124903414856494</v>
      </c>
      <c r="F409" s="98" t="s">
        <v>910</v>
      </c>
      <c r="G409" s="98" t="b">
        <v>0</v>
      </c>
      <c r="H409" s="98" t="b">
        <v>0</v>
      </c>
      <c r="I409" s="98" t="b">
        <v>0</v>
      </c>
      <c r="J409" s="98" t="b">
        <v>0</v>
      </c>
      <c r="K409" s="98" t="b">
        <v>0</v>
      </c>
      <c r="L409" s="98" t="b">
        <v>0</v>
      </c>
    </row>
    <row r="410" spans="1:12" ht="15">
      <c r="A410" s="99" t="s">
        <v>930</v>
      </c>
      <c r="B410" s="98" t="s">
        <v>1024</v>
      </c>
      <c r="C410" s="98">
        <v>2</v>
      </c>
      <c r="D410" s="111">
        <v>0.0034887052631501826</v>
      </c>
      <c r="E410" s="111">
        <v>1.4931851862902628</v>
      </c>
      <c r="F410" s="98" t="s">
        <v>910</v>
      </c>
      <c r="G410" s="98" t="b">
        <v>0</v>
      </c>
      <c r="H410" s="98" t="b">
        <v>0</v>
      </c>
      <c r="I410" s="98" t="b">
        <v>0</v>
      </c>
      <c r="J410" s="98" t="b">
        <v>0</v>
      </c>
      <c r="K410" s="98" t="b">
        <v>0</v>
      </c>
      <c r="L410" s="98" t="b">
        <v>0</v>
      </c>
    </row>
    <row r="411" spans="1:12" ht="15">
      <c r="A411" s="99" t="s">
        <v>1024</v>
      </c>
      <c r="B411" s="98" t="s">
        <v>1025</v>
      </c>
      <c r="C411" s="98">
        <v>2</v>
      </c>
      <c r="D411" s="111">
        <v>0.0034887052631501826</v>
      </c>
      <c r="E411" s="111">
        <v>2.5538830266438746</v>
      </c>
      <c r="F411" s="98" t="s">
        <v>910</v>
      </c>
      <c r="G411" s="98" t="b">
        <v>0</v>
      </c>
      <c r="H411" s="98" t="b">
        <v>0</v>
      </c>
      <c r="I411" s="98" t="b">
        <v>0</v>
      </c>
      <c r="J411" s="98" t="b">
        <v>0</v>
      </c>
      <c r="K411" s="98" t="b">
        <v>0</v>
      </c>
      <c r="L411" s="98" t="b">
        <v>0</v>
      </c>
    </row>
    <row r="412" spans="1:12" ht="15">
      <c r="A412" s="99" t="s">
        <v>1025</v>
      </c>
      <c r="B412" s="98" t="s">
        <v>1026</v>
      </c>
      <c r="C412" s="98">
        <v>2</v>
      </c>
      <c r="D412" s="111">
        <v>0.0034887052631501826</v>
      </c>
      <c r="E412" s="111">
        <v>2.5538830266438746</v>
      </c>
      <c r="F412" s="98" t="s">
        <v>910</v>
      </c>
      <c r="G412" s="98" t="b">
        <v>0</v>
      </c>
      <c r="H412" s="98" t="b">
        <v>0</v>
      </c>
      <c r="I412" s="98" t="b">
        <v>0</v>
      </c>
      <c r="J412" s="98" t="b">
        <v>0</v>
      </c>
      <c r="K412" s="98" t="b">
        <v>0</v>
      </c>
      <c r="L412" s="98" t="b">
        <v>0</v>
      </c>
    </row>
    <row r="413" spans="1:12" ht="15">
      <c r="A413" s="99" t="s">
        <v>1026</v>
      </c>
      <c r="B413" s="98" t="s">
        <v>1027</v>
      </c>
      <c r="C413" s="98">
        <v>2</v>
      </c>
      <c r="D413" s="111">
        <v>0.0034887052631501826</v>
      </c>
      <c r="E413" s="111">
        <v>2.377791767588193</v>
      </c>
      <c r="F413" s="98" t="s">
        <v>910</v>
      </c>
      <c r="G413" s="98" t="b">
        <v>0</v>
      </c>
      <c r="H413" s="98" t="b">
        <v>0</v>
      </c>
      <c r="I413" s="98" t="b">
        <v>0</v>
      </c>
      <c r="J413" s="98" t="b">
        <v>0</v>
      </c>
      <c r="K413" s="98" t="b">
        <v>0</v>
      </c>
      <c r="L413" s="98" t="b">
        <v>0</v>
      </c>
    </row>
    <row r="414" spans="1:12" ht="15">
      <c r="A414" s="99" t="s">
        <v>1027</v>
      </c>
      <c r="B414" s="98" t="s">
        <v>1028</v>
      </c>
      <c r="C414" s="98">
        <v>2</v>
      </c>
      <c r="D414" s="111">
        <v>0.0034887052631501826</v>
      </c>
      <c r="E414" s="111">
        <v>2.377791767588193</v>
      </c>
      <c r="F414" s="98" t="s">
        <v>910</v>
      </c>
      <c r="G414" s="98" t="b">
        <v>0</v>
      </c>
      <c r="H414" s="98" t="b">
        <v>0</v>
      </c>
      <c r="I414" s="98" t="b">
        <v>0</v>
      </c>
      <c r="J414" s="98" t="b">
        <v>0</v>
      </c>
      <c r="K414" s="98" t="b">
        <v>0</v>
      </c>
      <c r="L414" s="98" t="b">
        <v>0</v>
      </c>
    </row>
    <row r="415" spans="1:12" ht="15">
      <c r="A415" s="99" t="s">
        <v>1028</v>
      </c>
      <c r="B415" s="98" t="s">
        <v>949</v>
      </c>
      <c r="C415" s="98">
        <v>2</v>
      </c>
      <c r="D415" s="111">
        <v>0.0034887052631501826</v>
      </c>
      <c r="E415" s="111">
        <v>1.8549130223078556</v>
      </c>
      <c r="F415" s="98" t="s">
        <v>910</v>
      </c>
      <c r="G415" s="98" t="b">
        <v>0</v>
      </c>
      <c r="H415" s="98" t="b">
        <v>0</v>
      </c>
      <c r="I415" s="98" t="b">
        <v>0</v>
      </c>
      <c r="J415" s="98" t="b">
        <v>0</v>
      </c>
      <c r="K415" s="98" t="b">
        <v>0</v>
      </c>
      <c r="L415" s="98" t="b">
        <v>0</v>
      </c>
    </row>
    <row r="416" spans="1:12" ht="15">
      <c r="A416" s="99" t="s">
        <v>949</v>
      </c>
      <c r="B416" s="98" t="s">
        <v>1029</v>
      </c>
      <c r="C416" s="98">
        <v>2</v>
      </c>
      <c r="D416" s="111">
        <v>0.0034887052631501826</v>
      </c>
      <c r="E416" s="111">
        <v>1.8549130223078556</v>
      </c>
      <c r="F416" s="98" t="s">
        <v>910</v>
      </c>
      <c r="G416" s="98" t="b">
        <v>0</v>
      </c>
      <c r="H416" s="98" t="b">
        <v>0</v>
      </c>
      <c r="I416" s="98" t="b">
        <v>0</v>
      </c>
      <c r="J416" s="98" t="b">
        <v>0</v>
      </c>
      <c r="K416" s="98" t="b">
        <v>0</v>
      </c>
      <c r="L416" s="98" t="b">
        <v>0</v>
      </c>
    </row>
    <row r="417" spans="1:12" ht="15">
      <c r="A417" s="99" t="s">
        <v>1029</v>
      </c>
      <c r="B417" s="98" t="s">
        <v>1030</v>
      </c>
      <c r="C417" s="98">
        <v>2</v>
      </c>
      <c r="D417" s="111">
        <v>0.0034887052631501826</v>
      </c>
      <c r="E417" s="111">
        <v>2.5538830266438746</v>
      </c>
      <c r="F417" s="98" t="s">
        <v>910</v>
      </c>
      <c r="G417" s="98" t="b">
        <v>0</v>
      </c>
      <c r="H417" s="98" t="b">
        <v>0</v>
      </c>
      <c r="I417" s="98" t="b">
        <v>0</v>
      </c>
      <c r="J417" s="98" t="b">
        <v>0</v>
      </c>
      <c r="K417" s="98" t="b">
        <v>0</v>
      </c>
      <c r="L417" s="98" t="b">
        <v>0</v>
      </c>
    </row>
    <row r="418" spans="1:12" ht="15">
      <c r="A418" s="99" t="s">
        <v>1030</v>
      </c>
      <c r="B418" s="98" t="s">
        <v>1031</v>
      </c>
      <c r="C418" s="98">
        <v>2</v>
      </c>
      <c r="D418" s="111">
        <v>0.0034887052631501826</v>
      </c>
      <c r="E418" s="111">
        <v>2.5538830266438746</v>
      </c>
      <c r="F418" s="98" t="s">
        <v>910</v>
      </c>
      <c r="G418" s="98" t="b">
        <v>0</v>
      </c>
      <c r="H418" s="98" t="b">
        <v>0</v>
      </c>
      <c r="I418" s="98" t="b">
        <v>0</v>
      </c>
      <c r="J418" s="98" t="b">
        <v>0</v>
      </c>
      <c r="K418" s="98" t="b">
        <v>0</v>
      </c>
      <c r="L418" s="98" t="b">
        <v>0</v>
      </c>
    </row>
    <row r="419" spans="1:12" ht="15">
      <c r="A419" s="99" t="s">
        <v>1031</v>
      </c>
      <c r="B419" s="98" t="s">
        <v>932</v>
      </c>
      <c r="C419" s="98">
        <v>2</v>
      </c>
      <c r="D419" s="111">
        <v>0.0034887052631501826</v>
      </c>
      <c r="E419" s="111">
        <v>1.5761594213550267</v>
      </c>
      <c r="F419" s="98" t="s">
        <v>910</v>
      </c>
      <c r="G419" s="98" t="b">
        <v>0</v>
      </c>
      <c r="H419" s="98" t="b">
        <v>0</v>
      </c>
      <c r="I419" s="98" t="b">
        <v>0</v>
      </c>
      <c r="J419" s="98" t="b">
        <v>0</v>
      </c>
      <c r="K419" s="98" t="b">
        <v>0</v>
      </c>
      <c r="L419" s="98" t="b">
        <v>0</v>
      </c>
    </row>
    <row r="420" spans="1:12" ht="15">
      <c r="A420" s="99" t="s">
        <v>932</v>
      </c>
      <c r="B420" s="98" t="s">
        <v>1032</v>
      </c>
      <c r="C420" s="98">
        <v>2</v>
      </c>
      <c r="D420" s="111">
        <v>0.0034887052631501826</v>
      </c>
      <c r="E420" s="111">
        <v>1.2528530309798933</v>
      </c>
      <c r="F420" s="98" t="s">
        <v>910</v>
      </c>
      <c r="G420" s="98" t="b">
        <v>0</v>
      </c>
      <c r="H420" s="98" t="b">
        <v>0</v>
      </c>
      <c r="I420" s="98" t="b">
        <v>0</v>
      </c>
      <c r="J420" s="98" t="b">
        <v>0</v>
      </c>
      <c r="K420" s="98" t="b">
        <v>0</v>
      </c>
      <c r="L420" s="98" t="b">
        <v>0</v>
      </c>
    </row>
    <row r="421" spans="1:12" ht="15">
      <c r="A421" s="99" t="s">
        <v>293</v>
      </c>
      <c r="B421" s="98" t="s">
        <v>935</v>
      </c>
      <c r="C421" s="98">
        <v>2</v>
      </c>
      <c r="D421" s="111">
        <v>0.0034887052631501826</v>
      </c>
      <c r="E421" s="111">
        <v>0.5996405172045495</v>
      </c>
      <c r="F421" s="98" t="s">
        <v>910</v>
      </c>
      <c r="G421" s="98" t="b">
        <v>0</v>
      </c>
      <c r="H421" s="98" t="b">
        <v>0</v>
      </c>
      <c r="I421" s="98" t="b">
        <v>0</v>
      </c>
      <c r="J421" s="98" t="b">
        <v>0</v>
      </c>
      <c r="K421" s="98" t="b">
        <v>0</v>
      </c>
      <c r="L421" s="98" t="b">
        <v>0</v>
      </c>
    </row>
    <row r="422" spans="1:12" ht="15">
      <c r="A422" s="99" t="s">
        <v>935</v>
      </c>
      <c r="B422" s="98" t="s">
        <v>1008</v>
      </c>
      <c r="C422" s="98">
        <v>2</v>
      </c>
      <c r="D422" s="111">
        <v>0.0034887052631501826</v>
      </c>
      <c r="E422" s="111">
        <v>1.7757317762602307</v>
      </c>
      <c r="F422" s="98" t="s">
        <v>910</v>
      </c>
      <c r="G422" s="98" t="b">
        <v>0</v>
      </c>
      <c r="H422" s="98" t="b">
        <v>0</v>
      </c>
      <c r="I422" s="98" t="b">
        <v>0</v>
      </c>
      <c r="J422" s="98" t="b">
        <v>0</v>
      </c>
      <c r="K422" s="98" t="b">
        <v>0</v>
      </c>
      <c r="L422" s="98" t="b">
        <v>0</v>
      </c>
    </row>
    <row r="423" spans="1:12" ht="15">
      <c r="A423" s="99" t="s">
        <v>1008</v>
      </c>
      <c r="B423" s="98" t="s">
        <v>1009</v>
      </c>
      <c r="C423" s="98">
        <v>2</v>
      </c>
      <c r="D423" s="111">
        <v>0.0034887052631501826</v>
      </c>
      <c r="E423" s="111">
        <v>2.5538830266438746</v>
      </c>
      <c r="F423" s="98" t="s">
        <v>910</v>
      </c>
      <c r="G423" s="98" t="b">
        <v>0</v>
      </c>
      <c r="H423" s="98" t="b">
        <v>0</v>
      </c>
      <c r="I423" s="98" t="b">
        <v>0</v>
      </c>
      <c r="J423" s="98" t="b">
        <v>0</v>
      </c>
      <c r="K423" s="98" t="b">
        <v>0</v>
      </c>
      <c r="L423" s="98" t="b">
        <v>0</v>
      </c>
    </row>
    <row r="424" spans="1:12" ht="15">
      <c r="A424" s="99" t="s">
        <v>1009</v>
      </c>
      <c r="B424" s="98" t="s">
        <v>1010</v>
      </c>
      <c r="C424" s="98">
        <v>2</v>
      </c>
      <c r="D424" s="111">
        <v>0.0034887052631501826</v>
      </c>
      <c r="E424" s="111">
        <v>2.5538830266438746</v>
      </c>
      <c r="F424" s="98" t="s">
        <v>910</v>
      </c>
      <c r="G424" s="98" t="b">
        <v>0</v>
      </c>
      <c r="H424" s="98" t="b">
        <v>0</v>
      </c>
      <c r="I424" s="98" t="b">
        <v>0</v>
      </c>
      <c r="J424" s="98" t="b">
        <v>0</v>
      </c>
      <c r="K424" s="98" t="b">
        <v>0</v>
      </c>
      <c r="L424" s="98" t="b">
        <v>0</v>
      </c>
    </row>
    <row r="425" spans="1:12" ht="15">
      <c r="A425" s="99" t="s">
        <v>1010</v>
      </c>
      <c r="B425" s="98" t="s">
        <v>1011</v>
      </c>
      <c r="C425" s="98">
        <v>2</v>
      </c>
      <c r="D425" s="111">
        <v>0.0034887052631501826</v>
      </c>
      <c r="E425" s="111">
        <v>2.5538830266438746</v>
      </c>
      <c r="F425" s="98" t="s">
        <v>910</v>
      </c>
      <c r="G425" s="98" t="b">
        <v>0</v>
      </c>
      <c r="H425" s="98" t="b">
        <v>0</v>
      </c>
      <c r="I425" s="98" t="b">
        <v>0</v>
      </c>
      <c r="J425" s="98" t="b">
        <v>0</v>
      </c>
      <c r="K425" s="98" t="b">
        <v>0</v>
      </c>
      <c r="L425" s="98" t="b">
        <v>0</v>
      </c>
    </row>
    <row r="426" spans="1:12" ht="15">
      <c r="A426" s="99" t="s">
        <v>1011</v>
      </c>
      <c r="B426" s="98" t="s">
        <v>1012</v>
      </c>
      <c r="C426" s="98">
        <v>2</v>
      </c>
      <c r="D426" s="111">
        <v>0.0034887052631501826</v>
      </c>
      <c r="E426" s="111">
        <v>2.5538830266438746</v>
      </c>
      <c r="F426" s="98" t="s">
        <v>910</v>
      </c>
      <c r="G426" s="98" t="b">
        <v>0</v>
      </c>
      <c r="H426" s="98" t="b">
        <v>0</v>
      </c>
      <c r="I426" s="98" t="b">
        <v>0</v>
      </c>
      <c r="J426" s="98" t="b">
        <v>0</v>
      </c>
      <c r="K426" s="98" t="b">
        <v>0</v>
      </c>
      <c r="L426" s="98" t="b">
        <v>0</v>
      </c>
    </row>
    <row r="427" spans="1:12" ht="15">
      <c r="A427" s="99" t="s">
        <v>1012</v>
      </c>
      <c r="B427" s="98" t="s">
        <v>1013</v>
      </c>
      <c r="C427" s="98">
        <v>2</v>
      </c>
      <c r="D427" s="111">
        <v>0.0034887052631501826</v>
      </c>
      <c r="E427" s="111">
        <v>2.5538830266438746</v>
      </c>
      <c r="F427" s="98" t="s">
        <v>910</v>
      </c>
      <c r="G427" s="98" t="b">
        <v>0</v>
      </c>
      <c r="H427" s="98" t="b">
        <v>0</v>
      </c>
      <c r="I427" s="98" t="b">
        <v>0</v>
      </c>
      <c r="J427" s="98" t="b">
        <v>0</v>
      </c>
      <c r="K427" s="98" t="b">
        <v>0</v>
      </c>
      <c r="L427" s="98" t="b">
        <v>0</v>
      </c>
    </row>
    <row r="428" spans="1:12" ht="15">
      <c r="A428" s="99" t="s">
        <v>1013</v>
      </c>
      <c r="B428" s="98" t="s">
        <v>1014</v>
      </c>
      <c r="C428" s="98">
        <v>2</v>
      </c>
      <c r="D428" s="111">
        <v>0.0034887052631501826</v>
      </c>
      <c r="E428" s="111">
        <v>2.5538830266438746</v>
      </c>
      <c r="F428" s="98" t="s">
        <v>910</v>
      </c>
      <c r="G428" s="98" t="b">
        <v>0</v>
      </c>
      <c r="H428" s="98" t="b">
        <v>0</v>
      </c>
      <c r="I428" s="98" t="b">
        <v>0</v>
      </c>
      <c r="J428" s="98" t="b">
        <v>0</v>
      </c>
      <c r="K428" s="98" t="b">
        <v>0</v>
      </c>
      <c r="L428" s="98" t="b">
        <v>0</v>
      </c>
    </row>
    <row r="429" spans="1:12" ht="15">
      <c r="A429" s="99" t="s">
        <v>1014</v>
      </c>
      <c r="B429" s="98" t="s">
        <v>979</v>
      </c>
      <c r="C429" s="98">
        <v>2</v>
      </c>
      <c r="D429" s="111">
        <v>0.0034887052631501826</v>
      </c>
      <c r="E429" s="111">
        <v>2.2528530309798933</v>
      </c>
      <c r="F429" s="98" t="s">
        <v>910</v>
      </c>
      <c r="G429" s="98" t="b">
        <v>0</v>
      </c>
      <c r="H429" s="98" t="b">
        <v>0</v>
      </c>
      <c r="I429" s="98" t="b">
        <v>0</v>
      </c>
      <c r="J429" s="98" t="b">
        <v>0</v>
      </c>
      <c r="K429" s="98" t="b">
        <v>0</v>
      </c>
      <c r="L429" s="98" t="b">
        <v>0</v>
      </c>
    </row>
    <row r="430" spans="1:12" ht="15">
      <c r="A430" s="99" t="s">
        <v>979</v>
      </c>
      <c r="B430" s="98" t="s">
        <v>1015</v>
      </c>
      <c r="C430" s="98">
        <v>2</v>
      </c>
      <c r="D430" s="111">
        <v>0.0034887052631501826</v>
      </c>
      <c r="E430" s="111">
        <v>2.2528530309798933</v>
      </c>
      <c r="F430" s="98" t="s">
        <v>910</v>
      </c>
      <c r="G430" s="98" t="b">
        <v>0</v>
      </c>
      <c r="H430" s="98" t="b">
        <v>0</v>
      </c>
      <c r="I430" s="98" t="b">
        <v>0</v>
      </c>
      <c r="J430" s="98" t="b">
        <v>0</v>
      </c>
      <c r="K430" s="98" t="b">
        <v>0</v>
      </c>
      <c r="L430" s="98" t="b">
        <v>0</v>
      </c>
    </row>
    <row r="431" spans="1:12" ht="15">
      <c r="A431" s="99" t="s">
        <v>1015</v>
      </c>
      <c r="B431" s="98" t="s">
        <v>979</v>
      </c>
      <c r="C431" s="98">
        <v>2</v>
      </c>
      <c r="D431" s="111">
        <v>0.0034887052631501826</v>
      </c>
      <c r="E431" s="111">
        <v>2.2528530309798933</v>
      </c>
      <c r="F431" s="98" t="s">
        <v>910</v>
      </c>
      <c r="G431" s="98" t="b">
        <v>0</v>
      </c>
      <c r="H431" s="98" t="b">
        <v>0</v>
      </c>
      <c r="I431" s="98" t="b">
        <v>0</v>
      </c>
      <c r="J431" s="98" t="b">
        <v>0</v>
      </c>
      <c r="K431" s="98" t="b">
        <v>0</v>
      </c>
      <c r="L431" s="98" t="b">
        <v>0</v>
      </c>
    </row>
    <row r="432" spans="1:12" ht="15">
      <c r="A432" s="99" t="s">
        <v>979</v>
      </c>
      <c r="B432" s="98" t="s">
        <v>986</v>
      </c>
      <c r="C432" s="98">
        <v>2</v>
      </c>
      <c r="D432" s="111">
        <v>0.0034887052631501826</v>
      </c>
      <c r="E432" s="111">
        <v>2.2528530309798933</v>
      </c>
      <c r="F432" s="98" t="s">
        <v>910</v>
      </c>
      <c r="G432" s="98" t="b">
        <v>0</v>
      </c>
      <c r="H432" s="98" t="b">
        <v>0</v>
      </c>
      <c r="I432" s="98" t="b">
        <v>0</v>
      </c>
      <c r="J432" s="98" t="b">
        <v>0</v>
      </c>
      <c r="K432" s="98" t="b">
        <v>0</v>
      </c>
      <c r="L432" s="98" t="b">
        <v>0</v>
      </c>
    </row>
    <row r="433" spans="1:12" ht="15">
      <c r="A433" s="99" t="s">
        <v>986</v>
      </c>
      <c r="B433" s="98" t="s">
        <v>1016</v>
      </c>
      <c r="C433" s="98">
        <v>2</v>
      </c>
      <c r="D433" s="111">
        <v>0.0034887052631501826</v>
      </c>
      <c r="E433" s="111">
        <v>2.5538830266438746</v>
      </c>
      <c r="F433" s="98" t="s">
        <v>910</v>
      </c>
      <c r="G433" s="98" t="b">
        <v>0</v>
      </c>
      <c r="H433" s="98" t="b">
        <v>0</v>
      </c>
      <c r="I433" s="98" t="b">
        <v>0</v>
      </c>
      <c r="J433" s="98" t="b">
        <v>0</v>
      </c>
      <c r="K433" s="98" t="b">
        <v>0</v>
      </c>
      <c r="L433" s="98" t="b">
        <v>0</v>
      </c>
    </row>
    <row r="434" spans="1:12" ht="15">
      <c r="A434" s="99" t="s">
        <v>1016</v>
      </c>
      <c r="B434" s="98" t="s">
        <v>944</v>
      </c>
      <c r="C434" s="98">
        <v>2</v>
      </c>
      <c r="D434" s="111">
        <v>0.0034887052631501826</v>
      </c>
      <c r="E434" s="111">
        <v>1.9006705128685306</v>
      </c>
      <c r="F434" s="98" t="s">
        <v>910</v>
      </c>
      <c r="G434" s="98" t="b">
        <v>0</v>
      </c>
      <c r="H434" s="98" t="b">
        <v>0</v>
      </c>
      <c r="I434" s="98" t="b">
        <v>0</v>
      </c>
      <c r="J434" s="98" t="b">
        <v>0</v>
      </c>
      <c r="K434" s="98" t="b">
        <v>0</v>
      </c>
      <c r="L434" s="98" t="b">
        <v>0</v>
      </c>
    </row>
    <row r="435" spans="1:12" ht="15">
      <c r="A435" s="99" t="s">
        <v>944</v>
      </c>
      <c r="B435" s="98" t="s">
        <v>1017</v>
      </c>
      <c r="C435" s="98">
        <v>2</v>
      </c>
      <c r="D435" s="111">
        <v>0.0034887052631501826</v>
      </c>
      <c r="E435" s="111">
        <v>1.9006705128685306</v>
      </c>
      <c r="F435" s="98" t="s">
        <v>910</v>
      </c>
      <c r="G435" s="98" t="b">
        <v>0</v>
      </c>
      <c r="H435" s="98" t="b">
        <v>0</v>
      </c>
      <c r="I435" s="98" t="b">
        <v>0</v>
      </c>
      <c r="J435" s="98" t="b">
        <v>0</v>
      </c>
      <c r="K435" s="98" t="b">
        <v>0</v>
      </c>
      <c r="L435" s="98" t="b">
        <v>0</v>
      </c>
    </row>
    <row r="436" spans="1:12" ht="15">
      <c r="A436" s="99" t="s">
        <v>1017</v>
      </c>
      <c r="B436" s="98" t="s">
        <v>293</v>
      </c>
      <c r="C436" s="98">
        <v>2</v>
      </c>
      <c r="D436" s="111">
        <v>0.0034887052631501826</v>
      </c>
      <c r="E436" s="111">
        <v>1.4747017805962497</v>
      </c>
      <c r="F436" s="98" t="s">
        <v>910</v>
      </c>
      <c r="G436" s="98" t="b">
        <v>0</v>
      </c>
      <c r="H436" s="98" t="b">
        <v>0</v>
      </c>
      <c r="I436" s="98" t="b">
        <v>0</v>
      </c>
      <c r="J436" s="98" t="b">
        <v>0</v>
      </c>
      <c r="K436" s="98" t="b">
        <v>0</v>
      </c>
      <c r="L436" s="98" t="b">
        <v>0</v>
      </c>
    </row>
    <row r="437" spans="1:12" ht="15">
      <c r="A437" s="99" t="s">
        <v>299</v>
      </c>
      <c r="B437" s="98" t="s">
        <v>302</v>
      </c>
      <c r="C437" s="98">
        <v>2</v>
      </c>
      <c r="D437" s="111">
        <v>0.0034887052631501826</v>
      </c>
      <c r="E437" s="111">
        <v>1.247457999093187</v>
      </c>
      <c r="F437" s="98" t="s">
        <v>910</v>
      </c>
      <c r="G437" s="98" t="b">
        <v>0</v>
      </c>
      <c r="H437" s="98" t="b">
        <v>0</v>
      </c>
      <c r="I437" s="98" t="b">
        <v>0</v>
      </c>
      <c r="J437" s="98" t="b">
        <v>0</v>
      </c>
      <c r="K437" s="98" t="b">
        <v>0</v>
      </c>
      <c r="L437" s="98" t="b">
        <v>0</v>
      </c>
    </row>
    <row r="438" spans="1:12" ht="15">
      <c r="A438" s="99" t="s">
        <v>302</v>
      </c>
      <c r="B438" s="98" t="s">
        <v>304</v>
      </c>
      <c r="C438" s="98">
        <v>2</v>
      </c>
      <c r="D438" s="111">
        <v>0.0034887052631501826</v>
      </c>
      <c r="E438" s="111">
        <v>1.9006705128685306</v>
      </c>
      <c r="F438" s="98" t="s">
        <v>910</v>
      </c>
      <c r="G438" s="98" t="b">
        <v>0</v>
      </c>
      <c r="H438" s="98" t="b">
        <v>0</v>
      </c>
      <c r="I438" s="98" t="b">
        <v>0</v>
      </c>
      <c r="J438" s="98" t="b">
        <v>0</v>
      </c>
      <c r="K438" s="98" t="b">
        <v>0</v>
      </c>
      <c r="L438" s="98" t="b">
        <v>0</v>
      </c>
    </row>
    <row r="439" spans="1:12" ht="15">
      <c r="A439" s="99" t="s">
        <v>304</v>
      </c>
      <c r="B439" s="98" t="s">
        <v>932</v>
      </c>
      <c r="C439" s="98">
        <v>2</v>
      </c>
      <c r="D439" s="111">
        <v>0.0034887052631501826</v>
      </c>
      <c r="E439" s="111">
        <v>1.5761594213550267</v>
      </c>
      <c r="F439" s="98" t="s">
        <v>910</v>
      </c>
      <c r="G439" s="98" t="b">
        <v>0</v>
      </c>
      <c r="H439" s="98" t="b">
        <v>0</v>
      </c>
      <c r="I439" s="98" t="b">
        <v>0</v>
      </c>
      <c r="J439" s="98" t="b">
        <v>0</v>
      </c>
      <c r="K439" s="98" t="b">
        <v>0</v>
      </c>
      <c r="L439" s="98" t="b">
        <v>0</v>
      </c>
    </row>
    <row r="440" spans="1:12" ht="15">
      <c r="A440" s="99" t="s">
        <v>932</v>
      </c>
      <c r="B440" s="98" t="s">
        <v>1018</v>
      </c>
      <c r="C440" s="98">
        <v>2</v>
      </c>
      <c r="D440" s="111">
        <v>0.0034887052631501826</v>
      </c>
      <c r="E440" s="111">
        <v>1.6507930396519308</v>
      </c>
      <c r="F440" s="98" t="s">
        <v>910</v>
      </c>
      <c r="G440" s="98" t="b">
        <v>0</v>
      </c>
      <c r="H440" s="98" t="b">
        <v>0</v>
      </c>
      <c r="I440" s="98" t="b">
        <v>0</v>
      </c>
      <c r="J440" s="98" t="b">
        <v>0</v>
      </c>
      <c r="K440" s="98" t="b">
        <v>0</v>
      </c>
      <c r="L440" s="98" t="b">
        <v>0</v>
      </c>
    </row>
    <row r="441" spans="1:12" ht="15">
      <c r="A441" s="99" t="s">
        <v>930</v>
      </c>
      <c r="B441" s="98" t="s">
        <v>933</v>
      </c>
      <c r="C441" s="98">
        <v>11</v>
      </c>
      <c r="D441" s="111">
        <v>0.010713547825620182</v>
      </c>
      <c r="E441" s="111">
        <v>1.4205974502156506</v>
      </c>
      <c r="F441" s="98" t="s">
        <v>911</v>
      </c>
      <c r="G441" s="98" t="b">
        <v>0</v>
      </c>
      <c r="H441" s="98" t="b">
        <v>0</v>
      </c>
      <c r="I441" s="98" t="b">
        <v>0</v>
      </c>
      <c r="J441" s="98" t="b">
        <v>0</v>
      </c>
      <c r="K441" s="98" t="b">
        <v>0</v>
      </c>
      <c r="L441" s="98" t="b">
        <v>0</v>
      </c>
    </row>
    <row r="442" spans="1:12" ht="15">
      <c r="A442" s="99" t="s">
        <v>996</v>
      </c>
      <c r="B442" s="98" t="s">
        <v>997</v>
      </c>
      <c r="C442" s="98">
        <v>7</v>
      </c>
      <c r="D442" s="111">
        <v>0.009791873542727514</v>
      </c>
      <c r="E442" s="111">
        <v>1.7893792301464748</v>
      </c>
      <c r="F442" s="98" t="s">
        <v>911</v>
      </c>
      <c r="G442" s="98" t="b">
        <v>0</v>
      </c>
      <c r="H442" s="98" t="b">
        <v>0</v>
      </c>
      <c r="I442" s="98" t="b">
        <v>0</v>
      </c>
      <c r="J442" s="98" t="b">
        <v>0</v>
      </c>
      <c r="K442" s="98" t="b">
        <v>0</v>
      </c>
      <c r="L442" s="98" t="b">
        <v>0</v>
      </c>
    </row>
    <row r="443" spans="1:12" ht="15">
      <c r="A443" s="99" t="s">
        <v>997</v>
      </c>
      <c r="B443" s="98" t="s">
        <v>998</v>
      </c>
      <c r="C443" s="98">
        <v>7</v>
      </c>
      <c r="D443" s="111">
        <v>0.009791873542727514</v>
      </c>
      <c r="E443" s="111">
        <v>1.7893792301464748</v>
      </c>
      <c r="F443" s="98" t="s">
        <v>911</v>
      </c>
      <c r="G443" s="98" t="b">
        <v>0</v>
      </c>
      <c r="H443" s="98" t="b">
        <v>0</v>
      </c>
      <c r="I443" s="98" t="b">
        <v>0</v>
      </c>
      <c r="J443" s="98" t="b">
        <v>0</v>
      </c>
      <c r="K443" s="98" t="b">
        <v>0</v>
      </c>
      <c r="L443" s="98" t="b">
        <v>0</v>
      </c>
    </row>
    <row r="444" spans="1:12" ht="15">
      <c r="A444" s="99" t="s">
        <v>302</v>
      </c>
      <c r="B444" s="98" t="s">
        <v>299</v>
      </c>
      <c r="C444" s="98">
        <v>6</v>
      </c>
      <c r="D444" s="111">
        <v>0.009262473291566613</v>
      </c>
      <c r="E444" s="111">
        <v>1.7893792301464748</v>
      </c>
      <c r="F444" s="98" t="s">
        <v>911</v>
      </c>
      <c r="G444" s="98" t="b">
        <v>0</v>
      </c>
      <c r="H444" s="98" t="b">
        <v>0</v>
      </c>
      <c r="I444" s="98" t="b">
        <v>0</v>
      </c>
      <c r="J444" s="98" t="b">
        <v>0</v>
      </c>
      <c r="K444" s="98" t="b">
        <v>0</v>
      </c>
      <c r="L444" s="98" t="b">
        <v>0</v>
      </c>
    </row>
    <row r="445" spans="1:12" ht="15">
      <c r="A445" s="99" t="s">
        <v>945</v>
      </c>
      <c r="B445" s="98" t="s">
        <v>338</v>
      </c>
      <c r="C445" s="98">
        <v>5</v>
      </c>
      <c r="D445" s="111">
        <v>0.008575667635262487</v>
      </c>
      <c r="E445" s="111">
        <v>1.5552960241131069</v>
      </c>
      <c r="F445" s="98" t="s">
        <v>911</v>
      </c>
      <c r="G445" s="98" t="b">
        <v>0</v>
      </c>
      <c r="H445" s="98" t="b">
        <v>0</v>
      </c>
      <c r="I445" s="98" t="b">
        <v>0</v>
      </c>
      <c r="J445" s="98" t="b">
        <v>0</v>
      </c>
      <c r="K445" s="98" t="b">
        <v>0</v>
      </c>
      <c r="L445" s="98" t="b">
        <v>0</v>
      </c>
    </row>
    <row r="446" spans="1:12" ht="15">
      <c r="A446" s="99" t="s">
        <v>934</v>
      </c>
      <c r="B446" s="98" t="s">
        <v>936</v>
      </c>
      <c r="C446" s="98">
        <v>5</v>
      </c>
      <c r="D446" s="111">
        <v>0.008575667635262487</v>
      </c>
      <c r="E446" s="111">
        <v>1.4040283487824576</v>
      </c>
      <c r="F446" s="98" t="s">
        <v>911</v>
      </c>
      <c r="G446" s="98" t="b">
        <v>0</v>
      </c>
      <c r="H446" s="98" t="b">
        <v>0</v>
      </c>
      <c r="I446" s="98" t="b">
        <v>0</v>
      </c>
      <c r="J446" s="98" t="b">
        <v>0</v>
      </c>
      <c r="K446" s="98" t="b">
        <v>0</v>
      </c>
      <c r="L446" s="98" t="b">
        <v>0</v>
      </c>
    </row>
    <row r="447" spans="1:12" ht="15">
      <c r="A447" s="99" t="s">
        <v>936</v>
      </c>
      <c r="B447" s="98" t="s">
        <v>931</v>
      </c>
      <c r="C447" s="98">
        <v>5</v>
      </c>
      <c r="D447" s="111">
        <v>0.008575667635262487</v>
      </c>
      <c r="E447" s="111">
        <v>1.6344772701607315</v>
      </c>
      <c r="F447" s="98" t="s">
        <v>911</v>
      </c>
      <c r="G447" s="98" t="b">
        <v>0</v>
      </c>
      <c r="H447" s="98" t="b">
        <v>0</v>
      </c>
      <c r="I447" s="98" t="b">
        <v>0</v>
      </c>
      <c r="J447" s="98" t="b">
        <v>0</v>
      </c>
      <c r="K447" s="98" t="b">
        <v>0</v>
      </c>
      <c r="L447" s="98" t="b">
        <v>0</v>
      </c>
    </row>
    <row r="448" spans="1:12" ht="15">
      <c r="A448" s="99" t="s">
        <v>932</v>
      </c>
      <c r="B448" s="98" t="s">
        <v>302</v>
      </c>
      <c r="C448" s="98">
        <v>5</v>
      </c>
      <c r="D448" s="111">
        <v>0.008575667635262487</v>
      </c>
      <c r="E448" s="111">
        <v>1.6522060371211633</v>
      </c>
      <c r="F448" s="98" t="s">
        <v>911</v>
      </c>
      <c r="G448" s="98" t="b">
        <v>0</v>
      </c>
      <c r="H448" s="98" t="b">
        <v>0</v>
      </c>
      <c r="I448" s="98" t="b">
        <v>0</v>
      </c>
      <c r="J448" s="98" t="b">
        <v>0</v>
      </c>
      <c r="K448" s="98" t="b">
        <v>0</v>
      </c>
      <c r="L448" s="98" t="b">
        <v>0</v>
      </c>
    </row>
    <row r="449" spans="1:12" ht="15">
      <c r="A449" s="99" t="s">
        <v>2406</v>
      </c>
      <c r="B449" s="98" t="s">
        <v>945</v>
      </c>
      <c r="C449" s="98">
        <v>4</v>
      </c>
      <c r="D449" s="111">
        <v>0.007699581839881474</v>
      </c>
      <c r="E449" s="111">
        <v>1.5930845850025066</v>
      </c>
      <c r="F449" s="98" t="s">
        <v>911</v>
      </c>
      <c r="G449" s="98" t="b">
        <v>0</v>
      </c>
      <c r="H449" s="98" t="b">
        <v>0</v>
      </c>
      <c r="I449" s="98" t="b">
        <v>0</v>
      </c>
      <c r="J449" s="98" t="b">
        <v>0</v>
      </c>
      <c r="K449" s="98" t="b">
        <v>0</v>
      </c>
      <c r="L449" s="98" t="b">
        <v>0</v>
      </c>
    </row>
    <row r="450" spans="1:12" ht="15">
      <c r="A450" s="99" t="s">
        <v>338</v>
      </c>
      <c r="B450" s="98" t="s">
        <v>2407</v>
      </c>
      <c r="C450" s="98">
        <v>4</v>
      </c>
      <c r="D450" s="111">
        <v>0.007699581839881474</v>
      </c>
      <c r="E450" s="111">
        <v>1.9355072658247128</v>
      </c>
      <c r="F450" s="98" t="s">
        <v>911</v>
      </c>
      <c r="G450" s="98" t="b">
        <v>0</v>
      </c>
      <c r="H450" s="98" t="b">
        <v>0</v>
      </c>
      <c r="I450" s="98" t="b">
        <v>0</v>
      </c>
      <c r="J450" s="98" t="b">
        <v>0</v>
      </c>
      <c r="K450" s="98" t="b">
        <v>0</v>
      </c>
      <c r="L450" s="98" t="b">
        <v>0</v>
      </c>
    </row>
    <row r="451" spans="1:12" ht="15">
      <c r="A451" s="99" t="s">
        <v>2407</v>
      </c>
      <c r="B451" s="98" t="s">
        <v>1027</v>
      </c>
      <c r="C451" s="98">
        <v>4</v>
      </c>
      <c r="D451" s="111">
        <v>0.007699581839881474</v>
      </c>
      <c r="E451" s="111">
        <v>1.731387283168788</v>
      </c>
      <c r="F451" s="98" t="s">
        <v>911</v>
      </c>
      <c r="G451" s="98" t="b">
        <v>0</v>
      </c>
      <c r="H451" s="98" t="b">
        <v>0</v>
      </c>
      <c r="I451" s="98" t="b">
        <v>0</v>
      </c>
      <c r="J451" s="98" t="b">
        <v>0</v>
      </c>
      <c r="K451" s="98" t="b">
        <v>0</v>
      </c>
      <c r="L451" s="98" t="b">
        <v>0</v>
      </c>
    </row>
    <row r="452" spans="1:12" ht="15">
      <c r="A452" s="99" t="s">
        <v>1027</v>
      </c>
      <c r="B452" s="98" t="s">
        <v>2408</v>
      </c>
      <c r="C452" s="98">
        <v>4</v>
      </c>
      <c r="D452" s="111">
        <v>0.007699581839881474</v>
      </c>
      <c r="E452" s="111">
        <v>1.731387283168788</v>
      </c>
      <c r="F452" s="98" t="s">
        <v>911</v>
      </c>
      <c r="G452" s="98" t="b">
        <v>0</v>
      </c>
      <c r="H452" s="98" t="b">
        <v>0</v>
      </c>
      <c r="I452" s="98" t="b">
        <v>0</v>
      </c>
      <c r="J452" s="98" t="b">
        <v>0</v>
      </c>
      <c r="K452" s="98" t="b">
        <v>0</v>
      </c>
      <c r="L452" s="98" t="b">
        <v>0</v>
      </c>
    </row>
    <row r="453" spans="1:12" ht="15">
      <c r="A453" s="99" t="s">
        <v>2408</v>
      </c>
      <c r="B453" s="98" t="s">
        <v>2409</v>
      </c>
      <c r="C453" s="98">
        <v>4</v>
      </c>
      <c r="D453" s="111">
        <v>0.007699581839881474</v>
      </c>
      <c r="E453" s="111">
        <v>2.032417278832769</v>
      </c>
      <c r="F453" s="98" t="s">
        <v>911</v>
      </c>
      <c r="G453" s="98" t="b">
        <v>0</v>
      </c>
      <c r="H453" s="98" t="b">
        <v>0</v>
      </c>
      <c r="I453" s="98" t="b">
        <v>0</v>
      </c>
      <c r="J453" s="98" t="b">
        <v>0</v>
      </c>
      <c r="K453" s="98" t="b">
        <v>0</v>
      </c>
      <c r="L453" s="98" t="b">
        <v>0</v>
      </c>
    </row>
    <row r="454" spans="1:12" ht="15">
      <c r="A454" s="99" t="s">
        <v>2409</v>
      </c>
      <c r="B454" s="98" t="s">
        <v>2410</v>
      </c>
      <c r="C454" s="98">
        <v>4</v>
      </c>
      <c r="D454" s="111">
        <v>0.007699581839881474</v>
      </c>
      <c r="E454" s="111">
        <v>2.032417278832769</v>
      </c>
      <c r="F454" s="98" t="s">
        <v>911</v>
      </c>
      <c r="G454" s="98" t="b">
        <v>0</v>
      </c>
      <c r="H454" s="98" t="b">
        <v>0</v>
      </c>
      <c r="I454" s="98" t="b">
        <v>0</v>
      </c>
      <c r="J454" s="98" t="b">
        <v>0</v>
      </c>
      <c r="K454" s="98" t="b">
        <v>0</v>
      </c>
      <c r="L454" s="98" t="b">
        <v>0</v>
      </c>
    </row>
    <row r="455" spans="1:12" ht="15">
      <c r="A455" s="99" t="s">
        <v>2410</v>
      </c>
      <c r="B455" s="98" t="s">
        <v>2411</v>
      </c>
      <c r="C455" s="98">
        <v>4</v>
      </c>
      <c r="D455" s="111">
        <v>0.007699581839881474</v>
      </c>
      <c r="E455" s="111">
        <v>2.032417278832769</v>
      </c>
      <c r="F455" s="98" t="s">
        <v>911</v>
      </c>
      <c r="G455" s="98" t="b">
        <v>0</v>
      </c>
      <c r="H455" s="98" t="b">
        <v>0</v>
      </c>
      <c r="I455" s="98" t="b">
        <v>0</v>
      </c>
      <c r="J455" s="98" t="b">
        <v>0</v>
      </c>
      <c r="K455" s="98" t="b">
        <v>0</v>
      </c>
      <c r="L455" s="98" t="b">
        <v>0</v>
      </c>
    </row>
    <row r="456" spans="1:12" ht="15">
      <c r="A456" s="99" t="s">
        <v>2411</v>
      </c>
      <c r="B456" s="98" t="s">
        <v>2412</v>
      </c>
      <c r="C456" s="98">
        <v>4</v>
      </c>
      <c r="D456" s="111">
        <v>0.007699581839881474</v>
      </c>
      <c r="E456" s="111">
        <v>2.032417278832769</v>
      </c>
      <c r="F456" s="98" t="s">
        <v>911</v>
      </c>
      <c r="G456" s="98" t="b">
        <v>0</v>
      </c>
      <c r="H456" s="98" t="b">
        <v>0</v>
      </c>
      <c r="I456" s="98" t="b">
        <v>0</v>
      </c>
      <c r="J456" s="98" t="b">
        <v>0</v>
      </c>
      <c r="K456" s="98" t="b">
        <v>0</v>
      </c>
      <c r="L456" s="98" t="b">
        <v>0</v>
      </c>
    </row>
    <row r="457" spans="1:12" ht="15">
      <c r="A457" s="99" t="s">
        <v>2412</v>
      </c>
      <c r="B457" s="98" t="s">
        <v>2413</v>
      </c>
      <c r="C457" s="98">
        <v>4</v>
      </c>
      <c r="D457" s="111">
        <v>0.007699581839881474</v>
      </c>
      <c r="E457" s="111">
        <v>2.032417278832769</v>
      </c>
      <c r="F457" s="98" t="s">
        <v>911</v>
      </c>
      <c r="G457" s="98" t="b">
        <v>0</v>
      </c>
      <c r="H457" s="98" t="b">
        <v>0</v>
      </c>
      <c r="I457" s="98" t="b">
        <v>0</v>
      </c>
      <c r="J457" s="98" t="b">
        <v>0</v>
      </c>
      <c r="K457" s="98" t="b">
        <v>0</v>
      </c>
      <c r="L457" s="98" t="b">
        <v>0</v>
      </c>
    </row>
    <row r="458" spans="1:12" ht="15">
      <c r="A458" s="99" t="s">
        <v>2413</v>
      </c>
      <c r="B458" s="98" t="s">
        <v>2414</v>
      </c>
      <c r="C458" s="98">
        <v>4</v>
      </c>
      <c r="D458" s="111">
        <v>0.007699581839881474</v>
      </c>
      <c r="E458" s="111">
        <v>2.032417278832769</v>
      </c>
      <c r="F458" s="98" t="s">
        <v>911</v>
      </c>
      <c r="G458" s="98" t="b">
        <v>0</v>
      </c>
      <c r="H458" s="98" t="b">
        <v>0</v>
      </c>
      <c r="I458" s="98" t="b">
        <v>0</v>
      </c>
      <c r="J458" s="98" t="b">
        <v>0</v>
      </c>
      <c r="K458" s="98" t="b">
        <v>0</v>
      </c>
      <c r="L458" s="98" t="b">
        <v>0</v>
      </c>
    </row>
    <row r="459" spans="1:12" ht="15">
      <c r="A459" s="99" t="s">
        <v>2414</v>
      </c>
      <c r="B459" s="98" t="s">
        <v>2415</v>
      </c>
      <c r="C459" s="98">
        <v>4</v>
      </c>
      <c r="D459" s="111">
        <v>0.007699581839881474</v>
      </c>
      <c r="E459" s="111">
        <v>2.032417278832769</v>
      </c>
      <c r="F459" s="98" t="s">
        <v>911</v>
      </c>
      <c r="G459" s="98" t="b">
        <v>0</v>
      </c>
      <c r="H459" s="98" t="b">
        <v>0</v>
      </c>
      <c r="I459" s="98" t="b">
        <v>0</v>
      </c>
      <c r="J459" s="98" t="b">
        <v>0</v>
      </c>
      <c r="K459" s="98" t="b">
        <v>0</v>
      </c>
      <c r="L459" s="98" t="b">
        <v>0</v>
      </c>
    </row>
    <row r="460" spans="1:12" ht="15">
      <c r="A460" s="99" t="s">
        <v>2415</v>
      </c>
      <c r="B460" s="98" t="s">
        <v>2416</v>
      </c>
      <c r="C460" s="98">
        <v>4</v>
      </c>
      <c r="D460" s="111">
        <v>0.007699581839881474</v>
      </c>
      <c r="E460" s="111">
        <v>2.032417278832769</v>
      </c>
      <c r="F460" s="98" t="s">
        <v>911</v>
      </c>
      <c r="G460" s="98" t="b">
        <v>0</v>
      </c>
      <c r="H460" s="98" t="b">
        <v>0</v>
      </c>
      <c r="I460" s="98" t="b">
        <v>0</v>
      </c>
      <c r="J460" s="98" t="b">
        <v>0</v>
      </c>
      <c r="K460" s="98" t="b">
        <v>0</v>
      </c>
      <c r="L460" s="98" t="b">
        <v>0</v>
      </c>
    </row>
    <row r="461" spans="1:12" ht="15">
      <c r="A461" s="99" t="s">
        <v>2416</v>
      </c>
      <c r="B461" s="98" t="s">
        <v>2417</v>
      </c>
      <c r="C461" s="98">
        <v>4</v>
      </c>
      <c r="D461" s="111">
        <v>0.007699581839881474</v>
      </c>
      <c r="E461" s="111">
        <v>2.032417278832769</v>
      </c>
      <c r="F461" s="98" t="s">
        <v>911</v>
      </c>
      <c r="G461" s="98" t="b">
        <v>0</v>
      </c>
      <c r="H461" s="98" t="b">
        <v>0</v>
      </c>
      <c r="I461" s="98" t="b">
        <v>0</v>
      </c>
      <c r="J461" s="98" t="b">
        <v>0</v>
      </c>
      <c r="K461" s="98" t="b">
        <v>0</v>
      </c>
      <c r="L461" s="98" t="b">
        <v>0</v>
      </c>
    </row>
    <row r="462" spans="1:12" ht="15">
      <c r="A462" s="99" t="s">
        <v>2417</v>
      </c>
      <c r="B462" s="98" t="s">
        <v>2418</v>
      </c>
      <c r="C462" s="98">
        <v>4</v>
      </c>
      <c r="D462" s="111">
        <v>0.007699581839881474</v>
      </c>
      <c r="E462" s="111">
        <v>2.032417278832769</v>
      </c>
      <c r="F462" s="98" t="s">
        <v>911</v>
      </c>
      <c r="G462" s="98" t="b">
        <v>0</v>
      </c>
      <c r="H462" s="98" t="b">
        <v>0</v>
      </c>
      <c r="I462" s="98" t="b">
        <v>0</v>
      </c>
      <c r="J462" s="98" t="b">
        <v>0</v>
      </c>
      <c r="K462" s="98" t="b">
        <v>0</v>
      </c>
      <c r="L462" s="98" t="b">
        <v>0</v>
      </c>
    </row>
    <row r="463" spans="1:12" ht="15">
      <c r="A463" s="99" t="s">
        <v>2418</v>
      </c>
      <c r="B463" s="98" t="s">
        <v>2419</v>
      </c>
      <c r="C463" s="98">
        <v>4</v>
      </c>
      <c r="D463" s="111">
        <v>0.007699581839881474</v>
      </c>
      <c r="E463" s="111">
        <v>2.032417278832769</v>
      </c>
      <c r="F463" s="98" t="s">
        <v>911</v>
      </c>
      <c r="G463" s="98" t="b">
        <v>0</v>
      </c>
      <c r="H463" s="98" t="b">
        <v>0</v>
      </c>
      <c r="I463" s="98" t="b">
        <v>0</v>
      </c>
      <c r="J463" s="98" t="b">
        <v>0</v>
      </c>
      <c r="K463" s="98" t="b">
        <v>0</v>
      </c>
      <c r="L463" s="98" t="b">
        <v>0</v>
      </c>
    </row>
    <row r="464" spans="1:12" ht="15">
      <c r="A464" s="99" t="s">
        <v>946</v>
      </c>
      <c r="B464" s="98" t="s">
        <v>947</v>
      </c>
      <c r="C464" s="98">
        <v>4</v>
      </c>
      <c r="D464" s="111">
        <v>0.007699581839881474</v>
      </c>
      <c r="E464" s="111">
        <v>2.032417278832769</v>
      </c>
      <c r="F464" s="98" t="s">
        <v>911</v>
      </c>
      <c r="G464" s="98" t="b">
        <v>0</v>
      </c>
      <c r="H464" s="98" t="b">
        <v>0</v>
      </c>
      <c r="I464" s="98" t="b">
        <v>0</v>
      </c>
      <c r="J464" s="98" t="b">
        <v>0</v>
      </c>
      <c r="K464" s="98" t="b">
        <v>0</v>
      </c>
      <c r="L464" s="98" t="b">
        <v>0</v>
      </c>
    </row>
    <row r="465" spans="1:12" ht="15">
      <c r="A465" s="99" t="s">
        <v>947</v>
      </c>
      <c r="B465" s="98" t="s">
        <v>948</v>
      </c>
      <c r="C465" s="98">
        <v>4</v>
      </c>
      <c r="D465" s="111">
        <v>0.007699581839881474</v>
      </c>
      <c r="E465" s="111">
        <v>2.032417278832769</v>
      </c>
      <c r="F465" s="98" t="s">
        <v>911</v>
      </c>
      <c r="G465" s="98" t="b">
        <v>0</v>
      </c>
      <c r="H465" s="98" t="b">
        <v>0</v>
      </c>
      <c r="I465" s="98" t="b">
        <v>0</v>
      </c>
      <c r="J465" s="98" t="b">
        <v>0</v>
      </c>
      <c r="K465" s="98" t="b">
        <v>0</v>
      </c>
      <c r="L465" s="98" t="b">
        <v>0</v>
      </c>
    </row>
    <row r="466" spans="1:12" ht="15">
      <c r="A466" s="99" t="s">
        <v>939</v>
      </c>
      <c r="B466" s="98" t="s">
        <v>930</v>
      </c>
      <c r="C466" s="98">
        <v>4</v>
      </c>
      <c r="D466" s="111">
        <v>0.007699581839881474</v>
      </c>
      <c r="E466" s="111">
        <v>1.4883492344824936</v>
      </c>
      <c r="F466" s="98" t="s">
        <v>911</v>
      </c>
      <c r="G466" s="98" t="b">
        <v>0</v>
      </c>
      <c r="H466" s="98" t="b">
        <v>0</v>
      </c>
      <c r="I466" s="98" t="b">
        <v>0</v>
      </c>
      <c r="J466" s="98" t="b">
        <v>0</v>
      </c>
      <c r="K466" s="98" t="b">
        <v>0</v>
      </c>
      <c r="L466" s="98" t="b">
        <v>0</v>
      </c>
    </row>
    <row r="467" spans="1:12" ht="15">
      <c r="A467" s="99" t="s">
        <v>930</v>
      </c>
      <c r="B467" s="98" t="s">
        <v>940</v>
      </c>
      <c r="C467" s="98">
        <v>4</v>
      </c>
      <c r="D467" s="111">
        <v>0.007699581839881474</v>
      </c>
      <c r="E467" s="111">
        <v>1.4583860111050504</v>
      </c>
      <c r="F467" s="98" t="s">
        <v>911</v>
      </c>
      <c r="G467" s="98" t="b">
        <v>0</v>
      </c>
      <c r="H467" s="98" t="b">
        <v>0</v>
      </c>
      <c r="I467" s="98" t="b">
        <v>0</v>
      </c>
      <c r="J467" s="98" t="b">
        <v>0</v>
      </c>
      <c r="K467" s="98" t="b">
        <v>0</v>
      </c>
      <c r="L467" s="98" t="b">
        <v>0</v>
      </c>
    </row>
    <row r="468" spans="1:12" ht="15">
      <c r="A468" s="99" t="s">
        <v>940</v>
      </c>
      <c r="B468" s="98" t="s">
        <v>941</v>
      </c>
      <c r="C468" s="98">
        <v>4</v>
      </c>
      <c r="D468" s="111">
        <v>0.007699581839881474</v>
      </c>
      <c r="E468" s="111">
        <v>2.032417278832769</v>
      </c>
      <c r="F468" s="98" t="s">
        <v>911</v>
      </c>
      <c r="G468" s="98" t="b">
        <v>0</v>
      </c>
      <c r="H468" s="98" t="b">
        <v>0</v>
      </c>
      <c r="I468" s="98" t="b">
        <v>0</v>
      </c>
      <c r="J468" s="98" t="b">
        <v>0</v>
      </c>
      <c r="K468" s="98" t="b">
        <v>0</v>
      </c>
      <c r="L468" s="98" t="b">
        <v>0</v>
      </c>
    </row>
    <row r="469" spans="1:12" ht="15">
      <c r="A469" s="99" t="s">
        <v>941</v>
      </c>
      <c r="B469" s="98" t="s">
        <v>931</v>
      </c>
      <c r="C469" s="98">
        <v>4</v>
      </c>
      <c r="D469" s="111">
        <v>0.007699581839881474</v>
      </c>
      <c r="E469" s="111">
        <v>1.6344772701607315</v>
      </c>
      <c r="F469" s="98" t="s">
        <v>911</v>
      </c>
      <c r="G469" s="98" t="b">
        <v>0</v>
      </c>
      <c r="H469" s="98" t="b">
        <v>0</v>
      </c>
      <c r="I469" s="98" t="b">
        <v>0</v>
      </c>
      <c r="J469" s="98" t="b">
        <v>0</v>
      </c>
      <c r="K469" s="98" t="b">
        <v>0</v>
      </c>
      <c r="L469" s="98" t="b">
        <v>0</v>
      </c>
    </row>
    <row r="470" spans="1:12" ht="15">
      <c r="A470" s="99" t="s">
        <v>931</v>
      </c>
      <c r="B470" s="98" t="s">
        <v>942</v>
      </c>
      <c r="C470" s="98">
        <v>4</v>
      </c>
      <c r="D470" s="111">
        <v>0.007699581839881474</v>
      </c>
      <c r="E470" s="111">
        <v>1.6344772701607315</v>
      </c>
      <c r="F470" s="98" t="s">
        <v>911</v>
      </c>
      <c r="G470" s="98" t="b">
        <v>0</v>
      </c>
      <c r="H470" s="98" t="b">
        <v>0</v>
      </c>
      <c r="I470" s="98" t="b">
        <v>0</v>
      </c>
      <c r="J470" s="98" t="b">
        <v>0</v>
      </c>
      <c r="K470" s="98" t="b">
        <v>0</v>
      </c>
      <c r="L470" s="98" t="b">
        <v>0</v>
      </c>
    </row>
    <row r="471" spans="1:12" ht="15">
      <c r="A471" s="99" t="s">
        <v>942</v>
      </c>
      <c r="B471" s="98" t="s">
        <v>938</v>
      </c>
      <c r="C471" s="98">
        <v>4</v>
      </c>
      <c r="D471" s="111">
        <v>0.007699581839881474</v>
      </c>
      <c r="E471" s="111">
        <v>2.032417278832769</v>
      </c>
      <c r="F471" s="98" t="s">
        <v>911</v>
      </c>
      <c r="G471" s="98" t="b">
        <v>0</v>
      </c>
      <c r="H471" s="98" t="b">
        <v>0</v>
      </c>
      <c r="I471" s="98" t="b">
        <v>0</v>
      </c>
      <c r="J471" s="98" t="b">
        <v>0</v>
      </c>
      <c r="K471" s="98" t="b">
        <v>0</v>
      </c>
      <c r="L471" s="98" t="b">
        <v>0</v>
      </c>
    </row>
    <row r="472" spans="1:12" ht="15">
      <c r="A472" s="99" t="s">
        <v>938</v>
      </c>
      <c r="B472" s="98" t="s">
        <v>935</v>
      </c>
      <c r="C472" s="98">
        <v>4</v>
      </c>
      <c r="D472" s="111">
        <v>0.007699581839881474</v>
      </c>
      <c r="E472" s="111">
        <v>2.032417278832769</v>
      </c>
      <c r="F472" s="98" t="s">
        <v>911</v>
      </c>
      <c r="G472" s="98" t="b">
        <v>0</v>
      </c>
      <c r="H472" s="98" t="b">
        <v>0</v>
      </c>
      <c r="I472" s="98" t="b">
        <v>0</v>
      </c>
      <c r="J472" s="98" t="b">
        <v>0</v>
      </c>
      <c r="K472" s="98" t="b">
        <v>0</v>
      </c>
      <c r="L472" s="98" t="b">
        <v>0</v>
      </c>
    </row>
    <row r="473" spans="1:12" ht="15">
      <c r="A473" s="99" t="s">
        <v>935</v>
      </c>
      <c r="B473" s="98" t="s">
        <v>934</v>
      </c>
      <c r="C473" s="98">
        <v>4</v>
      </c>
      <c r="D473" s="111">
        <v>0.007699581839881474</v>
      </c>
      <c r="E473" s="111">
        <v>1.4040283487824576</v>
      </c>
      <c r="F473" s="98" t="s">
        <v>911</v>
      </c>
      <c r="G473" s="98" t="b">
        <v>0</v>
      </c>
      <c r="H473" s="98" t="b">
        <v>0</v>
      </c>
      <c r="I473" s="98" t="b">
        <v>0</v>
      </c>
      <c r="J473" s="98" t="b">
        <v>0</v>
      </c>
      <c r="K473" s="98" t="b">
        <v>0</v>
      </c>
      <c r="L473" s="98" t="b">
        <v>0</v>
      </c>
    </row>
    <row r="474" spans="1:12" ht="15">
      <c r="A474" s="99" t="s">
        <v>931</v>
      </c>
      <c r="B474" s="98" t="s">
        <v>937</v>
      </c>
      <c r="C474" s="98">
        <v>4</v>
      </c>
      <c r="D474" s="111">
        <v>0.007699581839881474</v>
      </c>
      <c r="E474" s="111">
        <v>1.5375672571526753</v>
      </c>
      <c r="F474" s="98" t="s">
        <v>911</v>
      </c>
      <c r="G474" s="98" t="b">
        <v>0</v>
      </c>
      <c r="H474" s="98" t="b">
        <v>0</v>
      </c>
      <c r="I474" s="98" t="b">
        <v>0</v>
      </c>
      <c r="J474" s="98" t="b">
        <v>0</v>
      </c>
      <c r="K474" s="98" t="b">
        <v>0</v>
      </c>
      <c r="L474" s="98" t="b">
        <v>0</v>
      </c>
    </row>
    <row r="475" spans="1:12" ht="15">
      <c r="A475" s="99" t="s">
        <v>937</v>
      </c>
      <c r="B475" s="98" t="s">
        <v>943</v>
      </c>
      <c r="C475" s="98">
        <v>4</v>
      </c>
      <c r="D475" s="111">
        <v>0.007699581839881474</v>
      </c>
      <c r="E475" s="111">
        <v>1.9355072658247128</v>
      </c>
      <c r="F475" s="98" t="s">
        <v>911</v>
      </c>
      <c r="G475" s="98" t="b">
        <v>0</v>
      </c>
      <c r="H475" s="98" t="b">
        <v>0</v>
      </c>
      <c r="I475" s="98" t="b">
        <v>0</v>
      </c>
      <c r="J475" s="98" t="b">
        <v>0</v>
      </c>
      <c r="K475" s="98" t="b">
        <v>0</v>
      </c>
      <c r="L475" s="98" t="b">
        <v>0</v>
      </c>
    </row>
    <row r="476" spans="1:12" ht="15">
      <c r="A476" s="99" t="s">
        <v>943</v>
      </c>
      <c r="B476" s="98" t="s">
        <v>930</v>
      </c>
      <c r="C476" s="98">
        <v>4</v>
      </c>
      <c r="D476" s="111">
        <v>0.007699581839881474</v>
      </c>
      <c r="E476" s="111">
        <v>1.4883492344824936</v>
      </c>
      <c r="F476" s="98" t="s">
        <v>911</v>
      </c>
      <c r="G476" s="98" t="b">
        <v>0</v>
      </c>
      <c r="H476" s="98" t="b">
        <v>0</v>
      </c>
      <c r="I476" s="98" t="b">
        <v>0</v>
      </c>
      <c r="J476" s="98" t="b">
        <v>0</v>
      </c>
      <c r="K476" s="98" t="b">
        <v>0</v>
      </c>
      <c r="L476" s="98" t="b">
        <v>0</v>
      </c>
    </row>
    <row r="477" spans="1:12" ht="15">
      <c r="A477" s="99" t="s">
        <v>933</v>
      </c>
      <c r="B477" s="98" t="s">
        <v>932</v>
      </c>
      <c r="C477" s="98">
        <v>4</v>
      </c>
      <c r="D477" s="111">
        <v>0.007699581839881474</v>
      </c>
      <c r="E477" s="111">
        <v>0.9910245936745441</v>
      </c>
      <c r="F477" s="98" t="s">
        <v>911</v>
      </c>
      <c r="G477" s="98" t="b">
        <v>0</v>
      </c>
      <c r="H477" s="98" t="b">
        <v>0</v>
      </c>
      <c r="I477" s="98" t="b">
        <v>0</v>
      </c>
      <c r="J477" s="98" t="b">
        <v>0</v>
      </c>
      <c r="K477" s="98" t="b">
        <v>0</v>
      </c>
      <c r="L477" s="98" t="b">
        <v>0</v>
      </c>
    </row>
    <row r="478" spans="1:12" ht="15">
      <c r="A478" s="99" t="s">
        <v>2394</v>
      </c>
      <c r="B478" s="98" t="s">
        <v>2395</v>
      </c>
      <c r="C478" s="98">
        <v>4</v>
      </c>
      <c r="D478" s="111">
        <v>0.007699581839881474</v>
      </c>
      <c r="E478" s="111">
        <v>2.032417278832769</v>
      </c>
      <c r="F478" s="98" t="s">
        <v>911</v>
      </c>
      <c r="G478" s="98" t="b">
        <v>0</v>
      </c>
      <c r="H478" s="98" t="b">
        <v>0</v>
      </c>
      <c r="I478" s="98" t="b">
        <v>0</v>
      </c>
      <c r="J478" s="98" t="b">
        <v>0</v>
      </c>
      <c r="K478" s="98" t="b">
        <v>0</v>
      </c>
      <c r="L478" s="98" t="b">
        <v>0</v>
      </c>
    </row>
    <row r="479" spans="1:12" ht="15">
      <c r="A479" s="99" t="s">
        <v>2395</v>
      </c>
      <c r="B479" s="98" t="s">
        <v>934</v>
      </c>
      <c r="C479" s="98">
        <v>4</v>
      </c>
      <c r="D479" s="111">
        <v>0.007699581839881474</v>
      </c>
      <c r="E479" s="111">
        <v>1.4040283487824576</v>
      </c>
      <c r="F479" s="98" t="s">
        <v>911</v>
      </c>
      <c r="G479" s="98" t="b">
        <v>0</v>
      </c>
      <c r="H479" s="98" t="b">
        <v>0</v>
      </c>
      <c r="I479" s="98" t="b">
        <v>0</v>
      </c>
      <c r="J479" s="98" t="b">
        <v>0</v>
      </c>
      <c r="K479" s="98" t="b">
        <v>0</v>
      </c>
      <c r="L479" s="98" t="b">
        <v>0</v>
      </c>
    </row>
    <row r="480" spans="1:12" ht="15">
      <c r="A480" s="99" t="s">
        <v>934</v>
      </c>
      <c r="B480" s="98" t="s">
        <v>2396</v>
      </c>
      <c r="C480" s="98">
        <v>4</v>
      </c>
      <c r="D480" s="111">
        <v>0.007699581839881474</v>
      </c>
      <c r="E480" s="111">
        <v>1.4040283487824576</v>
      </c>
      <c r="F480" s="98" t="s">
        <v>911</v>
      </c>
      <c r="G480" s="98" t="b">
        <v>0</v>
      </c>
      <c r="H480" s="98" t="b">
        <v>0</v>
      </c>
      <c r="I480" s="98" t="b">
        <v>0</v>
      </c>
      <c r="J480" s="98" t="b">
        <v>0</v>
      </c>
      <c r="K480" s="98" t="b">
        <v>0</v>
      </c>
      <c r="L480" s="98" t="b">
        <v>0</v>
      </c>
    </row>
    <row r="481" spans="1:12" ht="15">
      <c r="A481" s="99" t="s">
        <v>2396</v>
      </c>
      <c r="B481" s="98" t="s">
        <v>2397</v>
      </c>
      <c r="C481" s="98">
        <v>4</v>
      </c>
      <c r="D481" s="111">
        <v>0.007699581839881474</v>
      </c>
      <c r="E481" s="111">
        <v>2.032417278832769</v>
      </c>
      <c r="F481" s="98" t="s">
        <v>911</v>
      </c>
      <c r="G481" s="98" t="b">
        <v>0</v>
      </c>
      <c r="H481" s="98" t="b">
        <v>0</v>
      </c>
      <c r="I481" s="98" t="b">
        <v>0</v>
      </c>
      <c r="J481" s="98" t="b">
        <v>0</v>
      </c>
      <c r="K481" s="98" t="b">
        <v>0</v>
      </c>
      <c r="L481" s="98" t="b">
        <v>0</v>
      </c>
    </row>
    <row r="482" spans="1:12" ht="15">
      <c r="A482" s="99" t="s">
        <v>2397</v>
      </c>
      <c r="B482" s="98" t="s">
        <v>2398</v>
      </c>
      <c r="C482" s="98">
        <v>4</v>
      </c>
      <c r="D482" s="111">
        <v>0.007699581839881474</v>
      </c>
      <c r="E482" s="111">
        <v>2.032417278832769</v>
      </c>
      <c r="F482" s="98" t="s">
        <v>911</v>
      </c>
      <c r="G482" s="98" t="b">
        <v>0</v>
      </c>
      <c r="H482" s="98" t="b">
        <v>0</v>
      </c>
      <c r="I482" s="98" t="b">
        <v>0</v>
      </c>
      <c r="J482" s="98" t="b">
        <v>0</v>
      </c>
      <c r="K482" s="98" t="b">
        <v>0</v>
      </c>
      <c r="L482" s="98" t="b">
        <v>0</v>
      </c>
    </row>
    <row r="483" spans="1:12" ht="15">
      <c r="A483" s="99" t="s">
        <v>2398</v>
      </c>
      <c r="B483" s="98" t="s">
        <v>2399</v>
      </c>
      <c r="C483" s="98">
        <v>4</v>
      </c>
      <c r="D483" s="111">
        <v>0.007699581839881474</v>
      </c>
      <c r="E483" s="111">
        <v>2.032417278832769</v>
      </c>
      <c r="F483" s="98" t="s">
        <v>911</v>
      </c>
      <c r="G483" s="98" t="b">
        <v>0</v>
      </c>
      <c r="H483" s="98" t="b">
        <v>0</v>
      </c>
      <c r="I483" s="98" t="b">
        <v>0</v>
      </c>
      <c r="J483" s="98" t="b">
        <v>0</v>
      </c>
      <c r="K483" s="98" t="b">
        <v>0</v>
      </c>
      <c r="L483" s="98" t="b">
        <v>0</v>
      </c>
    </row>
    <row r="484" spans="1:12" ht="15">
      <c r="A484" s="99" t="s">
        <v>2399</v>
      </c>
      <c r="B484" s="98" t="s">
        <v>2400</v>
      </c>
      <c r="C484" s="98">
        <v>4</v>
      </c>
      <c r="D484" s="111">
        <v>0.007699581839881474</v>
      </c>
      <c r="E484" s="111">
        <v>2.032417278832769</v>
      </c>
      <c r="F484" s="98" t="s">
        <v>911</v>
      </c>
      <c r="G484" s="98" t="b">
        <v>0</v>
      </c>
      <c r="H484" s="98" t="b">
        <v>0</v>
      </c>
      <c r="I484" s="98" t="b">
        <v>0</v>
      </c>
      <c r="J484" s="98" t="b">
        <v>0</v>
      </c>
      <c r="K484" s="98" t="b">
        <v>0</v>
      </c>
      <c r="L484" s="98" t="b">
        <v>0</v>
      </c>
    </row>
    <row r="485" spans="1:12" ht="15">
      <c r="A485" s="99" t="s">
        <v>2400</v>
      </c>
      <c r="B485" s="98" t="s">
        <v>1027</v>
      </c>
      <c r="C485" s="98">
        <v>4</v>
      </c>
      <c r="D485" s="111">
        <v>0.007699581839881474</v>
      </c>
      <c r="E485" s="111">
        <v>1.731387283168788</v>
      </c>
      <c r="F485" s="98" t="s">
        <v>911</v>
      </c>
      <c r="G485" s="98" t="b">
        <v>0</v>
      </c>
      <c r="H485" s="98" t="b">
        <v>0</v>
      </c>
      <c r="I485" s="98" t="b">
        <v>0</v>
      </c>
      <c r="J485" s="98" t="b">
        <v>0</v>
      </c>
      <c r="K485" s="98" t="b">
        <v>0</v>
      </c>
      <c r="L485" s="98" t="b">
        <v>0</v>
      </c>
    </row>
    <row r="486" spans="1:12" ht="15">
      <c r="A486" s="99" t="s">
        <v>1027</v>
      </c>
      <c r="B486" s="98" t="s">
        <v>945</v>
      </c>
      <c r="C486" s="98">
        <v>4</v>
      </c>
      <c r="D486" s="111">
        <v>0.007699581839881474</v>
      </c>
      <c r="E486" s="111">
        <v>1.2920545893385253</v>
      </c>
      <c r="F486" s="98" t="s">
        <v>911</v>
      </c>
      <c r="G486" s="98" t="b">
        <v>0</v>
      </c>
      <c r="H486" s="98" t="b">
        <v>0</v>
      </c>
      <c r="I486" s="98" t="b">
        <v>0</v>
      </c>
      <c r="J486" s="98" t="b">
        <v>0</v>
      </c>
      <c r="K486" s="98" t="b">
        <v>0</v>
      </c>
      <c r="L486" s="98" t="b">
        <v>0</v>
      </c>
    </row>
    <row r="487" spans="1:12" ht="15">
      <c r="A487" s="99" t="s">
        <v>945</v>
      </c>
      <c r="B487" s="98" t="s">
        <v>930</v>
      </c>
      <c r="C487" s="98">
        <v>4</v>
      </c>
      <c r="D487" s="111">
        <v>0.007699581839881474</v>
      </c>
      <c r="E487" s="111">
        <v>1.0112279797628312</v>
      </c>
      <c r="F487" s="98" t="s">
        <v>911</v>
      </c>
      <c r="G487" s="98" t="b">
        <v>0</v>
      </c>
      <c r="H487" s="98" t="b">
        <v>0</v>
      </c>
      <c r="I487" s="98" t="b">
        <v>0</v>
      </c>
      <c r="J487" s="98" t="b">
        <v>0</v>
      </c>
      <c r="K487" s="98" t="b">
        <v>0</v>
      </c>
      <c r="L487" s="98" t="b">
        <v>0</v>
      </c>
    </row>
    <row r="488" spans="1:12" ht="15">
      <c r="A488" s="99" t="s">
        <v>933</v>
      </c>
      <c r="B488" s="98" t="s">
        <v>966</v>
      </c>
      <c r="C488" s="98">
        <v>4</v>
      </c>
      <c r="D488" s="111">
        <v>0.007699581839881474</v>
      </c>
      <c r="E488" s="111">
        <v>1.4169933259468253</v>
      </c>
      <c r="F488" s="98" t="s">
        <v>911</v>
      </c>
      <c r="G488" s="98" t="b">
        <v>0</v>
      </c>
      <c r="H488" s="98" t="b">
        <v>0</v>
      </c>
      <c r="I488" s="98" t="b">
        <v>0</v>
      </c>
      <c r="J488" s="98" t="b">
        <v>0</v>
      </c>
      <c r="K488" s="98" t="b">
        <v>0</v>
      </c>
      <c r="L488" s="98" t="b">
        <v>0</v>
      </c>
    </row>
    <row r="489" spans="1:12" ht="15">
      <c r="A489" s="99" t="s">
        <v>966</v>
      </c>
      <c r="B489" s="98" t="s">
        <v>2401</v>
      </c>
      <c r="C489" s="98">
        <v>4</v>
      </c>
      <c r="D489" s="111">
        <v>0.007699581839881474</v>
      </c>
      <c r="E489" s="111">
        <v>1.856326019777088</v>
      </c>
      <c r="F489" s="98" t="s">
        <v>911</v>
      </c>
      <c r="G489" s="98" t="b">
        <v>0</v>
      </c>
      <c r="H489" s="98" t="b">
        <v>0</v>
      </c>
      <c r="I489" s="98" t="b">
        <v>0</v>
      </c>
      <c r="J489" s="98" t="b">
        <v>0</v>
      </c>
      <c r="K489" s="98" t="b">
        <v>0</v>
      </c>
      <c r="L489" s="98" t="b">
        <v>0</v>
      </c>
    </row>
    <row r="490" spans="1:12" ht="15">
      <c r="A490" s="99" t="s">
        <v>2401</v>
      </c>
      <c r="B490" s="98" t="s">
        <v>2365</v>
      </c>
      <c r="C490" s="98">
        <v>4</v>
      </c>
      <c r="D490" s="111">
        <v>0.007699581839881474</v>
      </c>
      <c r="E490" s="111">
        <v>2.032417278832769</v>
      </c>
      <c r="F490" s="98" t="s">
        <v>911</v>
      </c>
      <c r="G490" s="98" t="b">
        <v>0</v>
      </c>
      <c r="H490" s="98" t="b">
        <v>0</v>
      </c>
      <c r="I490" s="98" t="b">
        <v>0</v>
      </c>
      <c r="J490" s="98" t="b">
        <v>0</v>
      </c>
      <c r="K490" s="98" t="b">
        <v>0</v>
      </c>
      <c r="L490" s="98" t="b">
        <v>0</v>
      </c>
    </row>
    <row r="491" spans="1:12" ht="15">
      <c r="A491" s="99" t="s">
        <v>2365</v>
      </c>
      <c r="B491" s="98" t="s">
        <v>2402</v>
      </c>
      <c r="C491" s="98">
        <v>4</v>
      </c>
      <c r="D491" s="111">
        <v>0.007699581839881474</v>
      </c>
      <c r="E491" s="111">
        <v>1.9355072658247128</v>
      </c>
      <c r="F491" s="98" t="s">
        <v>911</v>
      </c>
      <c r="G491" s="98" t="b">
        <v>0</v>
      </c>
      <c r="H491" s="98" t="b">
        <v>0</v>
      </c>
      <c r="I491" s="98" t="b">
        <v>0</v>
      </c>
      <c r="J491" s="98" t="b">
        <v>0</v>
      </c>
      <c r="K491" s="98" t="b">
        <v>0</v>
      </c>
      <c r="L491" s="98" t="b">
        <v>0</v>
      </c>
    </row>
    <row r="492" spans="1:12" ht="15">
      <c r="A492" s="99" t="s">
        <v>2402</v>
      </c>
      <c r="B492" s="98" t="s">
        <v>934</v>
      </c>
      <c r="C492" s="98">
        <v>4</v>
      </c>
      <c r="D492" s="111">
        <v>0.007699581839881474</v>
      </c>
      <c r="E492" s="111">
        <v>1.4040283487824576</v>
      </c>
      <c r="F492" s="98" t="s">
        <v>911</v>
      </c>
      <c r="G492" s="98" t="b">
        <v>0</v>
      </c>
      <c r="H492" s="98" t="b">
        <v>0</v>
      </c>
      <c r="I492" s="98" t="b">
        <v>0</v>
      </c>
      <c r="J492" s="98" t="b">
        <v>0</v>
      </c>
      <c r="K492" s="98" t="b">
        <v>0</v>
      </c>
      <c r="L492" s="98" t="b">
        <v>0</v>
      </c>
    </row>
    <row r="493" spans="1:12" ht="15">
      <c r="A493" s="99" t="s">
        <v>934</v>
      </c>
      <c r="B493" s="98" t="s">
        <v>2403</v>
      </c>
      <c r="C493" s="98">
        <v>4</v>
      </c>
      <c r="D493" s="111">
        <v>0.007699581839881474</v>
      </c>
      <c r="E493" s="111">
        <v>1.4040283487824576</v>
      </c>
      <c r="F493" s="98" t="s">
        <v>911</v>
      </c>
      <c r="G493" s="98" t="b">
        <v>0</v>
      </c>
      <c r="H493" s="98" t="b">
        <v>0</v>
      </c>
      <c r="I493" s="98" t="b">
        <v>0</v>
      </c>
      <c r="J493" s="98" t="b">
        <v>0</v>
      </c>
      <c r="K493" s="98" t="b">
        <v>0</v>
      </c>
      <c r="L493" s="98" t="b">
        <v>0</v>
      </c>
    </row>
    <row r="494" spans="1:12" ht="15">
      <c r="A494" s="99" t="s">
        <v>2403</v>
      </c>
      <c r="B494" s="98" t="s">
        <v>996</v>
      </c>
      <c r="C494" s="98">
        <v>4</v>
      </c>
      <c r="D494" s="111">
        <v>0.007699581839881474</v>
      </c>
      <c r="E494" s="111">
        <v>1.7893792301464748</v>
      </c>
      <c r="F494" s="98" t="s">
        <v>911</v>
      </c>
      <c r="G494" s="98" t="b">
        <v>0</v>
      </c>
      <c r="H494" s="98" t="b">
        <v>0</v>
      </c>
      <c r="I494" s="98" t="b">
        <v>0</v>
      </c>
      <c r="J494" s="98" t="b">
        <v>0</v>
      </c>
      <c r="K494" s="98" t="b">
        <v>0</v>
      </c>
      <c r="L494" s="98" t="b">
        <v>0</v>
      </c>
    </row>
    <row r="495" spans="1:12" ht="15">
      <c r="A495" s="99" t="s">
        <v>998</v>
      </c>
      <c r="B495" s="98" t="s">
        <v>2404</v>
      </c>
      <c r="C495" s="98">
        <v>4</v>
      </c>
      <c r="D495" s="111">
        <v>0.007699581839881474</v>
      </c>
      <c r="E495" s="111">
        <v>1.7893792301464748</v>
      </c>
      <c r="F495" s="98" t="s">
        <v>911</v>
      </c>
      <c r="G495" s="98" t="b">
        <v>0</v>
      </c>
      <c r="H495" s="98" t="b">
        <v>0</v>
      </c>
      <c r="I495" s="98" t="b">
        <v>0</v>
      </c>
      <c r="J495" s="98" t="b">
        <v>0</v>
      </c>
      <c r="K495" s="98" t="b">
        <v>0</v>
      </c>
      <c r="L495" s="98" t="b">
        <v>0</v>
      </c>
    </row>
    <row r="496" spans="1:12" ht="15">
      <c r="A496" s="99" t="s">
        <v>950</v>
      </c>
      <c r="B496" s="98" t="s">
        <v>303</v>
      </c>
      <c r="C496" s="98">
        <v>3</v>
      </c>
      <c r="D496" s="111">
        <v>0.0065859768773676</v>
      </c>
      <c r="E496" s="111">
        <v>2.1573560154410694</v>
      </c>
      <c r="F496" s="98" t="s">
        <v>911</v>
      </c>
      <c r="G496" s="98" t="b">
        <v>0</v>
      </c>
      <c r="H496" s="98" t="b">
        <v>0</v>
      </c>
      <c r="I496" s="98" t="b">
        <v>0</v>
      </c>
      <c r="J496" s="98" t="b">
        <v>0</v>
      </c>
      <c r="K496" s="98" t="b">
        <v>0</v>
      </c>
      <c r="L496" s="98" t="b">
        <v>0</v>
      </c>
    </row>
    <row r="497" spans="1:12" ht="15">
      <c r="A497" s="99" t="s">
        <v>303</v>
      </c>
      <c r="B497" s="98" t="s">
        <v>951</v>
      </c>
      <c r="C497" s="98">
        <v>3</v>
      </c>
      <c r="D497" s="111">
        <v>0.0065859768773676</v>
      </c>
      <c r="E497" s="111">
        <v>2.1573560154410694</v>
      </c>
      <c r="F497" s="98" t="s">
        <v>911</v>
      </c>
      <c r="G497" s="98" t="b">
        <v>0</v>
      </c>
      <c r="H497" s="98" t="b">
        <v>0</v>
      </c>
      <c r="I497" s="98" t="b">
        <v>0</v>
      </c>
      <c r="J497" s="98" t="b">
        <v>0</v>
      </c>
      <c r="K497" s="98" t="b">
        <v>0</v>
      </c>
      <c r="L497" s="98" t="b">
        <v>0</v>
      </c>
    </row>
    <row r="498" spans="1:12" ht="15">
      <c r="A498" s="99" t="s">
        <v>951</v>
      </c>
      <c r="B498" s="98" t="s">
        <v>952</v>
      </c>
      <c r="C498" s="98">
        <v>3</v>
      </c>
      <c r="D498" s="111">
        <v>0.0065859768773676</v>
      </c>
      <c r="E498" s="111">
        <v>2.1573560154410694</v>
      </c>
      <c r="F498" s="98" t="s">
        <v>911</v>
      </c>
      <c r="G498" s="98" t="b">
        <v>0</v>
      </c>
      <c r="H498" s="98" t="b">
        <v>0</v>
      </c>
      <c r="I498" s="98" t="b">
        <v>0</v>
      </c>
      <c r="J498" s="98" t="b">
        <v>0</v>
      </c>
      <c r="K498" s="98" t="b">
        <v>0</v>
      </c>
      <c r="L498" s="98" t="b">
        <v>0</v>
      </c>
    </row>
    <row r="499" spans="1:12" ht="15">
      <c r="A499" s="99" t="s">
        <v>952</v>
      </c>
      <c r="B499" s="98" t="s">
        <v>953</v>
      </c>
      <c r="C499" s="98">
        <v>3</v>
      </c>
      <c r="D499" s="111">
        <v>0.0065859768773676</v>
      </c>
      <c r="E499" s="111">
        <v>2.1573560154410694</v>
      </c>
      <c r="F499" s="98" t="s">
        <v>911</v>
      </c>
      <c r="G499" s="98" t="b">
        <v>0</v>
      </c>
      <c r="H499" s="98" t="b">
        <v>0</v>
      </c>
      <c r="I499" s="98" t="b">
        <v>0</v>
      </c>
      <c r="J499" s="98" t="b">
        <v>0</v>
      </c>
      <c r="K499" s="98" t="b">
        <v>0</v>
      </c>
      <c r="L499" s="98" t="b">
        <v>0</v>
      </c>
    </row>
    <row r="500" spans="1:12" ht="15">
      <c r="A500" s="99" t="s">
        <v>953</v>
      </c>
      <c r="B500" s="98" t="s">
        <v>954</v>
      </c>
      <c r="C500" s="98">
        <v>3</v>
      </c>
      <c r="D500" s="111">
        <v>0.0065859768773676</v>
      </c>
      <c r="E500" s="111">
        <v>2.1573560154410694</v>
      </c>
      <c r="F500" s="98" t="s">
        <v>911</v>
      </c>
      <c r="G500" s="98" t="b">
        <v>0</v>
      </c>
      <c r="H500" s="98" t="b">
        <v>0</v>
      </c>
      <c r="I500" s="98" t="b">
        <v>0</v>
      </c>
      <c r="J500" s="98" t="b">
        <v>0</v>
      </c>
      <c r="K500" s="98" t="b">
        <v>0</v>
      </c>
      <c r="L500" s="98" t="b">
        <v>0</v>
      </c>
    </row>
    <row r="501" spans="1:12" ht="15">
      <c r="A501" s="99" t="s">
        <v>954</v>
      </c>
      <c r="B501" s="98" t="s">
        <v>944</v>
      </c>
      <c r="C501" s="98">
        <v>3</v>
      </c>
      <c r="D501" s="111">
        <v>0.0065859768773676</v>
      </c>
      <c r="E501" s="111">
        <v>1.731387283168788</v>
      </c>
      <c r="F501" s="98" t="s">
        <v>911</v>
      </c>
      <c r="G501" s="98" t="b">
        <v>0</v>
      </c>
      <c r="H501" s="98" t="b">
        <v>0</v>
      </c>
      <c r="I501" s="98" t="b">
        <v>0</v>
      </c>
      <c r="J501" s="98" t="b">
        <v>0</v>
      </c>
      <c r="K501" s="98" t="b">
        <v>0</v>
      </c>
      <c r="L501" s="98" t="b">
        <v>0</v>
      </c>
    </row>
    <row r="502" spans="1:12" ht="15">
      <c r="A502" s="99" t="s">
        <v>944</v>
      </c>
      <c r="B502" s="98" t="s">
        <v>955</v>
      </c>
      <c r="C502" s="98">
        <v>3</v>
      </c>
      <c r="D502" s="111">
        <v>0.0065859768773676</v>
      </c>
      <c r="E502" s="111">
        <v>1.731387283168788</v>
      </c>
      <c r="F502" s="98" t="s">
        <v>911</v>
      </c>
      <c r="G502" s="98" t="b">
        <v>0</v>
      </c>
      <c r="H502" s="98" t="b">
        <v>0</v>
      </c>
      <c r="I502" s="98" t="b">
        <v>0</v>
      </c>
      <c r="J502" s="98" t="b">
        <v>0</v>
      </c>
      <c r="K502" s="98" t="b">
        <v>0</v>
      </c>
      <c r="L502" s="98" t="b">
        <v>0</v>
      </c>
    </row>
    <row r="503" spans="1:12" ht="15">
      <c r="A503" s="99" t="s">
        <v>955</v>
      </c>
      <c r="B503" s="98" t="s">
        <v>956</v>
      </c>
      <c r="C503" s="98">
        <v>3</v>
      </c>
      <c r="D503" s="111">
        <v>0.0065859768773676</v>
      </c>
      <c r="E503" s="111">
        <v>2.1573560154410694</v>
      </c>
      <c r="F503" s="98" t="s">
        <v>911</v>
      </c>
      <c r="G503" s="98" t="b">
        <v>0</v>
      </c>
      <c r="H503" s="98" t="b">
        <v>0</v>
      </c>
      <c r="I503" s="98" t="b">
        <v>0</v>
      </c>
      <c r="J503" s="98" t="b">
        <v>0</v>
      </c>
      <c r="K503" s="98" t="b">
        <v>0</v>
      </c>
      <c r="L503" s="98" t="b">
        <v>0</v>
      </c>
    </row>
    <row r="504" spans="1:12" ht="15">
      <c r="A504" s="99" t="s">
        <v>956</v>
      </c>
      <c r="B504" s="98" t="s">
        <v>957</v>
      </c>
      <c r="C504" s="98">
        <v>3</v>
      </c>
      <c r="D504" s="111">
        <v>0.0065859768773676</v>
      </c>
      <c r="E504" s="111">
        <v>2.1573560154410694</v>
      </c>
      <c r="F504" s="98" t="s">
        <v>911</v>
      </c>
      <c r="G504" s="98" t="b">
        <v>0</v>
      </c>
      <c r="H504" s="98" t="b">
        <v>0</v>
      </c>
      <c r="I504" s="98" t="b">
        <v>0</v>
      </c>
      <c r="J504" s="98" t="b">
        <v>0</v>
      </c>
      <c r="K504" s="98" t="b">
        <v>0</v>
      </c>
      <c r="L504" s="98" t="b">
        <v>0</v>
      </c>
    </row>
    <row r="505" spans="1:12" ht="15">
      <c r="A505" s="99" t="s">
        <v>957</v>
      </c>
      <c r="B505" s="98" t="s">
        <v>946</v>
      </c>
      <c r="C505" s="98">
        <v>3</v>
      </c>
      <c r="D505" s="111">
        <v>0.0065859768773676</v>
      </c>
      <c r="E505" s="111">
        <v>2.0324172788327695</v>
      </c>
      <c r="F505" s="98" t="s">
        <v>911</v>
      </c>
      <c r="G505" s="98" t="b">
        <v>0</v>
      </c>
      <c r="H505" s="98" t="b">
        <v>0</v>
      </c>
      <c r="I505" s="98" t="b">
        <v>0</v>
      </c>
      <c r="J505" s="98" t="b">
        <v>0</v>
      </c>
      <c r="K505" s="98" t="b">
        <v>0</v>
      </c>
      <c r="L505" s="98" t="b">
        <v>0</v>
      </c>
    </row>
    <row r="506" spans="1:12" ht="15">
      <c r="A506" s="99" t="s">
        <v>948</v>
      </c>
      <c r="B506" s="98" t="s">
        <v>944</v>
      </c>
      <c r="C506" s="98">
        <v>3</v>
      </c>
      <c r="D506" s="111">
        <v>0.0065859768773676</v>
      </c>
      <c r="E506" s="111">
        <v>1.606448546560488</v>
      </c>
      <c r="F506" s="98" t="s">
        <v>911</v>
      </c>
      <c r="G506" s="98" t="b">
        <v>0</v>
      </c>
      <c r="H506" s="98" t="b">
        <v>0</v>
      </c>
      <c r="I506" s="98" t="b">
        <v>0</v>
      </c>
      <c r="J506" s="98" t="b">
        <v>0</v>
      </c>
      <c r="K506" s="98" t="b">
        <v>0</v>
      </c>
      <c r="L506" s="98" t="b">
        <v>0</v>
      </c>
    </row>
    <row r="507" spans="1:12" ht="15">
      <c r="A507" s="99" t="s">
        <v>944</v>
      </c>
      <c r="B507" s="98" t="s">
        <v>958</v>
      </c>
      <c r="C507" s="98">
        <v>3</v>
      </c>
      <c r="D507" s="111">
        <v>0.0065859768773676</v>
      </c>
      <c r="E507" s="111">
        <v>1.731387283168788</v>
      </c>
      <c r="F507" s="98" t="s">
        <v>911</v>
      </c>
      <c r="G507" s="98" t="b">
        <v>0</v>
      </c>
      <c r="H507" s="98" t="b">
        <v>0</v>
      </c>
      <c r="I507" s="98" t="b">
        <v>0</v>
      </c>
      <c r="J507" s="98" t="b">
        <v>0</v>
      </c>
      <c r="K507" s="98" t="b">
        <v>0</v>
      </c>
      <c r="L507" s="98" t="b">
        <v>0</v>
      </c>
    </row>
    <row r="508" spans="1:12" ht="15">
      <c r="A508" s="99" t="s">
        <v>958</v>
      </c>
      <c r="B508" s="98" t="s">
        <v>932</v>
      </c>
      <c r="C508" s="98">
        <v>3</v>
      </c>
      <c r="D508" s="111">
        <v>0.0065859768773676</v>
      </c>
      <c r="E508" s="111">
        <v>1.430357287504807</v>
      </c>
      <c r="F508" s="98" t="s">
        <v>911</v>
      </c>
      <c r="G508" s="98" t="b">
        <v>0</v>
      </c>
      <c r="H508" s="98" t="b">
        <v>0</v>
      </c>
      <c r="I508" s="98" t="b">
        <v>0</v>
      </c>
      <c r="J508" s="98" t="b">
        <v>0</v>
      </c>
      <c r="K508" s="98" t="b">
        <v>0</v>
      </c>
      <c r="L508" s="98" t="b">
        <v>0</v>
      </c>
    </row>
    <row r="509" spans="1:12" ht="15">
      <c r="A509" s="99" t="s">
        <v>293</v>
      </c>
      <c r="B509" s="98" t="s">
        <v>932</v>
      </c>
      <c r="C509" s="98">
        <v>3</v>
      </c>
      <c r="D509" s="111">
        <v>0.0065859768773676</v>
      </c>
      <c r="E509" s="111">
        <v>1.0043885552325256</v>
      </c>
      <c r="F509" s="98" t="s">
        <v>911</v>
      </c>
      <c r="G509" s="98" t="b">
        <v>0</v>
      </c>
      <c r="H509" s="98" t="b">
        <v>0</v>
      </c>
      <c r="I509" s="98" t="b">
        <v>0</v>
      </c>
      <c r="J509" s="98" t="b">
        <v>0</v>
      </c>
      <c r="K509" s="98" t="b">
        <v>0</v>
      </c>
      <c r="L509" s="98" t="b">
        <v>0</v>
      </c>
    </row>
    <row r="510" spans="1:12" ht="15">
      <c r="A510" s="99" t="s">
        <v>987</v>
      </c>
      <c r="B510" s="98" t="s">
        <v>988</v>
      </c>
      <c r="C510" s="98">
        <v>2</v>
      </c>
      <c r="D510" s="111">
        <v>0.005152951074330266</v>
      </c>
      <c r="E510" s="111">
        <v>2.3334472744967503</v>
      </c>
      <c r="F510" s="98" t="s">
        <v>911</v>
      </c>
      <c r="G510" s="98" t="b">
        <v>0</v>
      </c>
      <c r="H510" s="98" t="b">
        <v>0</v>
      </c>
      <c r="I510" s="98" t="b">
        <v>0</v>
      </c>
      <c r="J510" s="98" t="b">
        <v>0</v>
      </c>
      <c r="K510" s="98" t="b">
        <v>0</v>
      </c>
      <c r="L510" s="98" t="b">
        <v>0</v>
      </c>
    </row>
    <row r="511" spans="1:12" ht="15">
      <c r="A511" s="99" t="s">
        <v>988</v>
      </c>
      <c r="B511" s="98" t="s">
        <v>932</v>
      </c>
      <c r="C511" s="98">
        <v>2</v>
      </c>
      <c r="D511" s="111">
        <v>0.005152951074330266</v>
      </c>
      <c r="E511" s="111">
        <v>1.4303572875048067</v>
      </c>
      <c r="F511" s="98" t="s">
        <v>911</v>
      </c>
      <c r="G511" s="98" t="b">
        <v>0</v>
      </c>
      <c r="H511" s="98" t="b">
        <v>0</v>
      </c>
      <c r="I511" s="98" t="b">
        <v>0</v>
      </c>
      <c r="J511" s="98" t="b">
        <v>0</v>
      </c>
      <c r="K511" s="98" t="b">
        <v>0</v>
      </c>
      <c r="L511" s="98" t="b">
        <v>0</v>
      </c>
    </row>
    <row r="512" spans="1:12" ht="15">
      <c r="A512" s="99" t="s">
        <v>932</v>
      </c>
      <c r="B512" s="98" t="s">
        <v>989</v>
      </c>
      <c r="C512" s="98">
        <v>2</v>
      </c>
      <c r="D512" s="111">
        <v>0.005152951074330266</v>
      </c>
      <c r="E512" s="111">
        <v>1.731387283168788</v>
      </c>
      <c r="F512" s="98" t="s">
        <v>911</v>
      </c>
      <c r="G512" s="98" t="b">
        <v>0</v>
      </c>
      <c r="H512" s="98" t="b">
        <v>0</v>
      </c>
      <c r="I512" s="98" t="b">
        <v>0</v>
      </c>
      <c r="J512" s="98" t="b">
        <v>0</v>
      </c>
      <c r="K512" s="98" t="b">
        <v>0</v>
      </c>
      <c r="L512" s="98" t="b">
        <v>0</v>
      </c>
    </row>
    <row r="513" spans="1:12" ht="15">
      <c r="A513" s="99" t="s">
        <v>989</v>
      </c>
      <c r="B513" s="98" t="s">
        <v>990</v>
      </c>
      <c r="C513" s="98">
        <v>2</v>
      </c>
      <c r="D513" s="111">
        <v>0.005152951074330266</v>
      </c>
      <c r="E513" s="111">
        <v>2.3334472744967503</v>
      </c>
      <c r="F513" s="98" t="s">
        <v>911</v>
      </c>
      <c r="G513" s="98" t="b">
        <v>0</v>
      </c>
      <c r="H513" s="98" t="b">
        <v>0</v>
      </c>
      <c r="I513" s="98" t="b">
        <v>0</v>
      </c>
      <c r="J513" s="98" t="b">
        <v>0</v>
      </c>
      <c r="K513" s="98" t="b">
        <v>0</v>
      </c>
      <c r="L513" s="98" t="b">
        <v>0</v>
      </c>
    </row>
    <row r="514" spans="1:12" ht="15">
      <c r="A514" s="99" t="s">
        <v>990</v>
      </c>
      <c r="B514" s="98" t="s">
        <v>991</v>
      </c>
      <c r="C514" s="98">
        <v>2</v>
      </c>
      <c r="D514" s="111">
        <v>0.005152951074330266</v>
      </c>
      <c r="E514" s="111">
        <v>2.3334472744967503</v>
      </c>
      <c r="F514" s="98" t="s">
        <v>911</v>
      </c>
      <c r="G514" s="98" t="b">
        <v>0</v>
      </c>
      <c r="H514" s="98" t="b">
        <v>0</v>
      </c>
      <c r="I514" s="98" t="b">
        <v>0</v>
      </c>
      <c r="J514" s="98" t="b">
        <v>0</v>
      </c>
      <c r="K514" s="98" t="b">
        <v>0</v>
      </c>
      <c r="L514" s="98" t="b">
        <v>0</v>
      </c>
    </row>
    <row r="515" spans="1:12" ht="15">
      <c r="A515" s="99" t="s">
        <v>991</v>
      </c>
      <c r="B515" s="98" t="s">
        <v>992</v>
      </c>
      <c r="C515" s="98">
        <v>2</v>
      </c>
      <c r="D515" s="111">
        <v>0.005152951074330266</v>
      </c>
      <c r="E515" s="111">
        <v>2.3334472744967503</v>
      </c>
      <c r="F515" s="98" t="s">
        <v>911</v>
      </c>
      <c r="G515" s="98" t="b">
        <v>0</v>
      </c>
      <c r="H515" s="98" t="b">
        <v>0</v>
      </c>
      <c r="I515" s="98" t="b">
        <v>0</v>
      </c>
      <c r="J515" s="98" t="b">
        <v>0</v>
      </c>
      <c r="K515" s="98" t="b">
        <v>0</v>
      </c>
      <c r="L515" s="98" t="b">
        <v>0</v>
      </c>
    </row>
    <row r="516" spans="1:12" ht="15">
      <c r="A516" s="99" t="s">
        <v>992</v>
      </c>
      <c r="B516" s="98" t="s">
        <v>993</v>
      </c>
      <c r="C516" s="98">
        <v>2</v>
      </c>
      <c r="D516" s="111">
        <v>0.005152951074330266</v>
      </c>
      <c r="E516" s="111">
        <v>2.3334472744967503</v>
      </c>
      <c r="F516" s="98" t="s">
        <v>911</v>
      </c>
      <c r="G516" s="98" t="b">
        <v>0</v>
      </c>
      <c r="H516" s="98" t="b">
        <v>0</v>
      </c>
      <c r="I516" s="98" t="b">
        <v>0</v>
      </c>
      <c r="J516" s="98" t="b">
        <v>0</v>
      </c>
      <c r="K516" s="98" t="b">
        <v>0</v>
      </c>
      <c r="L516" s="98" t="b">
        <v>0</v>
      </c>
    </row>
    <row r="517" spans="1:12" ht="15">
      <c r="A517" s="99" t="s">
        <v>993</v>
      </c>
      <c r="B517" s="98" t="s">
        <v>994</v>
      </c>
      <c r="C517" s="98">
        <v>2</v>
      </c>
      <c r="D517" s="111">
        <v>0.005152951074330266</v>
      </c>
      <c r="E517" s="111">
        <v>2.3334472744967503</v>
      </c>
      <c r="F517" s="98" t="s">
        <v>911</v>
      </c>
      <c r="G517" s="98" t="b">
        <v>0</v>
      </c>
      <c r="H517" s="98" t="b">
        <v>0</v>
      </c>
      <c r="I517" s="98" t="b">
        <v>0</v>
      </c>
      <c r="J517" s="98" t="b">
        <v>0</v>
      </c>
      <c r="K517" s="98" t="b">
        <v>0</v>
      </c>
      <c r="L517" s="98" t="b">
        <v>0</v>
      </c>
    </row>
    <row r="518" spans="1:12" ht="15">
      <c r="A518" s="99" t="s">
        <v>994</v>
      </c>
      <c r="B518" s="98" t="s">
        <v>995</v>
      </c>
      <c r="C518" s="98">
        <v>2</v>
      </c>
      <c r="D518" s="111">
        <v>0.005152951074330266</v>
      </c>
      <c r="E518" s="111">
        <v>2.3334472744967503</v>
      </c>
      <c r="F518" s="98" t="s">
        <v>911</v>
      </c>
      <c r="G518" s="98" t="b">
        <v>0</v>
      </c>
      <c r="H518" s="98" t="b">
        <v>0</v>
      </c>
      <c r="I518" s="98" t="b">
        <v>0</v>
      </c>
      <c r="J518" s="98" t="b">
        <v>0</v>
      </c>
      <c r="K518" s="98" t="b">
        <v>0</v>
      </c>
      <c r="L518" s="98" t="b">
        <v>0</v>
      </c>
    </row>
    <row r="519" spans="1:12" ht="15">
      <c r="A519" s="99" t="s">
        <v>995</v>
      </c>
      <c r="B519" s="98" t="s">
        <v>996</v>
      </c>
      <c r="C519" s="98">
        <v>2</v>
      </c>
      <c r="D519" s="111">
        <v>0.005152951074330266</v>
      </c>
      <c r="E519" s="111">
        <v>1.7893792301464748</v>
      </c>
      <c r="F519" s="98" t="s">
        <v>911</v>
      </c>
      <c r="G519" s="98" t="b">
        <v>0</v>
      </c>
      <c r="H519" s="98" t="b">
        <v>0</v>
      </c>
      <c r="I519" s="98" t="b">
        <v>0</v>
      </c>
      <c r="J519" s="98" t="b">
        <v>0</v>
      </c>
      <c r="K519" s="98" t="b">
        <v>0</v>
      </c>
      <c r="L519" s="98" t="b">
        <v>0</v>
      </c>
    </row>
    <row r="520" spans="1:12" ht="15">
      <c r="A520" s="99" t="s">
        <v>998</v>
      </c>
      <c r="B520" s="98" t="s">
        <v>999</v>
      </c>
      <c r="C520" s="98">
        <v>2</v>
      </c>
      <c r="D520" s="111">
        <v>0.005152951074330266</v>
      </c>
      <c r="E520" s="111">
        <v>1.7893792301464748</v>
      </c>
      <c r="F520" s="98" t="s">
        <v>911</v>
      </c>
      <c r="G520" s="98" t="b">
        <v>0</v>
      </c>
      <c r="H520" s="98" t="b">
        <v>0</v>
      </c>
      <c r="I520" s="98" t="b">
        <v>0</v>
      </c>
      <c r="J520" s="98" t="b">
        <v>0</v>
      </c>
      <c r="K520" s="98" t="b">
        <v>0</v>
      </c>
      <c r="L520" s="98" t="b">
        <v>0</v>
      </c>
    </row>
    <row r="521" spans="1:12" ht="15">
      <c r="A521" s="99" t="s">
        <v>260</v>
      </c>
      <c r="B521" s="98" t="s">
        <v>295</v>
      </c>
      <c r="C521" s="98">
        <v>2</v>
      </c>
      <c r="D521" s="111">
        <v>0.005152951074330266</v>
      </c>
      <c r="E521" s="111">
        <v>2.1573560154410694</v>
      </c>
      <c r="F521" s="98" t="s">
        <v>911</v>
      </c>
      <c r="G521" s="98" t="b">
        <v>0</v>
      </c>
      <c r="H521" s="98" t="b">
        <v>0</v>
      </c>
      <c r="I521" s="98" t="b">
        <v>0</v>
      </c>
      <c r="J521" s="98" t="b">
        <v>0</v>
      </c>
      <c r="K521" s="98" t="b">
        <v>0</v>
      </c>
      <c r="L521" s="98" t="b">
        <v>0</v>
      </c>
    </row>
    <row r="522" spans="1:12" ht="15">
      <c r="A522" s="99" t="s">
        <v>945</v>
      </c>
      <c r="B522" s="98" t="s">
        <v>966</v>
      </c>
      <c r="C522" s="98">
        <v>2</v>
      </c>
      <c r="D522" s="111">
        <v>0.005152951074330266</v>
      </c>
      <c r="E522" s="111">
        <v>1.0781747693934445</v>
      </c>
      <c r="F522" s="98" t="s">
        <v>911</v>
      </c>
      <c r="G522" s="98" t="b">
        <v>0</v>
      </c>
      <c r="H522" s="98" t="b">
        <v>0</v>
      </c>
      <c r="I522" s="98" t="b">
        <v>0</v>
      </c>
      <c r="J522" s="98" t="b">
        <v>0</v>
      </c>
      <c r="K522" s="98" t="b">
        <v>0</v>
      </c>
      <c r="L522" s="98" t="b">
        <v>0</v>
      </c>
    </row>
    <row r="523" spans="1:12" ht="15">
      <c r="A523" s="99" t="s">
        <v>1045</v>
      </c>
      <c r="B523" s="98" t="s">
        <v>934</v>
      </c>
      <c r="C523" s="98">
        <v>2</v>
      </c>
      <c r="D523" s="111">
        <v>0.005152951074330266</v>
      </c>
      <c r="E523" s="111">
        <v>1.4040283487824576</v>
      </c>
      <c r="F523" s="98" t="s">
        <v>911</v>
      </c>
      <c r="G523" s="98" t="b">
        <v>0</v>
      </c>
      <c r="H523" s="98" t="b">
        <v>0</v>
      </c>
      <c r="I523" s="98" t="b">
        <v>0</v>
      </c>
      <c r="J523" s="98" t="b">
        <v>0</v>
      </c>
      <c r="K523" s="98" t="b">
        <v>0</v>
      </c>
      <c r="L523" s="98" t="b">
        <v>0</v>
      </c>
    </row>
    <row r="524" spans="1:12" ht="15">
      <c r="A524" s="99" t="s">
        <v>934</v>
      </c>
      <c r="B524" s="98" t="s">
        <v>1046</v>
      </c>
      <c r="C524" s="98">
        <v>2</v>
      </c>
      <c r="D524" s="111">
        <v>0.005152951074330266</v>
      </c>
      <c r="E524" s="111">
        <v>1.4040283487824576</v>
      </c>
      <c r="F524" s="98" t="s">
        <v>911</v>
      </c>
      <c r="G524" s="98" t="b">
        <v>0</v>
      </c>
      <c r="H524" s="98" t="b">
        <v>0</v>
      </c>
      <c r="I524" s="98" t="b">
        <v>0</v>
      </c>
      <c r="J524" s="98" t="b">
        <v>0</v>
      </c>
      <c r="K524" s="98" t="b">
        <v>0</v>
      </c>
      <c r="L524" s="98" t="b">
        <v>0</v>
      </c>
    </row>
    <row r="525" spans="1:12" ht="15">
      <c r="A525" s="99" t="s">
        <v>1046</v>
      </c>
      <c r="B525" s="98" t="s">
        <v>949</v>
      </c>
      <c r="C525" s="98">
        <v>2</v>
      </c>
      <c r="D525" s="111">
        <v>0.005152951074330266</v>
      </c>
      <c r="E525" s="111">
        <v>1.9355072658247128</v>
      </c>
      <c r="F525" s="98" t="s">
        <v>911</v>
      </c>
      <c r="G525" s="98" t="b">
        <v>0</v>
      </c>
      <c r="H525" s="98" t="b">
        <v>0</v>
      </c>
      <c r="I525" s="98" t="b">
        <v>0</v>
      </c>
      <c r="J525" s="98" t="b">
        <v>0</v>
      </c>
      <c r="K525" s="98" t="b">
        <v>0</v>
      </c>
      <c r="L525" s="98" t="b">
        <v>0</v>
      </c>
    </row>
    <row r="526" spans="1:12" ht="15">
      <c r="A526" s="99" t="s">
        <v>949</v>
      </c>
      <c r="B526" s="98" t="s">
        <v>1047</v>
      </c>
      <c r="C526" s="98">
        <v>2</v>
      </c>
      <c r="D526" s="111">
        <v>0.005152951074330266</v>
      </c>
      <c r="E526" s="111">
        <v>1.9355072658247128</v>
      </c>
      <c r="F526" s="98" t="s">
        <v>911</v>
      </c>
      <c r="G526" s="98" t="b">
        <v>0</v>
      </c>
      <c r="H526" s="98" t="b">
        <v>0</v>
      </c>
      <c r="I526" s="98" t="b">
        <v>0</v>
      </c>
      <c r="J526" s="98" t="b">
        <v>0</v>
      </c>
      <c r="K526" s="98" t="b">
        <v>0</v>
      </c>
      <c r="L526" s="98" t="b">
        <v>0</v>
      </c>
    </row>
    <row r="527" spans="1:12" ht="15">
      <c r="A527" s="99" t="s">
        <v>1047</v>
      </c>
      <c r="B527" s="98" t="s">
        <v>1048</v>
      </c>
      <c r="C527" s="98">
        <v>2</v>
      </c>
      <c r="D527" s="111">
        <v>0.005152951074330266</v>
      </c>
      <c r="E527" s="111">
        <v>2.3334472744967503</v>
      </c>
      <c r="F527" s="98" t="s">
        <v>911</v>
      </c>
      <c r="G527" s="98" t="b">
        <v>0</v>
      </c>
      <c r="H527" s="98" t="b">
        <v>0</v>
      </c>
      <c r="I527" s="98" t="b">
        <v>0</v>
      </c>
      <c r="J527" s="98" t="b">
        <v>0</v>
      </c>
      <c r="K527" s="98" t="b">
        <v>0</v>
      </c>
      <c r="L527" s="98" t="b">
        <v>0</v>
      </c>
    </row>
    <row r="528" spans="1:12" ht="15">
      <c r="A528" s="99" t="s">
        <v>1048</v>
      </c>
      <c r="B528" s="98" t="s">
        <v>1049</v>
      </c>
      <c r="C528" s="98">
        <v>2</v>
      </c>
      <c r="D528" s="111">
        <v>0.005152951074330266</v>
      </c>
      <c r="E528" s="111">
        <v>2.1573560154410694</v>
      </c>
      <c r="F528" s="98" t="s">
        <v>911</v>
      </c>
      <c r="G528" s="98" t="b">
        <v>0</v>
      </c>
      <c r="H528" s="98" t="b">
        <v>0</v>
      </c>
      <c r="I528" s="98" t="b">
        <v>0</v>
      </c>
      <c r="J528" s="98" t="b">
        <v>0</v>
      </c>
      <c r="K528" s="98" t="b">
        <v>0</v>
      </c>
      <c r="L528" s="98" t="b">
        <v>0</v>
      </c>
    </row>
    <row r="529" spans="1:12" ht="15">
      <c r="A529" s="99" t="s">
        <v>1049</v>
      </c>
      <c r="B529" s="98" t="s">
        <v>293</v>
      </c>
      <c r="C529" s="98">
        <v>2</v>
      </c>
      <c r="D529" s="111">
        <v>0.005152951074330266</v>
      </c>
      <c r="E529" s="111">
        <v>1.731387283168788</v>
      </c>
      <c r="F529" s="98" t="s">
        <v>911</v>
      </c>
      <c r="G529" s="98" t="b">
        <v>0</v>
      </c>
      <c r="H529" s="98" t="b">
        <v>0</v>
      </c>
      <c r="I529" s="98" t="b">
        <v>0</v>
      </c>
      <c r="J529" s="98" t="b">
        <v>0</v>
      </c>
      <c r="K529" s="98" t="b">
        <v>0</v>
      </c>
      <c r="L529" s="98" t="b">
        <v>0</v>
      </c>
    </row>
    <row r="530" spans="1:12" ht="15">
      <c r="A530" s="99" t="s">
        <v>930</v>
      </c>
      <c r="B530" s="98" t="s">
        <v>933</v>
      </c>
      <c r="C530" s="98">
        <v>2</v>
      </c>
      <c r="D530" s="111">
        <v>0.01617360185490381</v>
      </c>
      <c r="E530" s="111">
        <v>1.255272505103306</v>
      </c>
      <c r="F530" s="98" t="s">
        <v>912</v>
      </c>
      <c r="G530" s="98" t="b">
        <v>0</v>
      </c>
      <c r="H530" s="98" t="b">
        <v>0</v>
      </c>
      <c r="I530" s="98" t="b">
        <v>0</v>
      </c>
      <c r="J530" s="98" t="b">
        <v>0</v>
      </c>
      <c r="K530" s="98" t="b">
        <v>0</v>
      </c>
      <c r="L530" s="98" t="b">
        <v>0</v>
      </c>
    </row>
    <row r="531" spans="1:12" ht="15">
      <c r="A531" s="99" t="s">
        <v>2431</v>
      </c>
      <c r="B531" s="98" t="s">
        <v>2432</v>
      </c>
      <c r="C531" s="98">
        <v>2</v>
      </c>
      <c r="D531" s="111">
        <v>0</v>
      </c>
      <c r="E531" s="111">
        <v>1.1760912590556813</v>
      </c>
      <c r="F531" s="98" t="s">
        <v>2361</v>
      </c>
      <c r="G531" s="98" t="b">
        <v>0</v>
      </c>
      <c r="H531" s="98" t="b">
        <v>0</v>
      </c>
      <c r="I531" s="98" t="b">
        <v>0</v>
      </c>
      <c r="J531" s="98" t="b">
        <v>0</v>
      </c>
      <c r="K531" s="98" t="b">
        <v>0</v>
      </c>
      <c r="L531" s="98" t="b">
        <v>0</v>
      </c>
    </row>
    <row r="532" spans="1:12" ht="15">
      <c r="A532" s="99" t="s">
        <v>2432</v>
      </c>
      <c r="B532" s="98" t="s">
        <v>2433</v>
      </c>
      <c r="C532" s="98">
        <v>2</v>
      </c>
      <c r="D532" s="111">
        <v>0</v>
      </c>
      <c r="E532" s="111">
        <v>1.1760912590556813</v>
      </c>
      <c r="F532" s="98" t="s">
        <v>2361</v>
      </c>
      <c r="G532" s="98" t="b">
        <v>0</v>
      </c>
      <c r="H532" s="98" t="b">
        <v>0</v>
      </c>
      <c r="I532" s="98" t="b">
        <v>0</v>
      </c>
      <c r="J532" s="98" t="b">
        <v>0</v>
      </c>
      <c r="K532" s="98" t="b">
        <v>0</v>
      </c>
      <c r="L532" s="98" t="b">
        <v>0</v>
      </c>
    </row>
    <row r="533" spans="1:12" ht="15">
      <c r="A533" s="99" t="s">
        <v>2433</v>
      </c>
      <c r="B533" s="98" t="s">
        <v>2429</v>
      </c>
      <c r="C533" s="98">
        <v>2</v>
      </c>
      <c r="D533" s="111">
        <v>0</v>
      </c>
      <c r="E533" s="111">
        <v>1.1760912590556813</v>
      </c>
      <c r="F533" s="98" t="s">
        <v>2361</v>
      </c>
      <c r="G533" s="98" t="b">
        <v>0</v>
      </c>
      <c r="H533" s="98" t="b">
        <v>0</v>
      </c>
      <c r="I533" s="98" t="b">
        <v>0</v>
      </c>
      <c r="J533" s="98" t="b">
        <v>0</v>
      </c>
      <c r="K533" s="98" t="b">
        <v>0</v>
      </c>
      <c r="L533" s="98" t="b">
        <v>0</v>
      </c>
    </row>
    <row r="534" spans="1:12" ht="15">
      <c r="A534" s="99" t="s">
        <v>2429</v>
      </c>
      <c r="B534" s="98" t="s">
        <v>2434</v>
      </c>
      <c r="C534" s="98">
        <v>2</v>
      </c>
      <c r="D534" s="111">
        <v>0</v>
      </c>
      <c r="E534" s="111">
        <v>1.1760912590556813</v>
      </c>
      <c r="F534" s="98" t="s">
        <v>2361</v>
      </c>
      <c r="G534" s="98" t="b">
        <v>0</v>
      </c>
      <c r="H534" s="98" t="b">
        <v>0</v>
      </c>
      <c r="I534" s="98" t="b">
        <v>0</v>
      </c>
      <c r="J534" s="98" t="b">
        <v>0</v>
      </c>
      <c r="K534" s="98" t="b">
        <v>0</v>
      </c>
      <c r="L534" s="98" t="b">
        <v>0</v>
      </c>
    </row>
    <row r="535" spans="1:12" ht="15">
      <c r="A535" s="99" t="s">
        <v>2434</v>
      </c>
      <c r="B535" s="98" t="s">
        <v>2435</v>
      </c>
      <c r="C535" s="98">
        <v>2</v>
      </c>
      <c r="D535" s="111">
        <v>0</v>
      </c>
      <c r="E535" s="111">
        <v>1.1760912590556813</v>
      </c>
      <c r="F535" s="98" t="s">
        <v>2361</v>
      </c>
      <c r="G535" s="98" t="b">
        <v>0</v>
      </c>
      <c r="H535" s="98" t="b">
        <v>0</v>
      </c>
      <c r="I535" s="98" t="b">
        <v>0</v>
      </c>
      <c r="J535" s="98" t="b">
        <v>0</v>
      </c>
      <c r="K535" s="98" t="b">
        <v>0</v>
      </c>
      <c r="L535" s="98" t="b">
        <v>0</v>
      </c>
    </row>
    <row r="536" spans="1:12" ht="15">
      <c r="A536" s="99" t="s">
        <v>2435</v>
      </c>
      <c r="B536" s="98" t="s">
        <v>931</v>
      </c>
      <c r="C536" s="98">
        <v>2</v>
      </c>
      <c r="D536" s="111">
        <v>0</v>
      </c>
      <c r="E536" s="111">
        <v>1.1760912590556813</v>
      </c>
      <c r="F536" s="98" t="s">
        <v>2361</v>
      </c>
      <c r="G536" s="98" t="b">
        <v>0</v>
      </c>
      <c r="H536" s="98" t="b">
        <v>0</v>
      </c>
      <c r="I536" s="98" t="b">
        <v>0</v>
      </c>
      <c r="J536" s="98" t="b">
        <v>0</v>
      </c>
      <c r="K536" s="98" t="b">
        <v>0</v>
      </c>
      <c r="L536" s="98" t="b">
        <v>0</v>
      </c>
    </row>
    <row r="537" spans="1:12" ht="15">
      <c r="A537" s="99" t="s">
        <v>931</v>
      </c>
      <c r="B537" s="98" t="s">
        <v>1206</v>
      </c>
      <c r="C537" s="98">
        <v>2</v>
      </c>
      <c r="D537" s="111">
        <v>0</v>
      </c>
      <c r="E537" s="111">
        <v>1.1760912590556813</v>
      </c>
      <c r="F537" s="98" t="s">
        <v>2361</v>
      </c>
      <c r="G537" s="98" t="b">
        <v>0</v>
      </c>
      <c r="H537" s="98" t="b">
        <v>0</v>
      </c>
      <c r="I537" s="98" t="b">
        <v>0</v>
      </c>
      <c r="J537" s="98" t="b">
        <v>0</v>
      </c>
      <c r="K537" s="98" t="b">
        <v>0</v>
      </c>
      <c r="L537" s="98" t="b">
        <v>0</v>
      </c>
    </row>
    <row r="538" spans="1:12" ht="15">
      <c r="A538" s="99" t="s">
        <v>1206</v>
      </c>
      <c r="B538" s="98" t="s">
        <v>945</v>
      </c>
      <c r="C538" s="98">
        <v>2</v>
      </c>
      <c r="D538" s="111">
        <v>0</v>
      </c>
      <c r="E538" s="111">
        <v>1.1760912590556813</v>
      </c>
      <c r="F538" s="98" t="s">
        <v>2361</v>
      </c>
      <c r="G538" s="98" t="b">
        <v>0</v>
      </c>
      <c r="H538" s="98" t="b">
        <v>0</v>
      </c>
      <c r="I538" s="98" t="b">
        <v>0</v>
      </c>
      <c r="J538" s="98" t="b">
        <v>0</v>
      </c>
      <c r="K538" s="98" t="b">
        <v>0</v>
      </c>
      <c r="L538" s="98" t="b">
        <v>0</v>
      </c>
    </row>
    <row r="539" spans="1:12" ht="15">
      <c r="A539" s="99" t="s">
        <v>945</v>
      </c>
      <c r="B539" s="98" t="s">
        <v>980</v>
      </c>
      <c r="C539" s="98">
        <v>2</v>
      </c>
      <c r="D539" s="111">
        <v>0</v>
      </c>
      <c r="E539" s="111">
        <v>1.1760912590556813</v>
      </c>
      <c r="F539" s="98" t="s">
        <v>2361</v>
      </c>
      <c r="G539" s="98" t="b">
        <v>0</v>
      </c>
      <c r="H539" s="98" t="b">
        <v>0</v>
      </c>
      <c r="I539" s="98" t="b">
        <v>0</v>
      </c>
      <c r="J539" s="98" t="b">
        <v>0</v>
      </c>
      <c r="K539" s="98" t="b">
        <v>0</v>
      </c>
      <c r="L539" s="98" t="b">
        <v>0</v>
      </c>
    </row>
    <row r="540" spans="1:12" ht="15">
      <c r="A540" s="99" t="s">
        <v>980</v>
      </c>
      <c r="B540" s="98" t="s">
        <v>966</v>
      </c>
      <c r="C540" s="98">
        <v>2</v>
      </c>
      <c r="D540" s="111">
        <v>0</v>
      </c>
      <c r="E540" s="111">
        <v>1.1760912590556813</v>
      </c>
      <c r="F540" s="98" t="s">
        <v>2361</v>
      </c>
      <c r="G540" s="98" t="b">
        <v>0</v>
      </c>
      <c r="H540" s="98" t="b">
        <v>0</v>
      </c>
      <c r="I540" s="98" t="b">
        <v>0</v>
      </c>
      <c r="J540" s="98" t="b">
        <v>0</v>
      </c>
      <c r="K540" s="98" t="b">
        <v>0</v>
      </c>
      <c r="L540" s="98" t="b">
        <v>0</v>
      </c>
    </row>
    <row r="541" spans="1:12" ht="15">
      <c r="A541" s="99" t="s">
        <v>966</v>
      </c>
      <c r="B541" s="98" t="s">
        <v>2436</v>
      </c>
      <c r="C541" s="98">
        <v>2</v>
      </c>
      <c r="D541" s="111">
        <v>0</v>
      </c>
      <c r="E541" s="111">
        <v>1.1760912590556813</v>
      </c>
      <c r="F541" s="98" t="s">
        <v>2361</v>
      </c>
      <c r="G541" s="98" t="b">
        <v>0</v>
      </c>
      <c r="H541" s="98" t="b">
        <v>0</v>
      </c>
      <c r="I541" s="98" t="b">
        <v>0</v>
      </c>
      <c r="J541" s="98" t="b">
        <v>0</v>
      </c>
      <c r="K541" s="98" t="b">
        <v>0</v>
      </c>
      <c r="L541" s="98" t="b">
        <v>0</v>
      </c>
    </row>
    <row r="542" spans="1:12" ht="15">
      <c r="A542" s="99" t="s">
        <v>2436</v>
      </c>
      <c r="B542" s="98" t="s">
        <v>2437</v>
      </c>
      <c r="C542" s="98">
        <v>2</v>
      </c>
      <c r="D542" s="111">
        <v>0</v>
      </c>
      <c r="E542" s="111">
        <v>1.1760912590556813</v>
      </c>
      <c r="F542" s="98" t="s">
        <v>2361</v>
      </c>
      <c r="G542" s="98" t="b">
        <v>0</v>
      </c>
      <c r="H542" s="98" t="b">
        <v>0</v>
      </c>
      <c r="I542" s="98" t="b">
        <v>0</v>
      </c>
      <c r="J542" s="98" t="b">
        <v>0</v>
      </c>
      <c r="K542" s="98" t="b">
        <v>0</v>
      </c>
      <c r="L542" s="98" t="b">
        <v>0</v>
      </c>
    </row>
    <row r="543" spans="1:12" ht="15">
      <c r="A543" s="99" t="s">
        <v>2437</v>
      </c>
      <c r="B543" s="98" t="s">
        <v>2430</v>
      </c>
      <c r="C543" s="98">
        <v>2</v>
      </c>
      <c r="D543" s="111">
        <v>0</v>
      </c>
      <c r="E543" s="111">
        <v>1.1760912590556813</v>
      </c>
      <c r="F543" s="98" t="s">
        <v>2361</v>
      </c>
      <c r="G543" s="98" t="b">
        <v>0</v>
      </c>
      <c r="H543" s="98" t="b">
        <v>0</v>
      </c>
      <c r="I543" s="98" t="b">
        <v>0</v>
      </c>
      <c r="J543" s="98" t="b">
        <v>0</v>
      </c>
      <c r="K543" s="98" t="b">
        <v>0</v>
      </c>
      <c r="L543" s="98" t="b">
        <v>0</v>
      </c>
    </row>
    <row r="544" spans="1:12" ht="15">
      <c r="A544" s="99" t="s">
        <v>2430</v>
      </c>
      <c r="B544" s="98" t="s">
        <v>2438</v>
      </c>
      <c r="C544" s="98">
        <v>2</v>
      </c>
      <c r="D544" s="111">
        <v>0</v>
      </c>
      <c r="E544" s="111">
        <v>1.1760912590556813</v>
      </c>
      <c r="F544" s="98" t="s">
        <v>2361</v>
      </c>
      <c r="G544" s="98" t="b">
        <v>0</v>
      </c>
      <c r="H544" s="98" t="b">
        <v>0</v>
      </c>
      <c r="I544" s="98" t="b">
        <v>0</v>
      </c>
      <c r="J544" s="98" t="b">
        <v>0</v>
      </c>
      <c r="K544" s="98" t="b">
        <v>0</v>
      </c>
      <c r="L544" s="98" t="b">
        <v>0</v>
      </c>
    </row>
    <row r="545" spans="1:12" ht="15">
      <c r="A545" s="99" t="s">
        <v>2438</v>
      </c>
      <c r="B545" s="98" t="s">
        <v>984</v>
      </c>
      <c r="C545" s="98">
        <v>2</v>
      </c>
      <c r="D545" s="111">
        <v>0</v>
      </c>
      <c r="E545" s="111">
        <v>1.1760912590556813</v>
      </c>
      <c r="F545" s="98" t="s">
        <v>2361</v>
      </c>
      <c r="G545" s="98" t="b">
        <v>0</v>
      </c>
      <c r="H545" s="98" t="b">
        <v>0</v>
      </c>
      <c r="I545" s="98" t="b">
        <v>0</v>
      </c>
      <c r="J545" s="98" t="b">
        <v>0</v>
      </c>
      <c r="K545" s="98" t="b">
        <v>0</v>
      </c>
      <c r="L545" s="98" t="b">
        <v>0</v>
      </c>
    </row>
    <row r="546" spans="1:12" ht="15">
      <c r="A546" s="99" t="s">
        <v>930</v>
      </c>
      <c r="B546" s="98" t="s">
        <v>933</v>
      </c>
      <c r="C546" s="98">
        <v>2</v>
      </c>
      <c r="D546" s="111">
        <v>0</v>
      </c>
      <c r="E546" s="111">
        <v>1.1139433523068367</v>
      </c>
      <c r="F546" s="98" t="s">
        <v>2362</v>
      </c>
      <c r="G546" s="98" t="b">
        <v>0</v>
      </c>
      <c r="H546" s="98" t="b">
        <v>0</v>
      </c>
      <c r="I546" s="98" t="b">
        <v>0</v>
      </c>
      <c r="J546" s="98" t="b">
        <v>0</v>
      </c>
      <c r="K546" s="98" t="b">
        <v>0</v>
      </c>
      <c r="L546" s="98" t="b">
        <v>0</v>
      </c>
    </row>
    <row r="547" spans="1:12" ht="15">
      <c r="A547" s="99" t="s">
        <v>933</v>
      </c>
      <c r="B547" s="98" t="s">
        <v>966</v>
      </c>
      <c r="C547" s="98">
        <v>2</v>
      </c>
      <c r="D547" s="111">
        <v>0</v>
      </c>
      <c r="E547" s="111">
        <v>1.1139433523068367</v>
      </c>
      <c r="F547" s="98" t="s">
        <v>2362</v>
      </c>
      <c r="G547" s="98" t="b">
        <v>0</v>
      </c>
      <c r="H547" s="98" t="b">
        <v>0</v>
      </c>
      <c r="I547" s="98" t="b">
        <v>0</v>
      </c>
      <c r="J547" s="98" t="b">
        <v>0</v>
      </c>
      <c r="K547" s="98" t="b">
        <v>0</v>
      </c>
      <c r="L547" s="98" t="b">
        <v>0</v>
      </c>
    </row>
    <row r="548" spans="1:12" ht="15">
      <c r="A548" s="99" t="s">
        <v>966</v>
      </c>
      <c r="B548" s="98" t="s">
        <v>948</v>
      </c>
      <c r="C548" s="98">
        <v>2</v>
      </c>
      <c r="D548" s="111">
        <v>0</v>
      </c>
      <c r="E548" s="111">
        <v>1.1139433523068367</v>
      </c>
      <c r="F548" s="98" t="s">
        <v>2362</v>
      </c>
      <c r="G548" s="98" t="b">
        <v>0</v>
      </c>
      <c r="H548" s="98" t="b">
        <v>0</v>
      </c>
      <c r="I548" s="98" t="b">
        <v>0</v>
      </c>
      <c r="J548" s="98" t="b">
        <v>0</v>
      </c>
      <c r="K548" s="98" t="b">
        <v>0</v>
      </c>
      <c r="L548" s="98" t="b">
        <v>0</v>
      </c>
    </row>
    <row r="549" spans="1:12" ht="15">
      <c r="A549" s="99" t="s">
        <v>948</v>
      </c>
      <c r="B549" s="98" t="s">
        <v>959</v>
      </c>
      <c r="C549" s="98">
        <v>2</v>
      </c>
      <c r="D549" s="111">
        <v>0</v>
      </c>
      <c r="E549" s="111">
        <v>1.1139433523068367</v>
      </c>
      <c r="F549" s="98" t="s">
        <v>2362</v>
      </c>
      <c r="G549" s="98" t="b">
        <v>0</v>
      </c>
      <c r="H549" s="98" t="b">
        <v>0</v>
      </c>
      <c r="I549" s="98" t="b">
        <v>0</v>
      </c>
      <c r="J549" s="98" t="b">
        <v>0</v>
      </c>
      <c r="K549" s="98" t="b">
        <v>0</v>
      </c>
      <c r="L549" s="98" t="b">
        <v>0</v>
      </c>
    </row>
    <row r="550" spans="1:12" ht="15">
      <c r="A550" s="99" t="s">
        <v>959</v>
      </c>
      <c r="B550" s="98" t="s">
        <v>960</v>
      </c>
      <c r="C550" s="98">
        <v>2</v>
      </c>
      <c r="D550" s="111">
        <v>0</v>
      </c>
      <c r="E550" s="111">
        <v>1.1139433523068367</v>
      </c>
      <c r="F550" s="98" t="s">
        <v>2362</v>
      </c>
      <c r="G550" s="98" t="b">
        <v>0</v>
      </c>
      <c r="H550" s="98" t="b">
        <v>0</v>
      </c>
      <c r="I550" s="98" t="b">
        <v>0</v>
      </c>
      <c r="J550" s="98" t="b">
        <v>0</v>
      </c>
      <c r="K550" s="98" t="b">
        <v>0</v>
      </c>
      <c r="L550" s="98" t="b">
        <v>0</v>
      </c>
    </row>
    <row r="551" spans="1:12" ht="15">
      <c r="A551" s="99" t="s">
        <v>960</v>
      </c>
      <c r="B551" s="98" t="s">
        <v>961</v>
      </c>
      <c r="C551" s="98">
        <v>2</v>
      </c>
      <c r="D551" s="111">
        <v>0</v>
      </c>
      <c r="E551" s="111">
        <v>1.1139433523068367</v>
      </c>
      <c r="F551" s="98" t="s">
        <v>2362</v>
      </c>
      <c r="G551" s="98" t="b">
        <v>0</v>
      </c>
      <c r="H551" s="98" t="b">
        <v>0</v>
      </c>
      <c r="I551" s="98" t="b">
        <v>0</v>
      </c>
      <c r="J551" s="98" t="b">
        <v>0</v>
      </c>
      <c r="K551" s="98" t="b">
        <v>0</v>
      </c>
      <c r="L551" s="98" t="b">
        <v>0</v>
      </c>
    </row>
    <row r="552" spans="1:12" ht="15">
      <c r="A552" s="99" t="s">
        <v>961</v>
      </c>
      <c r="B552" s="98" t="s">
        <v>962</v>
      </c>
      <c r="C552" s="98">
        <v>2</v>
      </c>
      <c r="D552" s="111">
        <v>0</v>
      </c>
      <c r="E552" s="111">
        <v>1.1139433523068367</v>
      </c>
      <c r="F552" s="98" t="s">
        <v>2362</v>
      </c>
      <c r="G552" s="98" t="b">
        <v>0</v>
      </c>
      <c r="H552" s="98" t="b">
        <v>0</v>
      </c>
      <c r="I552" s="98" t="b">
        <v>0</v>
      </c>
      <c r="J552" s="98" t="b">
        <v>0</v>
      </c>
      <c r="K552" s="98" t="b">
        <v>0</v>
      </c>
      <c r="L552" s="98" t="b">
        <v>0</v>
      </c>
    </row>
    <row r="553" spans="1:12" ht="15">
      <c r="A553" s="99" t="s">
        <v>962</v>
      </c>
      <c r="B553" s="98" t="s">
        <v>963</v>
      </c>
      <c r="C553" s="98">
        <v>2</v>
      </c>
      <c r="D553" s="111">
        <v>0</v>
      </c>
      <c r="E553" s="111">
        <v>1.1139433523068367</v>
      </c>
      <c r="F553" s="98" t="s">
        <v>2362</v>
      </c>
      <c r="G553" s="98" t="b">
        <v>0</v>
      </c>
      <c r="H553" s="98" t="b">
        <v>0</v>
      </c>
      <c r="I553" s="98" t="b">
        <v>0</v>
      </c>
      <c r="J553" s="98" t="b">
        <v>0</v>
      </c>
      <c r="K553" s="98" t="b">
        <v>0</v>
      </c>
      <c r="L553" s="98" t="b">
        <v>0</v>
      </c>
    </row>
    <row r="554" spans="1:12" ht="15">
      <c r="A554" s="99" t="s">
        <v>963</v>
      </c>
      <c r="B554" s="98" t="s">
        <v>964</v>
      </c>
      <c r="C554" s="98">
        <v>2</v>
      </c>
      <c r="D554" s="111">
        <v>0</v>
      </c>
      <c r="E554" s="111">
        <v>1.1139433523068367</v>
      </c>
      <c r="F554" s="98" t="s">
        <v>2362</v>
      </c>
      <c r="G554" s="98" t="b">
        <v>0</v>
      </c>
      <c r="H554" s="98" t="b">
        <v>0</v>
      </c>
      <c r="I554" s="98" t="b">
        <v>0</v>
      </c>
      <c r="J554" s="98" t="b">
        <v>0</v>
      </c>
      <c r="K554" s="98" t="b">
        <v>0</v>
      </c>
      <c r="L554" s="98" t="b">
        <v>0</v>
      </c>
    </row>
    <row r="555" spans="1:12" ht="15">
      <c r="A555" s="99" t="s">
        <v>964</v>
      </c>
      <c r="B555" s="98" t="s">
        <v>965</v>
      </c>
      <c r="C555" s="98">
        <v>2</v>
      </c>
      <c r="D555" s="111">
        <v>0</v>
      </c>
      <c r="E555" s="111">
        <v>1.1139433523068367</v>
      </c>
      <c r="F555" s="98" t="s">
        <v>2362</v>
      </c>
      <c r="G555" s="98" t="b">
        <v>0</v>
      </c>
      <c r="H555" s="98" t="b">
        <v>0</v>
      </c>
      <c r="I555" s="98" t="b">
        <v>0</v>
      </c>
      <c r="J555" s="98" t="b">
        <v>0</v>
      </c>
      <c r="K555" s="98" t="b">
        <v>0</v>
      </c>
      <c r="L555" s="98" t="b">
        <v>0</v>
      </c>
    </row>
    <row r="556" spans="1:12" ht="15">
      <c r="A556" s="99" t="s">
        <v>965</v>
      </c>
      <c r="B556" s="98" t="s">
        <v>981</v>
      </c>
      <c r="C556" s="98">
        <v>2</v>
      </c>
      <c r="D556" s="111">
        <v>0</v>
      </c>
      <c r="E556" s="111">
        <v>1.1139433523068367</v>
      </c>
      <c r="F556" s="98" t="s">
        <v>2362</v>
      </c>
      <c r="G556" s="98" t="b">
        <v>0</v>
      </c>
      <c r="H556" s="98" t="b">
        <v>0</v>
      </c>
      <c r="I556" s="98" t="b">
        <v>0</v>
      </c>
      <c r="J556" s="98" t="b">
        <v>0</v>
      </c>
      <c r="K556" s="98" t="b">
        <v>0</v>
      </c>
      <c r="L556" s="98" t="b">
        <v>0</v>
      </c>
    </row>
    <row r="557" spans="1:12" ht="15">
      <c r="A557" s="99" t="s">
        <v>981</v>
      </c>
      <c r="B557" s="98" t="s">
        <v>982</v>
      </c>
      <c r="C557" s="98">
        <v>2</v>
      </c>
      <c r="D557" s="111">
        <v>0</v>
      </c>
      <c r="E557" s="111">
        <v>1.1139433523068367</v>
      </c>
      <c r="F557" s="98" t="s">
        <v>2362</v>
      </c>
      <c r="G557" s="98" t="b">
        <v>0</v>
      </c>
      <c r="H557" s="98" t="b">
        <v>0</v>
      </c>
      <c r="I557" s="98" t="b">
        <v>0</v>
      </c>
      <c r="J557" s="98" t="b">
        <v>0</v>
      </c>
      <c r="K557" s="98" t="b">
        <v>0</v>
      </c>
      <c r="L557" s="98" t="b">
        <v>0</v>
      </c>
    </row>
    <row r="558" spans="1:12" ht="15">
      <c r="A558" s="99" t="s">
        <v>982</v>
      </c>
      <c r="B558" s="98" t="s">
        <v>983</v>
      </c>
      <c r="C558" s="98">
        <v>2</v>
      </c>
      <c r="D558" s="111">
        <v>0</v>
      </c>
      <c r="E558" s="111">
        <v>1.1139433523068367</v>
      </c>
      <c r="F558" s="98" t="s">
        <v>2362</v>
      </c>
      <c r="G558" s="98" t="b">
        <v>0</v>
      </c>
      <c r="H558" s="98" t="b">
        <v>0</v>
      </c>
      <c r="I558" s="98" t="b">
        <v>0</v>
      </c>
      <c r="J558" s="98" t="b">
        <v>0</v>
      </c>
      <c r="K558" s="98" t="b">
        <v>0</v>
      </c>
      <c r="L558"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2021-10-14T17:54:27Z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