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<sst xmlns="http://schemas.openxmlformats.org/spreadsheetml/2006/main" count="27369" uniqueCount="4442">
  <si>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</si>
  <si>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</si>
  <si>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</si>
  <si>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</si>
  <si>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</si>
  <si>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</si>
  <si>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</si>
  <si>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</si>
  <si>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</si>
  <si>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</si>
  <si>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</si>
  <si>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</si>
  <si>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</si>
  <si>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</si>
  <si>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</si>
  <si>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</si>
  <si>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</si>
  <si>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</si>
  <si>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</si>
  <si>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</si>
  <si>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</si>
  <si>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</si>
  <si>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</si>
  <si>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</si>
  <si>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</si>
  <si>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</si>
  <si>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</si>
  <si>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</si>
  <si>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</si>
  <si>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</si>
  <si>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</si>
  <si>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</si>
  <si>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</si>
  <si>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</si>
  <si>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</si>
  <si>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</si>
  <si>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</si>
  <si>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</si>
  <si>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</si>
  <si>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</si>
  <si>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</si>
  <si>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</si>
  <si>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</si>
  <si>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</si>
  <si>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</si>
  <si>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</si>
  <si>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</si>
  <si>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</si>
  <si>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</si>
  <si>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</si>
  <si>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</si>
  <si>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</si>
  <si>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</si>
  <si>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</si>
  <si>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</si>
  <si>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</si>
  <si>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</si>
  <si>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</si>
  <si>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</si>
  <si>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</si>
  <si>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</si>
  <si>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</si>
  <si>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</si>
  <si>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</si>
  <si>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</si>
  <si>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</si>
  <si>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</si>
  <si>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</si>
  <si>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</si>
  <si>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</si>
  <si>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</si>
  <si>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</si>
  <si>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</si>
  <si>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</si>
  <si>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</si>
  <si>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</si>
  <si>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</si>
  <si>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</si>
  <si>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</si>
  <si>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</si>
  <si>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</si>
  <si>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</si>
  <si>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</si>
  <si>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</si>
  <si>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</si>
  <si>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</si>
  <si>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</si>
  <si>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</si>
  <si>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</si>
  <si>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</si>
  <si>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</si>
  <si>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</si>
  <si>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</si>
  <si>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</si>
  <si>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</si>
  <si>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</si>
  <si>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</si>
  <si>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</si>
  <si>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</si>
  <si>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</si>
  <si>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</si>
  <si>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</si>
  <si>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</si>
  <si>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</si>
  <si>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</si>
  <si>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</si>
  <si>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</si>
  <si>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</si>
  <si>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</si>
  <si>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</si>
  <si>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</si>
  <si>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</si>
  <si>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</si>
  <si>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</si>
  <si>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</si>
  <si>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</si>
  <si>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</si>
  <si>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</si>
  <si>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</si>
  <si>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</si>
  <si>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</si>
  <si>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</si>
  <si>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</si>
  <si>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</si>
  <si>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</si>
  <si>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</si>
  <si>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</si>
  <si>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</si>
  <si>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</si>
  <si>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</si>
  <si>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</si>
  <si>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</si>
  <si>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</si>
  <si>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</si>
  <si>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</si>
  <si>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</si>
  <si>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</si>
  <si>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</si>
  <si>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</si>
  <si>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</si>
  <si>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</si>
  <si>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</si>
  <si>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</si>
  <si>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</si>
  <si>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</si>
  <si>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</si>
  <si>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</si>
  <si>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</si>
  <si>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</si>
  <si>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</si>
  <si>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</si>
  <si>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</si>
  <si>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</si>
  <si>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</si>
  <si>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</si>
  <si>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</si>
  <si>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</si>
  <si>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</si>
  <si>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</si>
  <si>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</si>
  <si>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</si>
  <si>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</si>
  <si>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</si>
  <si>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</si>
  <si>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</si>
  <si>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</si>
  <si>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</si>
  <si>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</si>
  <si>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</si>
  <si>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</si>
  <si>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</si>
  <si>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</si>
  <si>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</si>
  <si>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</si>
  <si>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</si>
  <si>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</si>
  <si>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</si>
  <si>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</si>
  <si>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</si>
  <si>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</si>
  <si>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</si>
  <si>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</si>
  <si>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</si>
  <si>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</si>
  <si>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</si>
  <si>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</si>
  <si>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</si>
  <si>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</si>
  <si>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</si>
  <si>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</si>
  <si>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</si>
  <si>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</si>
  <si>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</si>
  <si>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</si>
  <si>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</si>
  <si>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</si>
  <si>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</si>
  <si>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</si>
  <si>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</si>
  <si>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</si>
  <si>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</si>
  <si>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</si>
  <si>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</si>
  <si>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</si>
  <si>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</si>
  <si>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</si>
  <si>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</si>
  <si>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</si>
  <si>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</si>
  <si>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</si>
  <si>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</si>
  <si>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</si>
  <si>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</si>
  <si>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</si>
  <si>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</si>
  <si>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</si>
  <si>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theredpill4u</t>
  </si>
  <si>
    <t>jacksonreima</t>
  </si>
  <si>
    <t>kaleviniko</t>
  </si>
  <si>
    <t>ez_matti</t>
  </si>
  <si>
    <t>j_djaerf</t>
  </si>
  <si>
    <t>troijanhevonen</t>
  </si>
  <si>
    <t>geejopu</t>
  </si>
  <si>
    <t>airioleena</t>
  </si>
  <si>
    <t>rane72646372</t>
  </si>
  <si>
    <t>tatianadesancti</t>
  </si>
  <si>
    <t>outis1917</t>
  </si>
  <si>
    <t>disgustbird</t>
  </si>
  <si>
    <t>_flashman_harry</t>
  </si>
  <si>
    <t>karvonen_v</t>
  </si>
  <si>
    <t>crypto_viserion</t>
  </si>
  <si>
    <t>tapiokarja</t>
  </si>
  <si>
    <t>mikael7110</t>
  </si>
  <si>
    <t>santeri__</t>
  </si>
  <si>
    <t>jonnaarkki</t>
  </si>
  <si>
    <t>playnone</t>
  </si>
  <si>
    <t>kissanviikset1</t>
  </si>
  <si>
    <t>hilmisdilmis</t>
  </si>
  <si>
    <t>meri_annika</t>
  </si>
  <si>
    <t>jaakkola_mikael</t>
  </si>
  <si>
    <t>miksundman</t>
  </si>
  <si>
    <t>lahteemmaki</t>
  </si>
  <si>
    <t>stadislav</t>
  </si>
  <si>
    <t>lallaatilaa</t>
  </si>
  <si>
    <t>polarphoenix1</t>
  </si>
  <si>
    <t>pohjallinen</t>
  </si>
  <si>
    <t>paivijakko</t>
  </si>
  <si>
    <t>ureakefaali</t>
  </si>
  <si>
    <t>javakalle</t>
  </si>
  <si>
    <t>thealph89725598</t>
  </si>
  <si>
    <t>jt36292090</t>
  </si>
  <si>
    <t>th3hypn0tist</t>
  </si>
  <si>
    <t>jonnad</t>
  </si>
  <si>
    <t>miskakemppinen</t>
  </si>
  <si>
    <t>nita14milan</t>
  </si>
  <si>
    <t>sliquid84</t>
  </si>
  <si>
    <t>hosionahosuvi</t>
  </si>
  <si>
    <t>river17_eagle</t>
  </si>
  <si>
    <t>jkallila</t>
  </si>
  <si>
    <t>never_ever_red</t>
  </si>
  <si>
    <t>joravisjarvi</t>
  </si>
  <si>
    <t>emmil33</t>
  </si>
  <si>
    <t>paavola_petri</t>
  </si>
  <si>
    <t>janhunen18</t>
  </si>
  <si>
    <t>hirvonen_martti</t>
  </si>
  <si>
    <t>iltasanomat</t>
  </si>
  <si>
    <t>humandildo</t>
  </si>
  <si>
    <t>nokelainenmikko</t>
  </si>
  <si>
    <t>railistordell</t>
  </si>
  <si>
    <t>jannejuhani1</t>
  </si>
  <si>
    <t>janinadarc7</t>
  </si>
  <si>
    <t>olliposti</t>
  </si>
  <si>
    <t>tommisiniluoto</t>
  </si>
  <si>
    <t>tolonensari</t>
  </si>
  <si>
    <t>elssa_12345678</t>
  </si>
  <si>
    <t>sammysojiggy</t>
  </si>
  <si>
    <t>canceloitu1</t>
  </si>
  <si>
    <t>blomerusr</t>
  </si>
  <si>
    <t>jpokero</t>
  </si>
  <si>
    <t>sinerjoki1</t>
  </si>
  <si>
    <t>markokarvonen3</t>
  </si>
  <si>
    <t>veijovaiste</t>
  </si>
  <si>
    <t>jalonenkaija</t>
  </si>
  <si>
    <t>seppopalkki</t>
  </si>
  <si>
    <t>nikkiviitaharju</t>
  </si>
  <si>
    <t>gonzalespedros3</t>
  </si>
  <si>
    <t>mikkopohjanhei2</t>
  </si>
  <si>
    <t>pmaenranta</t>
  </si>
  <si>
    <t>jensakseli</t>
  </si>
  <si>
    <t>ei_juma</t>
  </si>
  <si>
    <t>againstall10</t>
  </si>
  <si>
    <t>seiska</t>
  </si>
  <si>
    <t>jussikoskela8</t>
  </si>
  <si>
    <t>tukkamatti</t>
  </si>
  <si>
    <t>lsotilas</t>
  </si>
  <si>
    <t>growguide1</t>
  </si>
  <si>
    <t>lake791</t>
  </si>
  <si>
    <t>perhiot</t>
  </si>
  <si>
    <t>pekka9966</t>
  </si>
  <si>
    <t>poikelin</t>
  </si>
  <si>
    <t>scandinavianhu3</t>
  </si>
  <si>
    <t>mmaitoparta</t>
  </si>
  <si>
    <t>l0rava</t>
  </si>
  <si>
    <t>anastasyafed</t>
  </si>
  <si>
    <t>millscgh</t>
  </si>
  <si>
    <t>jarimikkonen0</t>
  </si>
  <si>
    <t>jacke_fi</t>
  </si>
  <si>
    <t>jlaulum</t>
  </si>
  <si>
    <t>tanjassa</t>
  </si>
  <si>
    <t>superlammas</t>
  </si>
  <si>
    <t>arquez13</t>
  </si>
  <si>
    <t>tttn786754</t>
  </si>
  <si>
    <t>putki_ilmari</t>
  </si>
  <si>
    <t>teppotuomola</t>
  </si>
  <si>
    <t>linkinwd</t>
  </si>
  <si>
    <t>jarijyrkankoski</t>
  </si>
  <si>
    <t>oula_silver</t>
  </si>
  <si>
    <t>katriomamieli</t>
  </si>
  <si>
    <t>salineero</t>
  </si>
  <si>
    <t>akiharkonen</t>
  </si>
  <si>
    <t>sandinakk</t>
  </si>
  <si>
    <t>perttipiirto</t>
  </si>
  <si>
    <t>mbacardinen</t>
  </si>
  <si>
    <t>vyyhdinpurkaja</t>
  </si>
  <si>
    <t>lahtilahti</t>
  </si>
  <si>
    <t>sussekiltou</t>
  </si>
  <si>
    <t>nuuniunna</t>
  </si>
  <si>
    <t>anne92445057</t>
  </si>
  <si>
    <t>jmaalalr007</t>
  </si>
  <si>
    <t>erkhei</t>
  </si>
  <si>
    <t>sherrymarja</t>
  </si>
  <si>
    <t>timoriikonen67</t>
  </si>
  <si>
    <t>jussilepola</t>
  </si>
  <si>
    <t>turnukkaparta</t>
  </si>
  <si>
    <t>huuhtanenpanu</t>
  </si>
  <si>
    <t>emilia44948661</t>
  </si>
  <si>
    <t>sariheinonen5</t>
  </si>
  <si>
    <t>konttiukko</t>
  </si>
  <si>
    <t>vilikasvikkela</t>
  </si>
  <si>
    <t>putinint</t>
  </si>
  <si>
    <t>johnbuckwheat</t>
  </si>
  <si>
    <t>cptheorist</t>
  </si>
  <si>
    <t>wildkettu</t>
  </si>
  <si>
    <t>_mariiia_stina</t>
  </si>
  <si>
    <t>madetojastig</t>
  </si>
  <si>
    <t>p_suvi</t>
  </si>
  <si>
    <t>sirumustikkamaa</t>
  </si>
  <si>
    <t>kolarirauno</t>
  </si>
  <si>
    <t>runkgren</t>
  </si>
  <si>
    <t>janneknen</t>
  </si>
  <si>
    <t>takapirulainen</t>
  </si>
  <si>
    <t>markkulaitinen3</t>
  </si>
  <si>
    <t>puntti2</t>
  </si>
  <si>
    <t>raivoroosna</t>
  </si>
  <si>
    <t>tksyrjanen</t>
  </si>
  <si>
    <t>hpolkki</t>
  </si>
  <si>
    <t>keronen</t>
  </si>
  <si>
    <t>karihirvi</t>
  </si>
  <si>
    <t>anttiviinanen</t>
  </si>
  <si>
    <t>mikkopohjanhei1</t>
  </si>
  <si>
    <t>useyour_____</t>
  </si>
  <si>
    <t>lifflander</t>
  </si>
  <si>
    <t>niinuliinuli</t>
  </si>
  <si>
    <t>_tilastonikkari</t>
  </si>
  <si>
    <t>akikivirinta</t>
  </si>
  <si>
    <t>armokivi</t>
  </si>
  <si>
    <t>paulie880</t>
  </si>
  <si>
    <t>safirella2</t>
  </si>
  <si>
    <t>markus_pitkanen</t>
  </si>
  <si>
    <t>any__woman</t>
  </si>
  <si>
    <t>maucca</t>
  </si>
  <si>
    <t>taskinen_reijo</t>
  </si>
  <si>
    <t>marioargenta</t>
  </si>
  <si>
    <t>samueldavidkin</t>
  </si>
  <si>
    <t>benedictesnotes</t>
  </si>
  <si>
    <t>tealindblom</t>
  </si>
  <si>
    <t>k272479</t>
  </si>
  <si>
    <t>jotiittanen</t>
  </si>
  <si>
    <t>rvalinnut</t>
  </si>
  <si>
    <t>minna_talvitie</t>
  </si>
  <si>
    <t>vilenaila</t>
  </si>
  <si>
    <t>mpbacardinen</t>
  </si>
  <si>
    <t>tulkuttaja</t>
  </si>
  <si>
    <t>jarvinen79</t>
  </si>
  <si>
    <t>jani_ketola</t>
  </si>
  <si>
    <t>perisuomalainen</t>
  </si>
  <si>
    <t>laura12632966</t>
  </si>
  <si>
    <t>hannelea_h</t>
  </si>
  <si>
    <t>alicenpesula</t>
  </si>
  <si>
    <t>universumin</t>
  </si>
  <si>
    <t>nikki1the</t>
  </si>
  <si>
    <t>magillami</t>
  </si>
  <si>
    <t>ellimariella_</t>
  </si>
  <si>
    <t>suomineitonen</t>
  </si>
  <si>
    <t>mforsberg__</t>
  </si>
  <si>
    <t>stiigat</t>
  </si>
  <si>
    <t>marjo_liukkonen</t>
  </si>
  <si>
    <t>anileki</t>
  </si>
  <si>
    <t>lauri_paavola</t>
  </si>
  <si>
    <t>jyrki_k</t>
  </si>
  <si>
    <t>swanoftuonela</t>
  </si>
  <si>
    <t>rottaerkki</t>
  </si>
  <si>
    <t>mirkhe</t>
  </si>
  <si>
    <t>tuija_niskanen</t>
  </si>
  <si>
    <t>cliljerot</t>
  </si>
  <si>
    <t>pauli_laakso</t>
  </si>
  <si>
    <t>meetslight</t>
  </si>
  <si>
    <t>demarit</t>
  </si>
  <si>
    <t>vasemmisto</t>
  </si>
  <si>
    <t>tuulahaatainen</t>
  </si>
  <si>
    <t>mikalintila</t>
  </si>
  <si>
    <t>annikasaarikko</t>
  </si>
  <si>
    <t>marinsanna</t>
  </si>
  <si>
    <t>wwwmarafi</t>
  </si>
  <si>
    <t>keskusta</t>
  </si>
  <si>
    <t>timoheinonen</t>
  </si>
  <si>
    <t>chefvalimaki</t>
  </si>
  <si>
    <t>ehaltmar</t>
  </si>
  <si>
    <t>annajrvinen7</t>
  </si>
  <si>
    <t>suojelusprkl</t>
  </si>
  <si>
    <t>henrialen</t>
  </si>
  <si>
    <t>jriihijarvi</t>
  </si>
  <si>
    <t>laineentatu</t>
  </si>
  <si>
    <t>toivovalo</t>
  </si>
  <si>
    <t>hansvalimaki</t>
  </si>
  <si>
    <t>ipiikki</t>
  </si>
  <si>
    <t>tk6379055</t>
  </si>
  <si>
    <t>petteriorpo</t>
  </si>
  <si>
    <t>timovir20213018</t>
  </si>
  <si>
    <t>mkorja</t>
  </si>
  <si>
    <t>npc12471</t>
  </si>
  <si>
    <t>lindapauliinaq</t>
  </si>
  <si>
    <t>pieroventura5</t>
  </si>
  <si>
    <t>mikaelgabriel</t>
  </si>
  <si>
    <t>dimmu141</t>
  </si>
  <si>
    <t>jumppa</t>
  </si>
  <si>
    <t>pankfrappa</t>
  </si>
  <si>
    <t>jasmin_kyllonen</t>
  </si>
  <si>
    <t>sukkola</t>
  </si>
  <si>
    <t>iltalehti_fi</t>
  </si>
  <si>
    <t>gorbilahti</t>
  </si>
  <si>
    <t>kuttaperkka</t>
  </si>
  <si>
    <t>villecantell</t>
  </si>
  <si>
    <t>rautakansleri_</t>
  </si>
  <si>
    <t>valavuori</t>
  </si>
  <si>
    <t>tommihermunen</t>
  </si>
  <si>
    <t>annuliini_</t>
  </si>
  <si>
    <t>Retweet</t>
  </si>
  <si>
    <t>Replies to</t>
  </si>
  <si>
    <t>Mentions</t>
  </si>
  <si>
    <t>MentionsInRetweet</t>
  </si>
  <si>
    <t>#HansVälimäki: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</si>
  <si>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</si>
  <si>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@MeetsLight @jani_ketola #hansvälimäki</t>
  </si>
  <si>
    <t>@jani_ketola Hans Välimäki on ylimielinen kuikelo. Kukaan ei kauaa viihdy tuon keittiöissä. Akkakin tajusi lähteä.</t>
  </si>
  <si>
    <t>@janneknen Hans Välimäki on niin mulkun näköinen että tekisi mieli vetää turpaan pelkästään pärstän takia.</t>
  </si>
  <si>
    <t>@timoheinonen @keskusta @wwwMaRafi @MarinSanna @AnnikaSaarikko #HansVälimäki näistä #viisikko #tukitoimet puhuikin.. 
Mut pelkkää paskaahan nämä @MikaLintila @MarinSanna @TuulaHaatainen @AnnikaSaarikko jne ”päättäjät” puhuvat.. no kohta @vasemmisto #tradeka lla on helppo ostaa nämä itelleen.. 
#koronatuet @keskusta @Demarit https://t.co/vCFVEPbAI3</t>
  </si>
  <si>
    <t>Ladys and playboys:
Hans (Landa?) Välimäki esittää: https://t.co/VVkctWZOvy</t>
  </si>
  <si>
    <t>@chefvalimaki kävi aukomaan ig:ssä päätään rokottamattomille ja fantasioi Kanadan natsimeininkistä. Mutta kun alkoi tulla lunta tupaan, niin tämä pula-ajan kylmäkkö sulki kommentoinnin ja poisti viestit. Sieg heil Hans!! Me nauretaan sulle ja nauraa vielä useampikin lähiaikoina.</t>
  </si>
  <si>
    <t>@AnnaJrvinen7 @EHaltmar Hans Välimäkikin siis osoittautui yhdeksi vitun kusipääksi! Plandemia on paljastanut monen ihmisen todellisen luonteen! Välimäki olisi takuulla pitänyt päänsä kiinni, mikäli rokotuskattavuus olisi päinvastoin, eli van noin 20% olisi rokotettuja. Raukkamainen nilkki!</t>
  </si>
  <si>
    <t>@jani_ketola Vittu mikä ääliö toi Hans Välimäki</t>
  </si>
  <si>
    <t>@jani_ketola Hans Välimäki, ei jatkoon, ei seurantaan eikä kannateta!</t>
  </si>
  <si>
    <t>@jani_ketola Mikä vitun tiededenialisti tää #HansVälimäki oikein on? Juurihan me nähtiin, miten hyvin korona leviää, kun jaellaan klubilla kielareita terveyspassin turvin... 
Kyl mun puolesta voidaan yhteiskunta avata, mut sit pitää hyväksyä, et se korona leviää. Rokote tai passi ei pelasta.</t>
  </si>
  <si>
    <t>@suojelusprkl Olen aina tiennyt, että Välimäki on kusipää, mutta nyt tuo tollo veti pohjat. Täysboikottiin kaikki tämän kuppilat, niin Hans pääsee pian TE-toimistoon etsimään perunankuorijan paikkaa jostakin kouluruokalasta.</t>
  </si>
  <si>
    <t>@jani_ketola Laitanpa vielä tähänkin, koska #moraali 
#MaRa #hansvälimäki @HenriAlen https://t.co/Z0dLV7LN8q</t>
  </si>
  <si>
    <t>@jani_ketola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</si>
  <si>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@laineentatu @JRiihijarvi Kuuluu suunnitelmaan. Nyt epätoivoiset yrittäjät  #hansvälimäki rukoilevat rokotepassia käyttöön voidakseen edes jotenkin jatkaa yrittämistä.</t>
  </si>
  <si>
    <t>Omat kuppilat kumoon -@chefvalimaki. Paras mahdollinen tapa aiheuttaa hallaa yritystoiminnalleen on purkaa pahaa oloaan potentiaalisia asiakkaita kohtaan. #Hallitus pitää kuppiloitanne suljettuna. Yhdistäisitte voimanne polarisaatiota vastaan! #koronafi
https://t.co/QU9V9QVuJk</t>
  </si>
  <si>
    <t>@JKallila @chefvalimaki Hyi saatana mikä kusipää tuo äijä on _xD83E__xDD2C_ ja idiootti vielä lisäks.</t>
  </si>
  <si>
    <t>Aivan mahtavaa Hans Välimäki. Ei voi olla niin että Suomessa on kahden kerroksen perustuslaki.
https://t.co/1MCp1UyILu</t>
  </si>
  <si>
    <t>@SiruMustikkamaa Todella törkeää tekstiä _xD83D__xDE31_ pitäisikö laittaa @chefvalimaki erillisvero ylipainoisille ja alkoholin käyttäjille, koska hehän vuodesta toiseen kuormittavat terveydenhuoltoa kaikista eniten!? Järkyttävää miten joku voi ajatella näin 1/2</t>
  </si>
  <si>
    <t>@SiruMustikkamaa @chefvalimaki On täysin sairas ajatus, että esim. 18 vuotiaan nuoren olisi pakko ottaa koronarokotus, jonka haitat on hänen kohdallaan todennäköisesti suurempi kuin hyöty. Jos et @chefvalimaki tiennyt niin rokote ei ole mikään vitamiini, joka on vaaraton! 2/2</t>
  </si>
  <si>
    <t>@chefvalimaki Hansille todellisuus haltuun näillä tilastoilla: https://t.co/bQS9kDKdfE</t>
  </si>
  <si>
    <t>@ToivoValo Hans "kuppilat kumoon" Välimäki _xD83E__xDD21_</t>
  </si>
  <si>
    <t>@HansValimaki Hans Välimäki
Lausuntosi Iltalehdessä ei anna mairittelevaa kuvaa ajattelusi taustoista. Kannattais miettiä mitä sanoo, että ei sano mitä ajattelee. Keskity vain kastikkeisiin</t>
  </si>
  <si>
    <t>Hans Välimäki nostatti myrskyn esittämällä rokotepassin käyttöönottoa – pahoittelee ulostuloaan IL:lle: ”Sai vähän käsittämättömät mittasuhteet” https://t.co/0mPpG2FPbM</t>
  </si>
  <si>
    <t>@iltasanomat @chefvalimaki tässä myös ajaa omaa agendaansa, jotta saisi raflat auki.
#koronapassi ei estä yhtään mitään. ÄO pitää olla todella alhainen, että näin kuvittelee. Passia kysellään jos syö paikanpäällä. Ei kysytä jos ottaa mukaan, mutta voi istuskella saman aikaan odottamassa.</t>
  </si>
  <si>
    <t>@iltasanomat @chefvalimaki Niin kaukana todellisuudesta kuin olla ja voi. Matkustella voi passin turvin ja tuoda uusia variantteja... äly hoi !
#koronarokote ei toimi, eikä toimi passikaan. Totaalinen lockdown on ehkä järkevin toimi, mutta kaikki #koronafi pöpön kärsii. Ja nuhahan se on.</t>
  </si>
  <si>
    <t>@ToivoValo Hans Välimäki... Tuon kansan yhdistäjä ❤️
Erikoisesti katkeruus kanavoituu.</t>
  </si>
  <si>
    <t>Hyvä  Hans Välimäki, joku uskaltaa sanoa mitä olisi pitänyt sanoa jo aikaa sitten. Täyttä asiaa kirjoituksesi.</t>
  </si>
  <si>
    <t>@chefvalimaki joo ei tarvii odottaa mun turisti porukkaa ravintolaan</t>
  </si>
  <si>
    <t>@tk6379055 @IPiikki @PetteriOrpo @chefvalimaki</t>
  </si>
  <si>
    <t>"Elämä takaisin normaalille tasolle mahdollisimman nopeasti ja kokotteet kaikille vaikka väkisin.
Ei minulla muuta. Tällä kertaa. Peace!!"
https://t.co/aoOOiVuNOC
#piikkinatsi
#hansvälimäki
#tukholmasyndrooma
#governmeharder</t>
  </si>
  <si>
    <t>@olliposti ”Välimäki kertoo, että kyseessä on sarkastinen kirjoitus”. _xD83E__xDD14_Voin kuvitella kun Hans on miettinyt, että oho, tä vähän paisui, miten tän vois seivata. ”Heiiiii, tä olikin sarkasmia, ettekö te huumoria ymmärrä!”</t>
  </si>
  <si>
    <t>@ToivoValo Hans Välimäki tuo pieni rotta!</t>
  </si>
  <si>
    <t>@turnukkaparta Mikäli tapaus aiheuttaa asioiden syvää pohdintaa ja jopa mahdollisen muutoksen, voi tästä seurata jotain hyvääkin. Mitenhän mahtaa on #hansvälimäki ?</t>
  </si>
  <si>
    <t>@TimoVir20213018 Hans Spede Välimäki</t>
  </si>
  <si>
    <t>Hans Välimäki on kyllä säälittävä tyyppi, yrittäjiä on kohdeltu kaltoin mutta hallitusta kohtaan ei uskalla kuin vähän kiukutella, vihansa ja syytökset hän säästää rokottamattomia kohtaan. 
#koronarajoitukset 
#rokottamattomat 
#ravintolat</t>
  </si>
  <si>
    <t>Mulla ja puolisolla on sanonta jos joku on täysi urpo:
”Vittu taas joku kokki täällä liikenteessä”
@HenriAlen ja @chefvalimaki ovat eläviä esimerkkejä, miksi tämä sanonta on edelleen erittäin osuva.
#koronafi</t>
  </si>
  <si>
    <t>Okei alan kallistua siihen suuntaan, että nämä ravintoloitsijat voivat kärsiä ihan rauhassa.
Henri Alen ja Hans Välimäki pahimpia hirviöitä. Toivottavasti rahat loppuis heiltäkin jo. https://t.co/PVuNrIEU6M</t>
  </si>
  <si>
    <t>@turnukkaparta #hansvälimäki Ostan sinulle hame kankaan.
Olit yksi suomalaisista esikuvista u ruoan laiton suhteen, mut et ole enään.</t>
  </si>
  <si>
    <t>@MKorja @chefvalimaki  PING!!
Idiootti</t>
  </si>
  <si>
    <t>@Npc12471 No vaihtaisiko Hans the kokki Välimäki mielipiteensä jos se ”miksattaisiin” ei rokotepassiin_xD83E__xDD37_‍♂️</t>
  </si>
  <si>
    <t>@Npc12471 Hans välimäki on vitsi</t>
  </si>
  <si>
    <t>@Npc12471 Ahaa.. on 2..  sää oot sitä väkee, mihin hans välimäki ja parempi nakkikastike uppoo_xD83E__xDD23_</t>
  </si>
  <si>
    <t>@LindapauliinaQ Tää on hauskin ketju vähään aikaan kun persaukiset foliot kyynelsilmässä uhkaa boikotoida @chefvalimaki ravintolaa _xD83E__xDD23__xD83E__xDD23__xD83E__xDD23__xD83E__xDD23_</t>
  </si>
  <si>
    <t>@SiruMustikkamaa @chefvalimaki suksi vittuun</t>
  </si>
  <si>
    <t>Huh että on sairas äijä tämäkin.
@chefvalimaki https://t.co/irYuOMWkwZ</t>
  </si>
  <si>
    <t>@SiruMustikkamaa Mistä näitä valelääkäreitä oikein sikiää? Ai niin, äitiensä persereikien suunnalta!
Tällä kertaa kokki Hans Välimäki tietää että kenen syytä tilanne loronan suhteen on Suomessa se mikä on. https://t.co/bMMDndyUaf</t>
  </si>
  <si>
    <t>@janneknen Olisiko hänen aika pyörähtää ohjelmassa: Pääkoppa kuntoon #HansVälimäki</t>
  </si>
  <si>
    <t>@jani_ketola @chefvalimaki</t>
  </si>
  <si>
    <t>@chefvalimaki #pelle #sitäsaamitätulaa #boikottiin #Välimäki Hans https://t.co/XrRVdGsyQG</t>
  </si>
  <si>
    <t>#HansVaelimaeki Oletko kovemman luokan rassisti? Sanoit: "Meillä makailee sairaaloissa huomattavasti fiksumman väen kiireellistä hoitoa tukkimassa rokotteista järjettömillä verukkeilla kieltäytyneitä ääliöitä."Varmaankin olet tietoinen, että puihuit matuista.Ovat&amp;gt;80%"tukkijoista"</t>
  </si>
  <si>
    <t>Hans Välimäki "tietää" kokin papereilla, että pandemia loppuu rokottamalla.. sanonko, että on kaksnaamainen tyyppi. Ravintolat auki, se on tärkeintä.
Hans Välimäeltä raju ulostulo rokottamattomille – karut seuraukset: "Olen siitä pahoillani" | Iltalehti https://t.co/7onCb3FJPB</t>
  </si>
  <si>
    <t>@TimoVir20213018 Se että tänä aikana nousee esiin esim.Mikko Kärnä tai Hans Välimäki täysin järjettömine vihapuheineen, kertoo itselle sen, että olemme lähellä kuplan puhkeamista. 
Kiitos _xD83C__xDF1E__xD83D__xDC4C_</t>
  </si>
  <si>
    <t>Meinaakohan @chefvalimaki ja @PetteriOrpo lähtee yhdessä toreille ääniä kalastamaan?
Molemmat kun on niin rakastuneita kolmos piikkiin.
Hans sä voit koska vaan vaatia sun asiakkailta kolme piikkiä, sovitaan niin että et muita päästä ravintoloihisi koskaan?</t>
  </si>
  <si>
    <t>@chefvalimaki kyllä sinulla on oikeus kertoa mielipiteesi ihan omin sanoin ja niin kuin ajattelet sen olevan. Kiitos siitä että kerroit oman kantasi. Se että pyytelet anteeksi kertoo siitä että et ehkä omia sanoja sanonut vaan toisteli toisten kertomaa mantraa.
Toistelitko?</t>
  </si>
  <si>
    <t>Tätä se Hans Välimäki haluaa kaikille, myös lapsille. 
#koronafi #koronapassi #koronarajoitukset #koronarokote https://t.co/gnre9gQCFp</t>
  </si>
  <si>
    <t>Hans Välimäki pyytää anteeksi koronapäivitystään - poisti julkaisun somesta https://t.co/NgCnH6rwFX</t>
  </si>
  <si>
    <t>@MikaelGabriel @PieroVentura5 Hans välimäki</t>
  </si>
  <si>
    <t>@Dimmu141 Nythän Hans Välimäki jo pyysi anteeksi tota päivitystä.
Oliko sitten Hans kirjottanu sen vitutuksissaan vai kännissä.. sitä tuskin saamme koskaan tietää.</t>
  </si>
  <si>
    <t>Hans Välimäki pyytää anteeksi koronapäivitystään - poisti julkaisun somesta https://t.co/xfqaGIkWkz #uutiset #kannabis #hamppu</t>
  </si>
  <si>
    <t>Hans Välimäki teki yllätysratkaisun - taustalla koronakommentti https://t.co/dalfB8r2S2 #uutiset #kannabis #hamppu</t>
  </si>
  <si>
    <t>@Jumppa Hans Välimäki kertoi että noi on jalapenoja, ni sit niiden on pakko olla.</t>
  </si>
  <si>
    <t>Hans Välimäki tervehtii asiakkaitaan. https://t.co/SlBaJ5iIbu</t>
  </si>
  <si>
    <t>@CpTheorist Kuka Hans Välimäki?</t>
  </si>
  <si>
    <t>@PankFrappa @HuuhtanenPanu Hans Välimäki sortui käyttämään sanaa "ääliö", se oli yksi iso virhe. Hän olisi voinut päästä helpommalla, jos olisi miettinyt tarkemmmin mitä sanoo.
Niin metsä vastaa kuin sinne huudetaan.</t>
  </si>
  <si>
    <t>@Jasmin_Kyllonen Tasan ei kyse ollut henk.koht. Mielipiteestä vaan ravintolansa puolesta, koska itse kirjoitti sairaan tekstinsä nimenomaan elinkeinonsa puolesta. Kantakoot vastuun sanoistaan. @chefvalimaki jaksaa nillittää milloin mistäkin. Hävytön ja selkärangaton.</t>
  </si>
  <si>
    <t>@Jasmin_Kyllonen @chefvalimaki Nyt itkettää, kun sai takaisinpäin. Niin ylimielinen häismä, että kuvittelee voivansa laukoa mitä vain seuraamuksitta. Niin makaa kuin petaa. Yäk.</t>
  </si>
  <si>
    <t>@SiruMustikkamaa Aikuinen mies pelkää niin paljon, että pitää oksentaa paha olo lehteen. Nyt olisi äidin syytä ottaa Hansukka kaikkuun ja silitellen kertoa, että kaikki järjestyy. ❤️ @chefvalimaki</t>
  </si>
  <si>
    <t>Hans Välimäki puoltaa natsipassin käyttöä kaikkialla, nyt omat ravintolat lytätään ja hän pitää tätä "kohtuuttomana kiusaamisena"</t>
  </si>
  <si>
    <t>@Dimmu141 Täytyy @chefvalimaki  tulla syömään kun ehtii.</t>
  </si>
  <si>
    <t>@JariJyrkankoski @Dimmu141 @chefvalimaki Laitoin just viiden tähden arvostelun menemään.</t>
  </si>
  <si>
    <t>Hans Välimäki oli sitten poistanut arvostelut ravintolansa Facebook-sivuilta.
Mutta aina on TripAdvisor...
https://t.co/eN5q9ZW5Xw</t>
  </si>
  <si>
    <t>@LindapauliinaQ Miksi Välimäki ei saisi esittää ajatuksia siitä, miten  yhteiskunta saataisiin auki. Denialistikorppit välittömästi joukolla kimppuun. Hans ja @iltalehti_fi 10 + rohkeasta mielipiteestä ja mielipidevapauden vaalimisesta. Sama hyökkäys tuli  @Sukkola'n Niikon matolääkejutun takia</t>
  </si>
  <si>
    <t>@gorbilahti @LindapauliinaQ @iltalehti_fi @Sukkola Naurettavinta lienee, että nämä huonoja arvosteluja jakavat, eivät ole koskaan käyneet Välimäen ravintolassa. Ruoka ja palvelu ovat edelleen yhtä hyviä kuin ennen lausuntoa. @chefvalimaki ole oma itsesi ja jatka rauhassa  hyvää ravintolatoimintaa.</t>
  </si>
  <si>
    <t>Suotta vittuilet #HansVälimäki on kybän jätkä/pallit tallessa. https://t.co/6VW2SlRRbb</t>
  </si>
  <si>
    <t>Terveysfasisti Hans Välimäki tarjoileekin jatkossa varmaan vain vihanneksia höyrytettynä ja sellaisia missä ei ole paljoa fruktoosia ettei vain joku läski saa terveydellisiä oireita. Missä on #Allergiapassi #Läskipassi #Röökipassi</t>
  </si>
  <si>
    <t>@Kuttaperkka Totta olen pistänyt merkille samanlainen hiustyyli Mikko Kärnä, Teemu Laajasalo, Hans Välimäki</t>
  </si>
  <si>
    <t>Häns Välimäki kun skeida osuu flektiin.
Hans Välimäki poisti kannanottonsa koronapassista https://t.co/OzThKXv5yn</t>
  </si>
  <si>
    <t>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</si>
  <si>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@AkiKivirinta Hans Välimäki oli ihan oikeassa. Meitä passillisia on valtaosa ja me kyllä osaamme päätellä, mistä ravintolan arvostelut koostuu. Riittää, kun lukee lisäksi ne perustelut. Käyn mieluummin turvallisessa ravintolassa eli sellaisessa, joka kysyy koronapassin.</t>
  </si>
  <si>
    <t>@tuija_niskanen Suutari pysyköön lestissään. Ruokaa #Hansvälimäki  osaa laittaa, on siinä mestari. Mutta älynlahjoiltaan keskinkertainen, tai jopa tyhmä. (tuossa ei ollut pätkääkään sarkasmia). Jos on lusikalla annettu, on turha kauhalla vaatia.</t>
  </si>
  <si>
    <t>#HansVälimäki kutsuu rokottamattomia ääliöiksi ja vaatii heille lisäveroa sekä liikkumisrajoituksia toivoen, "että ihmiset kunnioittaisivat toisiaan eriävistä mielipiteistä huolimatta". (IL, 16.1.22)
#koronapassi #itsemääräämisoikeus</t>
  </si>
  <si>
    <t>@CpTheorist Osallistuiskohan @villecantell tuohon? Se vois vaikka @chefvalimaki kanssa alkaa jonossa kertomaan kuinka _xD83D__xDCA9_ ja idiootteja rokottamattomat on...</t>
  </si>
  <si>
    <t>@rautakansleri_ Katoppakö Hans Välimäki ei ole ainut ravintoloitsija. Heitä on paljon vähemmän kuuluisia ja pienituloisempia. Lisäksi siellä on ihan tavallisia ihmisiä töissä joiden elinkeinosta on kyse.
Passin kanssa he vois olla töissä.</t>
  </si>
  <si>
    <t>Hans Välimäki on rohkea mies. Hän sanoi niinkuin asia on. Koirat haukkuu, mutta valjakko kulkee. https://t.co/GdHxpBX2xI</t>
  </si>
  <si>
    <t>@Valavuori Hans Välimäki on itse yrittänyt cäncelöidä tietyn ihmisrymän, ja saa nyt heittämäänsä lokaa itse takaisin niskaan. Eikä vähemmän yllättäen tunnukaan mukavalta? Tyypillinen koulukiusaajamentaliteetti. Tuohonkaan asemaan ei olisi tarvinnut päätyä.</t>
  </si>
  <si>
    <t>@TommiHermunen Joko varataan jengillä priva juhlapaikka vaiks @chefvalimaki ravintolasta?</t>
  </si>
  <si>
    <t>@chefvalimaki Ajattelin ihan mielenkiinnosta, että kerrotko vaikka puolen vuoden päästä toimiiko teidän bisnekset normaaliin tapaan? Kiitos kaikista kommenteista, ehkä kaikki muut homot on ylimielisiä.</t>
  </si>
  <si>
    <t>@Annuliini_ Hans Välimäki on jotain,jota ei halua nähdä,kuulla eikä edes maistaa,hapan rakenne,pohjaan palanut asenne.</t>
  </si>
  <si>
    <t>@jani_ketola Hans Välimäki:Omatko koirat purivat?</t>
  </si>
  <si>
    <t>@Valavuori Hans Välimäki on tässä tapauksessa se saatanan idiootti. Ihan tahallinen provo. Sitä saa mitä tilaa.</t>
  </si>
  <si>
    <t>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</si>
  <si>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Heippa Hans Välimäki. Ei enää tavata.</t>
  </si>
  <si>
    <t>@SiruMustikkamaa Hans Välimäki saanut Pfizeriltä vähän provikkaa kun ei ole mennyt se kuuluisa seitsemän euron vesi kaupaksi...</t>
  </si>
  <si>
    <t>Cancel Hans Välimäki _xD83D__xDE2C_</t>
  </si>
  <si>
    <t>Sarkasmi on taas saanut aivan uuden määritelmän. #HansVälimäki’lle herättely katsomaan asioita eri näkökulmista on sitä, että toiset ovat ääliöitä, joille pitäisi lätkäistä tyhmyydestään lisävero.
#koronapassi #yhdenvertaisuus
https://t.co/M4qBCZz1t3</t>
  </si>
  <si>
    <t>instagram.com</t>
  </si>
  <si>
    <t>iltalehti.fi</t>
  </si>
  <si>
    <t>kotipetripaavola.com</t>
  </si>
  <si>
    <t>is.fi</t>
  </si>
  <si>
    <t>twitter.com</t>
  </si>
  <si>
    <t>seiska.fi</t>
  </si>
  <si>
    <t>tripadvisor.com</t>
  </si>
  <si>
    <t>hansvälimäki rokotepassi thegreatreset</t>
  </si>
  <si>
    <t>hansvälimäki</t>
  </si>
  <si>
    <t>hansvälimäki viisikko tukitoimet tradeka koronatuet</t>
  </si>
  <si>
    <t>moraali mara hansvälimäki</t>
  </si>
  <si>
    <t>hallitus koronafi</t>
  </si>
  <si>
    <t>koronapassi</t>
  </si>
  <si>
    <t>koronarokote koronafi</t>
  </si>
  <si>
    <t>piikkinatsi hansvälimäki tukholmasyndrooma governmeharder</t>
  </si>
  <si>
    <t>koronarajoitukset rokottamattomat ravintolat</t>
  </si>
  <si>
    <t>koronafi</t>
  </si>
  <si>
    <t>pelle sitäsaamitätulaa boikottiin välimäki</t>
  </si>
  <si>
    <t>hansvaelimaeki</t>
  </si>
  <si>
    <t>koronafi koronapassi koronarajoitukset koronarokote</t>
  </si>
  <si>
    <t>uutiset kannabis hamppu</t>
  </si>
  <si>
    <t>allergiapassi läskipassi röökipassi</t>
  </si>
  <si>
    <t>hansvälimäki koronapassi itsemääräämisoikeus</t>
  </si>
  <si>
    <t>hansvälimäki koronapassi yhdenvertaisuus</t>
  </si>
  <si>
    <t>14:05:18</t>
  </si>
  <si>
    <t>14:25:47</t>
  </si>
  <si>
    <t>14:27:20</t>
  </si>
  <si>
    <t>14:30:10</t>
  </si>
  <si>
    <t>14:37:50</t>
  </si>
  <si>
    <t>14:44:38</t>
  </si>
  <si>
    <t>14:54:15</t>
  </si>
  <si>
    <t>14:55:40</t>
  </si>
  <si>
    <t>15:07:03</t>
  </si>
  <si>
    <t>15:10:14</t>
  </si>
  <si>
    <t>15:05:15</t>
  </si>
  <si>
    <t>15:15:46</t>
  </si>
  <si>
    <t>15:34:20</t>
  </si>
  <si>
    <t>15:35:30</t>
  </si>
  <si>
    <t>15:47:10</t>
  </si>
  <si>
    <t>15:55:16</t>
  </si>
  <si>
    <t>16:00:07</t>
  </si>
  <si>
    <t>16:19:29</t>
  </si>
  <si>
    <t>16:07:04</t>
  </si>
  <si>
    <t>16:23:32</t>
  </si>
  <si>
    <t>16:31:16</t>
  </si>
  <si>
    <t>16:53:17</t>
  </si>
  <si>
    <t>17:05:02</t>
  </si>
  <si>
    <t>17:20:42</t>
  </si>
  <si>
    <t>17:37:48</t>
  </si>
  <si>
    <t>17:44:57</t>
  </si>
  <si>
    <t>18:08:32</t>
  </si>
  <si>
    <t>19:08:38</t>
  </si>
  <si>
    <t>19:09:28</t>
  </si>
  <si>
    <t>19:23:42</t>
  </si>
  <si>
    <t>19:26:59</t>
  </si>
  <si>
    <t>21:51:51</t>
  </si>
  <si>
    <t>23:09:48</t>
  </si>
  <si>
    <t>23:24:36</t>
  </si>
  <si>
    <t>23:42:35</t>
  </si>
  <si>
    <t>00:30:28</t>
  </si>
  <si>
    <t>01:36:16</t>
  </si>
  <si>
    <t>02:08:40</t>
  </si>
  <si>
    <t>05:21:23</t>
  </si>
  <si>
    <t>06:16:09</t>
  </si>
  <si>
    <t>06:40:48</t>
  </si>
  <si>
    <t>07:26:32</t>
  </si>
  <si>
    <t>08:18:09</t>
  </si>
  <si>
    <t>08:40:17</t>
  </si>
  <si>
    <t>12:18:57</t>
  </si>
  <si>
    <t>12:24:37</t>
  </si>
  <si>
    <t>12:14:24</t>
  </si>
  <si>
    <t>12:29:40</t>
  </si>
  <si>
    <t>14:45:35</t>
  </si>
  <si>
    <t>15:00:58</t>
  </si>
  <si>
    <t>15:03:08</t>
  </si>
  <si>
    <t>15:04:13</t>
  </si>
  <si>
    <t>15:40:31</t>
  </si>
  <si>
    <t>15:48:58</t>
  </si>
  <si>
    <t>15:43:11</t>
  </si>
  <si>
    <t>16:17:16</t>
  </si>
  <si>
    <t>16:19:12</t>
  </si>
  <si>
    <t>16:58:22</t>
  </si>
  <si>
    <t>17:23:17</t>
  </si>
  <si>
    <t>17:40:18</t>
  </si>
  <si>
    <t>15:49:02</t>
  </si>
  <si>
    <t>16:02:56</t>
  </si>
  <si>
    <t>18:32:02</t>
  </si>
  <si>
    <t>15:26:16</t>
  </si>
  <si>
    <t>15:57:03</t>
  </si>
  <si>
    <t>21:18:59</t>
  </si>
  <si>
    <t>17:33:53</t>
  </si>
  <si>
    <t>18:36:30</t>
  </si>
  <si>
    <t>18:56:10</t>
  </si>
  <si>
    <t>19:15:48</t>
  </si>
  <si>
    <t>19:25:35</t>
  </si>
  <si>
    <t>15:26:19</t>
  </si>
  <si>
    <t>19:41:28</t>
  </si>
  <si>
    <t>19:40:33</t>
  </si>
  <si>
    <t>20:37:57</t>
  </si>
  <si>
    <t>20:40:21</t>
  </si>
  <si>
    <t>20:42:07</t>
  </si>
  <si>
    <t>21:00:42</t>
  </si>
  <si>
    <t>22:40:13</t>
  </si>
  <si>
    <t>22:45:47</t>
  </si>
  <si>
    <t>01:18:20</t>
  </si>
  <si>
    <t>05:39:41</t>
  </si>
  <si>
    <t>06:14:15</t>
  </si>
  <si>
    <t>19:42:02</t>
  </si>
  <si>
    <t>07:02:19</t>
  </si>
  <si>
    <t>09:39:09</t>
  </si>
  <si>
    <t>10:57:58</t>
  </si>
  <si>
    <t>11:21:17</t>
  </si>
  <si>
    <t>20:04:53</t>
  </si>
  <si>
    <t>12:13:53</t>
  </si>
  <si>
    <t>19:01:34</t>
  </si>
  <si>
    <t>12:28:49</t>
  </si>
  <si>
    <t>12:42:34</t>
  </si>
  <si>
    <t>13:05:46</t>
  </si>
  <si>
    <t>13:56:00</t>
  </si>
  <si>
    <t>14:55:59</t>
  </si>
  <si>
    <t>12:59:56</t>
  </si>
  <si>
    <t>14:59:50</t>
  </si>
  <si>
    <t>15:21:27</t>
  </si>
  <si>
    <t>16:30:03</t>
  </si>
  <si>
    <t>16:40:21</t>
  </si>
  <si>
    <t>16:42:56</t>
  </si>
  <si>
    <t>16:44:00</t>
  </si>
  <si>
    <t>16:48:33</t>
  </si>
  <si>
    <t>16:44:05</t>
  </si>
  <si>
    <t>16:52:17</t>
  </si>
  <si>
    <t>16:59:06</t>
  </si>
  <si>
    <t>17:02:34</t>
  </si>
  <si>
    <t>17:14:26</t>
  </si>
  <si>
    <t>17:20:00</t>
  </si>
  <si>
    <t>17:28:09</t>
  </si>
  <si>
    <t>17:28:21</t>
  </si>
  <si>
    <t>17:30:14</t>
  </si>
  <si>
    <t>18:23:11</t>
  </si>
  <si>
    <t>16:32:41</t>
  </si>
  <si>
    <t>17:33:07</t>
  </si>
  <si>
    <t>17:49:59</t>
  </si>
  <si>
    <t>17:51:01</t>
  </si>
  <si>
    <t>18:06:44</t>
  </si>
  <si>
    <t>17:53:28</t>
  </si>
  <si>
    <t>18:28:00</t>
  </si>
  <si>
    <t>18:48:05</t>
  </si>
  <si>
    <t>19:03:37</t>
  </si>
  <si>
    <t>19:13:09</t>
  </si>
  <si>
    <t>19:13:35</t>
  </si>
  <si>
    <t>19:20:51</t>
  </si>
  <si>
    <t>19:29:30</t>
  </si>
  <si>
    <t>19:30:01</t>
  </si>
  <si>
    <t>19:53:16</t>
  </si>
  <si>
    <t>19:58:13</t>
  </si>
  <si>
    <t>20:05:51</t>
  </si>
  <si>
    <t>20:14:22</t>
  </si>
  <si>
    <t>20:21:07</t>
  </si>
  <si>
    <t>20:23:36</t>
  </si>
  <si>
    <t>20:29:29</t>
  </si>
  <si>
    <t>20:39:16</t>
  </si>
  <si>
    <t>16:14:26</t>
  </si>
  <si>
    <t>20:42:50</t>
  </si>
  <si>
    <t>20:43:39</t>
  </si>
  <si>
    <t>20:46:10</t>
  </si>
  <si>
    <t>20:48:10</t>
  </si>
  <si>
    <t>06:42:31</t>
  </si>
  <si>
    <t>20:50:21</t>
  </si>
  <si>
    <t>17:27:21</t>
  </si>
  <si>
    <t>19:35:36</t>
  </si>
  <si>
    <t>20:50:39</t>
  </si>
  <si>
    <t>18:01:41</t>
  </si>
  <si>
    <t>20:53:25</t>
  </si>
  <si>
    <t>20:54:01</t>
  </si>
  <si>
    <t>21:16:28</t>
  </si>
  <si>
    <t>21:25:06</t>
  </si>
  <si>
    <t>22:25:13</t>
  </si>
  <si>
    <t>22:42:53</t>
  </si>
  <si>
    <t>22:44:41</t>
  </si>
  <si>
    <t>22:49:43</t>
  </si>
  <si>
    <t>23:30:44</t>
  </si>
  <si>
    <t>03:33:01</t>
  </si>
  <si>
    <t>04:10:42</t>
  </si>
  <si>
    <t>15:03:49</t>
  </si>
  <si>
    <t>18:22:17</t>
  </si>
  <si>
    <t>04:11:34</t>
  </si>
  <si>
    <t>05:40:06</t>
  </si>
  <si>
    <t>14:03:17</t>
  </si>
  <si>
    <t>14:46:01</t>
  </si>
  <si>
    <t>14:26:00</t>
  </si>
  <si>
    <t>18:58:33</t>
  </si>
  <si>
    <t>06:57:25</t>
  </si>
  <si>
    <t>07:17:14</t>
  </si>
  <si>
    <t>07:19:16</t>
  </si>
  <si>
    <t>07:32:43</t>
  </si>
  <si>
    <t>07:42:35</t>
  </si>
  <si>
    <t>18:55:58</t>
  </si>
  <si>
    <t>08:34:44</t>
  </si>
  <si>
    <t>06:30:46</t>
  </si>
  <si>
    <t>08:57:38</t>
  </si>
  <si>
    <t>09:26:10</t>
  </si>
  <si>
    <t>09:30:40</t>
  </si>
  <si>
    <t>10:24:40</t>
  </si>
  <si>
    <t>11:21:49</t>
  </si>
  <si>
    <t>11:35:04</t>
  </si>
  <si>
    <t>08:36:03</t>
  </si>
  <si>
    <t>20:55:55</t>
  </si>
  <si>
    <t>11:50:03</t>
  </si>
  <si>
    <t>12:10:12</t>
  </si>
  <si>
    <t>12:42:28</t>
  </si>
  <si>
    <t>17:30:54</t>
  </si>
  <si>
    <t>17:32:29</t>
  </si>
  <si>
    <t>12:50:44</t>
  </si>
  <si>
    <t>12:53:06</t>
  </si>
  <si>
    <t>12:53:18</t>
  </si>
  <si>
    <t>09:44:34</t>
  </si>
  <si>
    <t>12:55:58</t>
  </si>
  <si>
    <t>04:23:17</t>
  </si>
  <si>
    <t>12:56:37</t>
  </si>
  <si>
    <t>13:01:22</t>
  </si>
  <si>
    <t>13:02:26</t>
  </si>
  <si>
    <t>13:12:23</t>
  </si>
  <si>
    <t>13:12:45</t>
  </si>
  <si>
    <t>13:25:57</t>
  </si>
  <si>
    <t>13:26:02</t>
  </si>
  <si>
    <t>13:33:51</t>
  </si>
  <si>
    <t>13:36:39</t>
  </si>
  <si>
    <t>19:10:09</t>
  </si>
  <si>
    <t>13:37:21</t>
  </si>
  <si>
    <t>13:39:08</t>
  </si>
  <si>
    <t>15:39:07</t>
  </si>
  <si>
    <t>13:45:28</t>
  </si>
  <si>
    <t>12:27:58</t>
  </si>
  <si>
    <t>13:52:39</t>
  </si>
  <si>
    <t>14:16:15</t>
  </si>
  <si>
    <t>15:12:01</t>
  </si>
  <si>
    <t>14:03:46</t>
  </si>
  <si>
    <t>14:23:02</t>
  </si>
  <si>
    <t>05:16:43</t>
  </si>
  <si>
    <t>14:28:09</t>
  </si>
  <si>
    <t>19:29:08</t>
  </si>
  <si>
    <t>14:32:18</t>
  </si>
  <si>
    <t>14:39:52</t>
  </si>
  <si>
    <t>14:51:39</t>
  </si>
  <si>
    <t>15:17:15</t>
  </si>
  <si>
    <t>15:17:32</t>
  </si>
  <si>
    <t>15:19:54</t>
  </si>
  <si>
    <t>15:21:10</t>
  </si>
  <si>
    <t>15:33:22</t>
  </si>
  <si>
    <t>15:36:39</t>
  </si>
  <si>
    <t>15:44:28</t>
  </si>
  <si>
    <t>16:13:39</t>
  </si>
  <si>
    <t>16:29:30</t>
  </si>
  <si>
    <t>17:08:09</t>
  </si>
  <si>
    <t>17:24:28</t>
  </si>
  <si>
    <t>19:15:19</t>
  </si>
  <si>
    <t>19:35:53</t>
  </si>
  <si>
    <t>19:28:40</t>
  </si>
  <si>
    <t>20:32:58</t>
  </si>
  <si>
    <t>11:28:08</t>
  </si>
  <si>
    <t>15:43:30</t>
  </si>
  <si>
    <t>15:44:19</t>
  </si>
  <si>
    <t>10:19:47</t>
  </si>
  <si>
    <t>10:50:12</t>
  </si>
  <si>
    <t>15:55:41</t>
  </si>
  <si>
    <t>14:05:20</t>
  </si>
  <si>
    <t>1481990814498754563</t>
  </si>
  <si>
    <t>1481995969294176258</t>
  </si>
  <si>
    <t>1481996356642394112</t>
  </si>
  <si>
    <t>1481997071972544516</t>
  </si>
  <si>
    <t>1481999001486569478</t>
  </si>
  <si>
    <t>1482000713148477451</t>
  </si>
  <si>
    <t>1482003129910575109</t>
  </si>
  <si>
    <t>1482003488590680065</t>
  </si>
  <si>
    <t>1482006353400979456</t>
  </si>
  <si>
    <t>1482007154844389378</t>
  </si>
  <si>
    <t>1482005899770310659</t>
  </si>
  <si>
    <t>1482008546367705088</t>
  </si>
  <si>
    <t>1482013219564797955</t>
  </si>
  <si>
    <t>1482013510406131714</t>
  </si>
  <si>
    <t>1482016448923021319</t>
  </si>
  <si>
    <t>1482018488852131843</t>
  </si>
  <si>
    <t>1482019709319057409</t>
  </si>
  <si>
    <t>1482024582634737666</t>
  </si>
  <si>
    <t>1482021456649277443</t>
  </si>
  <si>
    <t>1482025601661870082</t>
  </si>
  <si>
    <t>1482027547676315650</t>
  </si>
  <si>
    <t>1482033086305034251</t>
  </si>
  <si>
    <t>1482036045814407177</t>
  </si>
  <si>
    <t>1482039987700916224</t>
  </si>
  <si>
    <t>1482044290511613953</t>
  </si>
  <si>
    <t>1482046088823644167</t>
  </si>
  <si>
    <t>1482052024774668289</t>
  </si>
  <si>
    <t>1482067150873501701</t>
  </si>
  <si>
    <t>1482067358743252995</t>
  </si>
  <si>
    <t>1482070942796992512</t>
  </si>
  <si>
    <t>1482071765471924225</t>
  </si>
  <si>
    <t>1482108225776660480</t>
  </si>
  <si>
    <t>1482127839176577026</t>
  </si>
  <si>
    <t>1482131566486855680</t>
  </si>
  <si>
    <t>1482136089297133579</t>
  </si>
  <si>
    <t>1482148142267174916</t>
  </si>
  <si>
    <t>1482164698342645765</t>
  </si>
  <si>
    <t>1482172852048642054</t>
  </si>
  <si>
    <t>1482221353839304712</t>
  </si>
  <si>
    <t>1482235133658808325</t>
  </si>
  <si>
    <t>1482241338896699392</t>
  </si>
  <si>
    <t>1482252847664312321</t>
  </si>
  <si>
    <t>1482265835611828225</t>
  </si>
  <si>
    <t>1482271407807639559</t>
  </si>
  <si>
    <t>1482326437461905412</t>
  </si>
  <si>
    <t>1482327860946022401</t>
  </si>
  <si>
    <t>1482325293364879364</t>
  </si>
  <si>
    <t>1482329133656936450</t>
  </si>
  <si>
    <t>1482363339472842752</t>
  </si>
  <si>
    <t>1482367208420524035</t>
  </si>
  <si>
    <t>1482367753373822984</t>
  </si>
  <si>
    <t>1482368025739382784</t>
  </si>
  <si>
    <t>1482377163148079113</t>
  </si>
  <si>
    <t>1482379290079637505</t>
  </si>
  <si>
    <t>1482377835130019849</t>
  </si>
  <si>
    <t>1482386412494331909</t>
  </si>
  <si>
    <t>1482386896210829316</t>
  </si>
  <si>
    <t>1482396753257242628</t>
  </si>
  <si>
    <t>1482403024375103490</t>
  </si>
  <si>
    <t>1482407306721693700</t>
  </si>
  <si>
    <t>1482379305862762506</t>
  </si>
  <si>
    <t>1482382805812264961</t>
  </si>
  <si>
    <t>1482420324973125638</t>
  </si>
  <si>
    <t>1482373577433305089</t>
  </si>
  <si>
    <t>1482018937218949127</t>
  </si>
  <si>
    <t>1482099953988247564</t>
  </si>
  <si>
    <t>1482405691059056642</t>
  </si>
  <si>
    <t>1482421451433070597</t>
  </si>
  <si>
    <t>1482426398253932544</t>
  </si>
  <si>
    <t>1482431339517431811</t>
  </si>
  <si>
    <t>1482433802026864643</t>
  </si>
  <si>
    <t>1482011199483129856</t>
  </si>
  <si>
    <t>1482437798556835843</t>
  </si>
  <si>
    <t>1482437570458001408</t>
  </si>
  <si>
    <t>1482452014051336195</t>
  </si>
  <si>
    <t>1482452619360870400</t>
  </si>
  <si>
    <t>1482453061868175362</t>
  </si>
  <si>
    <t>1482457740144521216</t>
  </si>
  <si>
    <t>1482482782358097928</t>
  </si>
  <si>
    <t>1482484184514015236</t>
  </si>
  <si>
    <t>1482522575892791297</t>
  </si>
  <si>
    <t>1482588347474354177</t>
  </si>
  <si>
    <t>1482597043344445443</t>
  </si>
  <si>
    <t>1482075555247923208</t>
  </si>
  <si>
    <t>1482609140686073862</t>
  </si>
  <si>
    <t>1482648608121966594</t>
  </si>
  <si>
    <t>1482668445745430530</t>
  </si>
  <si>
    <t>1482674313752887301</t>
  </si>
  <si>
    <t>1482081305496010760</t>
  </si>
  <si>
    <t>1482687548896030720</t>
  </si>
  <si>
    <t>1482065371213570049</t>
  </si>
  <si>
    <t>1482691306036080648</t>
  </si>
  <si>
    <t>1482694766529695746</t>
  </si>
  <si>
    <t>1482700608167714817</t>
  </si>
  <si>
    <t>1482713246637432832</t>
  </si>
  <si>
    <t>1482728344642850816</t>
  </si>
  <si>
    <t>1482699138454245376</t>
  </si>
  <si>
    <t>1482729312986058757</t>
  </si>
  <si>
    <t>1482734751710691328</t>
  </si>
  <si>
    <t>1482752017475026950</t>
  </si>
  <si>
    <t>1482754609047379972</t>
  </si>
  <si>
    <t>1482755257528725506</t>
  </si>
  <si>
    <t>1482755528610791428</t>
  </si>
  <si>
    <t>1482031894090813442</t>
  </si>
  <si>
    <t>1482755547820560387</t>
  </si>
  <si>
    <t>1482757610893983747</t>
  </si>
  <si>
    <t>1482759326938939399</t>
  </si>
  <si>
    <t>1482760197231853569</t>
  </si>
  <si>
    <t>1482763186361311238</t>
  </si>
  <si>
    <t>1482764585761390597</t>
  </si>
  <si>
    <t>1482766636302143490</t>
  </si>
  <si>
    <t>1482766688005369858</t>
  </si>
  <si>
    <t>1482767160783126545</t>
  </si>
  <si>
    <t>1482418097797713929</t>
  </si>
  <si>
    <t>1482752680665784330</t>
  </si>
  <si>
    <t>1482767888364748807</t>
  </si>
  <si>
    <t>1482772131800924171</t>
  </si>
  <si>
    <t>1482772393571536896</t>
  </si>
  <si>
    <t>1482776345709056000</t>
  </si>
  <si>
    <t>1482773010327162884</t>
  </si>
  <si>
    <t>1482781697770934273</t>
  </si>
  <si>
    <t>1482786755262783497</t>
  </si>
  <si>
    <t>1482790663913676803</t>
  </si>
  <si>
    <t>1482793062577356803</t>
  </si>
  <si>
    <t>1482793169041477637</t>
  </si>
  <si>
    <t>1482795001046315013</t>
  </si>
  <si>
    <t>1482797177458069505</t>
  </si>
  <si>
    <t>1482797304872861697</t>
  </si>
  <si>
    <t>1482803158376239112</t>
  </si>
  <si>
    <t>1482804403094577152</t>
  </si>
  <si>
    <t>1482806323616100363</t>
  </si>
  <si>
    <t>1482808468792922112</t>
  </si>
  <si>
    <t>1482810164449353734</t>
  </si>
  <si>
    <t>1482810792353411072</t>
  </si>
  <si>
    <t>1482812270027673606</t>
  </si>
  <si>
    <t>1482814735636697088</t>
  </si>
  <si>
    <t>1482385696375586823</t>
  </si>
  <si>
    <t>1482815629174444035</t>
  </si>
  <si>
    <t>1482815837857800199</t>
  </si>
  <si>
    <t>1482816468282707973</t>
  </si>
  <si>
    <t>1482816971402100738</t>
  </si>
  <si>
    <t>1482241768867479553</t>
  </si>
  <si>
    <t>1482817523091480581</t>
  </si>
  <si>
    <t>1482766435193700353</t>
  </si>
  <si>
    <t>1482798710723645445</t>
  </si>
  <si>
    <t>1482817599813697539</t>
  </si>
  <si>
    <t>1482775078458859522</t>
  </si>
  <si>
    <t>1482818295170535434</t>
  </si>
  <si>
    <t>1482818446886850568</t>
  </si>
  <si>
    <t>1482824093997096962</t>
  </si>
  <si>
    <t>1482826268907294728</t>
  </si>
  <si>
    <t>1482841398730792961</t>
  </si>
  <si>
    <t>1482845842407055361</t>
  </si>
  <si>
    <t>1482846296419581953</t>
  </si>
  <si>
    <t>1482847564034711556</t>
  </si>
  <si>
    <t>1482857884350578689</t>
  </si>
  <si>
    <t>1482918856003928066</t>
  </si>
  <si>
    <t>1482928339258155017</t>
  </si>
  <si>
    <t>1482367925197717505</t>
  </si>
  <si>
    <t>1482417870688636928</t>
  </si>
  <si>
    <t>1482928559945621508</t>
  </si>
  <si>
    <t>1482950838280765441</t>
  </si>
  <si>
    <t>1481990307256360965</t>
  </si>
  <si>
    <t>1482001058226442241</t>
  </si>
  <si>
    <t>1481996020502478848</t>
  </si>
  <si>
    <t>1482789387255652357</t>
  </si>
  <si>
    <t>1482970296307093504</t>
  </si>
  <si>
    <t>1482975283699494913</t>
  </si>
  <si>
    <t>1482975793877819393</t>
  </si>
  <si>
    <t>1482979178802814979</t>
  </si>
  <si>
    <t>1482981662644477955</t>
  </si>
  <si>
    <t>1482788736786128900</t>
  </si>
  <si>
    <t>1482994785933828096</t>
  </si>
  <si>
    <t>1482963590332231689</t>
  </si>
  <si>
    <t>1483000550417485825</t>
  </si>
  <si>
    <t>1483007730701029382</t>
  </si>
  <si>
    <t>1483008864530448387</t>
  </si>
  <si>
    <t>1483022451869204484</t>
  </si>
  <si>
    <t>1483036835534229505</t>
  </si>
  <si>
    <t>1483040168076619776</t>
  </si>
  <si>
    <t>1482995116654608385</t>
  </si>
  <si>
    <t>1482818922973827073</t>
  </si>
  <si>
    <t>1483043940836286467</t>
  </si>
  <si>
    <t>1483049010302791681</t>
  </si>
  <si>
    <t>1483057131138039815</t>
  </si>
  <si>
    <t>1482404940047962120</t>
  </si>
  <si>
    <t>1482767727232225281</t>
  </si>
  <si>
    <t>1483059211831554059</t>
  </si>
  <si>
    <t>1483059806042787840</t>
  </si>
  <si>
    <t>1483059855472660481</t>
  </si>
  <si>
    <t>1482649972147433473</t>
  </si>
  <si>
    <t>1483060529174351881</t>
  </si>
  <si>
    <t>1482931505970167809</t>
  </si>
  <si>
    <t>1483060692164952064</t>
  </si>
  <si>
    <t>1483061885779992580</t>
  </si>
  <si>
    <t>1483062156627173381</t>
  </si>
  <si>
    <t>1483064658676359173</t>
  </si>
  <si>
    <t>1483064750862962693</t>
  </si>
  <si>
    <t>1483068072986824705</t>
  </si>
  <si>
    <t>1483068094767669248</t>
  </si>
  <si>
    <t>1483070060658839556</t>
  </si>
  <si>
    <t>1483070768149839875</t>
  </si>
  <si>
    <t>1482792308445696006</t>
  </si>
  <si>
    <t>1483070944268767232</t>
  </si>
  <si>
    <t>1483071391041785863</t>
  </si>
  <si>
    <t>1482376810889367555</t>
  </si>
  <si>
    <t>1483072984835399680</t>
  </si>
  <si>
    <t>1483053480118042628</t>
  </si>
  <si>
    <t>1483074791045279744</t>
  </si>
  <si>
    <t>1481993569539874819</t>
  </si>
  <si>
    <t>1482369992129662980</t>
  </si>
  <si>
    <t>1483077588675350529</t>
  </si>
  <si>
    <t>1483082437315997696</t>
  </si>
  <si>
    <t>1482944952296423425</t>
  </si>
  <si>
    <t>1483083727299387396</t>
  </si>
  <si>
    <t>1482797081957912581</t>
  </si>
  <si>
    <t>1483084770066247684</t>
  </si>
  <si>
    <t>1483086677392474118</t>
  </si>
  <si>
    <t>1483089641620353031</t>
  </si>
  <si>
    <t>1483096084687859722</t>
  </si>
  <si>
    <t>1483096154711674890</t>
  </si>
  <si>
    <t>1483096748285431808</t>
  </si>
  <si>
    <t>1483097070542143501</t>
  </si>
  <si>
    <t>1483100141003411465</t>
  </si>
  <si>
    <t>1483100964055928840</t>
  </si>
  <si>
    <t>1482378156145262598</t>
  </si>
  <si>
    <t>1482385499692093441</t>
  </si>
  <si>
    <t>1482751877792075780</t>
  </si>
  <si>
    <t>1482761602738839555</t>
  </si>
  <si>
    <t>1482765711189716995</t>
  </si>
  <si>
    <t>1482793606746460162</t>
  </si>
  <si>
    <t>1482798781498380291</t>
  </si>
  <si>
    <t>1482796964580409348</t>
  </si>
  <si>
    <t>1482813147228647431</t>
  </si>
  <si>
    <t>1483038424080736257</t>
  </si>
  <si>
    <t>1483102691085664257</t>
  </si>
  <si>
    <t>1483102895759319043</t>
  </si>
  <si>
    <t>1482658835944857600</t>
  </si>
  <si>
    <t>1483028876150415363</t>
  </si>
  <si>
    <t>1483105753321938944</t>
  </si>
  <si>
    <t>1481990819892629505</t>
  </si>
  <si>
    <t>1482000205142806536</t>
  </si>
  <si>
    <t>1482021874288705541</t>
  </si>
  <si>
    <t>1482073790695845890</t>
  </si>
  <si>
    <t>1481989120624893952</t>
  </si>
  <si>
    <t>1482242474521374722</t>
  </si>
  <si>
    <t>1482363994493136896</t>
  </si>
  <si>
    <t>1482354871550492672</t>
  </si>
  <si>
    <t>1311254476599316481</t>
  </si>
  <si>
    <t>1482377212594737157</t>
  </si>
  <si>
    <t>1482387332145811456</t>
  </si>
  <si>
    <t>1482372971222163462</t>
  </si>
  <si>
    <t>1482145478158475266</t>
  </si>
  <si>
    <t>1482403467377491968</t>
  </si>
  <si>
    <t>1482378013174116352</t>
  </si>
  <si>
    <t>1482452259317460995</t>
  </si>
  <si>
    <t>1482452845970534402</t>
  </si>
  <si>
    <t>1482359271660691458</t>
  </si>
  <si>
    <t>1481914486264979456</t>
  </si>
  <si>
    <t>1482259739799080963</t>
  </si>
  <si>
    <t>1482359308658618368</t>
  </si>
  <si>
    <t>1482733663896940547</t>
  </si>
  <si>
    <t>1482753565869420546</t>
  </si>
  <si>
    <t>1482753757523984384</t>
  </si>
  <si>
    <t>1482766588310966272</t>
  </si>
  <si>
    <t>1482805041585086472</t>
  </si>
  <si>
    <t>1482367680179064833</t>
  </si>
  <si>
    <t>1482940633522348035</t>
  </si>
  <si>
    <t>1482776797662097414</t>
  </si>
  <si>
    <t>1483046693499195392</t>
  </si>
  <si>
    <t>1483045182308237313</t>
  </si>
  <si>
    <t>1483066019094712326</t>
  </si>
  <si>
    <t>1482772512870125568</t>
  </si>
  <si>
    <t>1482093793239257089</t>
  </si>
  <si>
    <t/>
  </si>
  <si>
    <t>1422645252045918210</t>
  </si>
  <si>
    <t>1314138199070044160</t>
  </si>
  <si>
    <t>1343269323960422401</t>
  </si>
  <si>
    <t>27205855</t>
  </si>
  <si>
    <t>3042472372</t>
  </si>
  <si>
    <t>1458871771382353920</t>
  </si>
  <si>
    <t>50570697</t>
  </si>
  <si>
    <t>901543122945134592</t>
  </si>
  <si>
    <t>1420282545854427136</t>
  </si>
  <si>
    <t>464115593</t>
  </si>
  <si>
    <t>1468177662720069639</t>
  </si>
  <si>
    <t>1436561629609615360</t>
  </si>
  <si>
    <t>501837625</t>
  </si>
  <si>
    <t>29057955</t>
  </si>
  <si>
    <t>399577123</t>
  </si>
  <si>
    <t>1419968034295459840</t>
  </si>
  <si>
    <t>2574680077</t>
  </si>
  <si>
    <t>786662128719659008</t>
  </si>
  <si>
    <t>1292208426819506176</t>
  </si>
  <si>
    <t>1177405563879264258</t>
  </si>
  <si>
    <t>621109658</t>
  </si>
  <si>
    <t>1351466120281251840</t>
  </si>
  <si>
    <t>1259937690369363968</t>
  </si>
  <si>
    <t>45911084</t>
  </si>
  <si>
    <t>1376953130</t>
  </si>
  <si>
    <t>45602301</t>
  </si>
  <si>
    <t>1430263292170104832</t>
  </si>
  <si>
    <t>1209205306607259649</t>
  </si>
  <si>
    <t>1547606214</t>
  </si>
  <si>
    <t>1422293007504642049</t>
  </si>
  <si>
    <t>378124242</t>
  </si>
  <si>
    <t>1365000301917450240</t>
  </si>
  <si>
    <t>1477306427903463425</t>
  </si>
  <si>
    <t>795703466207432704</t>
  </si>
  <si>
    <t>1447245604837548042</t>
  </si>
  <si>
    <t>1438135656</t>
  </si>
  <si>
    <t>516157233</t>
  </si>
  <si>
    <t>1515834372</t>
  </si>
  <si>
    <t>1366812946391785481</t>
  </si>
  <si>
    <t>fi</t>
  </si>
  <si>
    <t>und</t>
  </si>
  <si>
    <t>et</t>
  </si>
  <si>
    <t>en</t>
  </si>
  <si>
    <t>1482382445974544388</t>
  </si>
  <si>
    <t>Twitter Web App</t>
  </si>
  <si>
    <t>Twitter for Android</t>
  </si>
  <si>
    <t>Twitter for iPhone</t>
  </si>
  <si>
    <t>Twitter for iPad</t>
  </si>
  <si>
    <t>IS Uutiset feedistä Twitteriin</t>
  </si>
  <si>
    <t>dlvr.it</t>
  </si>
  <si>
    <t>IFTTT</t>
  </si>
  <si>
    <t>24,499764,60,00307 
24,850506,60,00307 
24,850506,60,363616 
24,499764,60,363616</t>
  </si>
  <si>
    <t>Finland</t>
  </si>
  <si>
    <t>FI</t>
  </si>
  <si>
    <t>Espoo, Suomi</t>
  </si>
  <si>
    <t>8fe2e9b7b1ed6389</t>
  </si>
  <si>
    <t>Espoo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</si>
  <si>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</si>
  <si>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</si>
  <si>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</si>
  <si>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</si>
  <si>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</si>
  <si>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</si>
  <si>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</si>
  <si>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</si>
  <si>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</si>
  <si>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</si>
  <si>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</si>
  <si>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</si>
  <si>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</si>
  <si>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</si>
  <si>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</si>
  <si>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</si>
  <si>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</si>
  <si>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</si>
  <si>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</si>
  <si>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</si>
  <si>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</si>
  <si>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</si>
  <si>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</si>
  <si>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Janne Karjalainen</t>
  </si>
  <si>
    <t>Pus</t>
  </si>
  <si>
    <t>Jani Ketola</t>
  </si>
  <si>
    <t>Jättiläinen</t>
  </si>
  <si>
    <t>Niko kalevi</t>
  </si>
  <si>
    <t>Matti Meikäläinen</t>
  </si>
  <si>
    <t>JenniDjärf</t>
  </si>
  <si>
    <t>Troijan Hevonen</t>
  </si>
  <si>
    <t>Jopu Gee</t>
  </si>
  <si>
    <t>Marleerio</t>
  </si>
  <si>
    <t>Rane_xD83C__xDDEB__xD83C__xDDEE__xD83C__xDDF3__xD83C__xDDF4__xD83C__xDDF1__xD83C__xDDE7_</t>
  </si>
  <si>
    <t>Thunder meets light</t>
  </si>
  <si>
    <t>Tatiana De S. ❄️⛄️✨</t>
  </si>
  <si>
    <t>Outis</t>
  </si>
  <si>
    <t>Disappointed Mourinho</t>
  </si>
  <si>
    <t>HF</t>
  </si>
  <si>
    <t>KarvonenV</t>
  </si>
  <si>
    <t>viserion</t>
  </si>
  <si>
    <t>Karja</t>
  </si>
  <si>
    <t>Mikael71</t>
  </si>
  <si>
    <t>santeriii</t>
  </si>
  <si>
    <t>Sosialidemokraatit</t>
  </si>
  <si>
    <t>Vasemmistoliitto</t>
  </si>
  <si>
    <t>Tuula Haatainen</t>
  </si>
  <si>
    <t>Mika Lintilä</t>
  </si>
  <si>
    <t>Annika Saarikko</t>
  </si>
  <si>
    <t>Sanna Marin</t>
  </si>
  <si>
    <t>MaRa ry</t>
  </si>
  <si>
    <t>Suomen Keskusta</t>
  </si>
  <si>
    <t>Timo Heinonen</t>
  </si>
  <si>
    <t>Jonna Arkki</t>
  </si>
  <si>
    <t>Pekka Leinonen</t>
  </si>
  <si>
    <t>Kissanviikset</t>
  </si>
  <si>
    <t>Hilma H.</t>
  </si>
  <si>
    <t>Meri Mattila</t>
  </si>
  <si>
    <t>Mikael Jaakkola</t>
  </si>
  <si>
    <t>mikke</t>
  </si>
  <si>
    <t>rypäle</t>
  </si>
  <si>
    <t>Stadislav</t>
  </si>
  <si>
    <t>Hans Välimäki</t>
  </si>
  <si>
    <t>Lallallaa</t>
  </si>
  <si>
    <t>polarphoenix</t>
  </si>
  <si>
    <t>_xD83C__xDDEB__xD83C__xDDEE_Erik Haltmar_xD83C__xDDEB__xD83C__xDDEE_</t>
  </si>
  <si>
    <t>Anna Järvinen</t>
  </si>
  <si>
    <t>Arvo Pohjallinen</t>
  </si>
  <si>
    <t>Päivi ☝_xD83C__xDFFF__xD83D__xDC69_‍✈️</t>
  </si>
  <si>
    <t>Ureakefaali (Liity Valoon)</t>
  </si>
  <si>
    <t>Kalle Javanainen</t>
  </si>
  <si>
    <t>thealphabet</t>
  </si>
  <si>
    <t>Jenny</t>
  </si>
  <si>
    <t>J.k.T</t>
  </si>
  <si>
    <t>Henri Alen</t>
  </si>
  <si>
    <t>Sari Tolonen</t>
  </si>
  <si>
    <t>Aki Hirvilammi @X FIN</t>
  </si>
  <si>
    <t>Jonna Dunkel</t>
  </si>
  <si>
    <t>Miska Kemppinen</t>
  </si>
  <si>
    <t>Danita Lindroos</t>
  </si>
  <si>
    <t>Cernunnos</t>
  </si>
  <si>
    <t>Suvi H</t>
  </si>
  <si>
    <t>Johanna Riihijarvi</t>
  </si>
  <si>
    <t>Tatu Laine</t>
  </si>
  <si>
    <t>JayEagleRiver17</t>
  </si>
  <si>
    <t>Jamppa Kallila</t>
  </si>
  <si>
    <t>SusAnna</t>
  </si>
  <si>
    <t>Jaana Oravisjärvi</t>
  </si>
  <si>
    <t>Emppu</t>
  </si>
  <si>
    <t>Siru</t>
  </si>
  <si>
    <t>Petri Paavola</t>
  </si>
  <si>
    <t>Janhunen</t>
  </si>
  <si>
    <t>Toivo✝On</t>
  </si>
  <si>
    <t>Martti Hirvonen</t>
  </si>
  <si>
    <t>Hans-Henrik Välimäki</t>
  </si>
  <si>
    <t>Ilta-Sanomat</t>
  </si>
  <si>
    <t>Syntyperäne kansalaine</t>
  </si>
  <si>
    <t>Mikko</t>
  </si>
  <si>
    <t>Raili Stordell</t>
  </si>
  <si>
    <t>Janne Juhani</t>
  </si>
  <si>
    <t>Janina</t>
  </si>
  <si>
    <t>InjektioPiikki</t>
  </si>
  <si>
    <t>TK6379055</t>
  </si>
  <si>
    <t>Olli Posti</t>
  </si>
  <si>
    <t>Petteri Orpo</t>
  </si>
  <si>
    <t>tommi siniluoto</t>
  </si>
  <si>
    <t>Tυɾɳυƙƙαραɾƚα®</t>
  </si>
  <si>
    <t>Elssa</t>
  </si>
  <si>
    <t>Timo Virtanen</t>
  </si>
  <si>
    <t>Sammy</t>
  </si>
  <si>
    <t>Canceloitu</t>
  </si>
  <si>
    <t>Rapè</t>
  </si>
  <si>
    <t>JP Okero</t>
  </si>
  <si>
    <t>Miikka Korja</t>
  </si>
  <si>
    <t>Kyösti</t>
  </si>
  <si>
    <t>Sinerjoki</t>
  </si>
  <si>
    <t>Marko Karvonen</t>
  </si>
  <si>
    <t>LindaPauliina Q | Pauliina Kuhlmann | Polvijärvi</t>
  </si>
  <si>
    <t>Veijo Vaiste</t>
  </si>
  <si>
    <t>Kaija Jalonen</t>
  </si>
  <si>
    <t>Seppo Olavi Palkki _xD83C__xDDEB__xD83C__xDDEE_PS_xD83D__xDC99_ _xD83C__xDDEB__xD83C__xDDEE_Fioriginaali_xD83D__xDC99_</t>
  </si>
  <si>
    <t>Nikki Viitaharju</t>
  </si>
  <si>
    <t>Pedrosa Gonzales _xD83D__xDC1F_ #novaccinepassports</t>
  </si>
  <si>
    <t>Mikko Pohjanheimo</t>
  </si>
  <si>
    <t>Pasi Mäenranta</t>
  </si>
  <si>
    <t>Jens Pedersen</t>
  </si>
  <si>
    <t>Mikko _xD83C__xDDEB__xD83C__xDDEE_</t>
  </si>
  <si>
    <t>Againstall</t>
  </si>
  <si>
    <t>any woman</t>
  </si>
  <si>
    <t>Seiska</t>
  </si>
  <si>
    <t>Jussi Koskela</t>
  </si>
  <si>
    <t>matti heikkila</t>
  </si>
  <si>
    <t>Piero Ventura</t>
  </si>
  <si>
    <t>Mikael Gabriel</t>
  </si>
  <si>
    <t>LegoSoldier</t>
  </si>
  <si>
    <t>Dmitry Gurbanov</t>
  </si>
  <si>
    <t>Hamppu.net</t>
  </si>
  <si>
    <t>lake79</t>
  </si>
  <si>
    <t>Jumppa Hällfors</t>
  </si>
  <si>
    <t>Timo Perhio</t>
  </si>
  <si>
    <t>ConspiracyTheorist - IdeologiaHybridi</t>
  </si>
  <si>
    <t>Pekka</t>
  </si>
  <si>
    <t>jari poikelin</t>
  </si>
  <si>
    <t>ScandinavianHugo #HoldTheLine #together</t>
  </si>
  <si>
    <t>Maija Maitoparta</t>
  </si>
  <si>
    <t>Liito-Orava _xD83C__xDDEB__xD83C__xDDEE__xD83C__xDDEB__xD83C__xDDEE__xD83C__xDDEB__xD83C__xDDEE__xD83C__xDDEB__xD83C__xDDEE__xD83C__xDDEB__xD83C__xDDEE_</t>
  </si>
  <si>
    <t>Anna Fedorova</t>
  </si>
  <si>
    <t>chris mills</t>
  </si>
  <si>
    <t>Jari Mikkonen _xD83C__xDDEB__xD83C__xDDEE_ _xD83C__xDFC5_</t>
  </si>
  <si>
    <t>Jacke</t>
  </si>
  <si>
    <t>Pank Frappa</t>
  </si>
  <si>
    <t>Panu Huuhtanen _xD83C__xDDEB__xD83C__xDDEE_</t>
  </si>
  <si>
    <t>Jukka Laulumaa</t>
  </si>
  <si>
    <t>Tanjassa</t>
  </si>
  <si>
    <t>Jasmin Kyllönen❤️</t>
  </si>
  <si>
    <t>_xD83C__xDDEB__xD83C__xDDEE__xD83D__xDD25_SUPERLAMMAS 3.0_xD83D__xDD25__xD83C__xDDEB__xD83C__xDDEE_SUOMALAINEN</t>
  </si>
  <si>
    <t>Kari Karva _xD83C__xDDEB__xD83C__xDDEE_</t>
  </si>
  <si>
    <t>Jesse</t>
  </si>
  <si>
    <t>ilmari</t>
  </si>
  <si>
    <t>Teppo Tuomola</t>
  </si>
  <si>
    <t>Jarmo Lindström</t>
  </si>
  <si>
    <t>Jari Jyrkänkoski</t>
  </si>
  <si>
    <t>Oula Silvennoinen</t>
  </si>
  <si>
    <t>Katri Taipale</t>
  </si>
  <si>
    <t>Eero Salin</t>
  </si>
  <si>
    <t>Aki Härkönen _xD83C__xDDEB__xD83C__xDDEE_</t>
  </si>
  <si>
    <t>SaanaKK</t>
  </si>
  <si>
    <t>Pertti Piirto _xD83C__xDDEB__xD83C__xDDEE_</t>
  </si>
  <si>
    <t>Marcus Bacardinen</t>
  </si>
  <si>
    <t>Vyyhdinpurkaja</t>
  </si>
  <si>
    <t>Tiina "Äänestä Lokka 637" Wiik</t>
  </si>
  <si>
    <t>Pekka Lahti</t>
  </si>
  <si>
    <t>Susanna K</t>
  </si>
  <si>
    <t>Unna Nuuni_xD83C__xDDEB__xD83C__xDDEE_</t>
  </si>
  <si>
    <t>Anne Valo _xD83C__xDDEB__xD83C__xDDEE_</t>
  </si>
  <si>
    <t>جمال الروح</t>
  </si>
  <si>
    <t>Erkki Heilala</t>
  </si>
  <si>
    <t>Sanna Ukkola</t>
  </si>
  <si>
    <t>Iltalehti</t>
  </si>
  <si>
    <t>Gino Gorplati</t>
  </si>
  <si>
    <t>Halle Sherrymarja (Control Group)</t>
  </si>
  <si>
    <t>Timo Riikonen</t>
  </si>
  <si>
    <t>Jussi Lepola</t>
  </si>
  <si>
    <t>Emilia</t>
  </si>
  <si>
    <t>Sari Heinonen</t>
  </si>
  <si>
    <t>Konttiukko _xD83C__xDDE7__xD83C__xDDFE_ _xD83C__xDDF2__xD83C__xDDFD_</t>
  </si>
  <si>
    <t>Vikkelä</t>
  </si>
  <si>
    <t>Hyperborean</t>
  </si>
  <si>
    <t>paulbuckwheat</t>
  </si>
  <si>
    <t>Kettunen</t>
  </si>
  <si>
    <t>Maria Kolehmainen</t>
  </si>
  <si>
    <t>Stig-Ove Madetoja</t>
  </si>
  <si>
    <t>ВИПчлен-Контр.группа _xD83D__xDE09__xD83D__xDC4D_</t>
  </si>
  <si>
    <t>Julle</t>
  </si>
  <si>
    <t>romu</t>
  </si>
  <si>
    <t>T̶a̶p̶i̶o̶ J̶ä̶m̶s̶e̶n̶</t>
  </si>
  <si>
    <t>Takapirulainen</t>
  </si>
  <si>
    <t>Markku Laitinen</t>
  </si>
  <si>
    <t>puntti</t>
  </si>
  <si>
    <t>Pasilan Mies</t>
  </si>
  <si>
    <t>Jiri Keronen - #52 - Länsi-Uusimaa</t>
  </si>
  <si>
    <t>Taina Syrjänen _xD83C__xDDEB__xD83C__xDDEE_ _xD83C__xDFF3_️‍_xD83C__xDF08_ _xD83C__xDF0E__xD83D__xDC1F_</t>
  </si>
  <si>
    <t>Aki Kivirinta _xD83C__xDDFA__xD83C__xDDE6_ / 302 Pohjois-Pohjanmaa</t>
  </si>
  <si>
    <t>Hannu Pölkki</t>
  </si>
  <si>
    <t>Tohtorin Seurakunta - Kari Hirvi</t>
  </si>
  <si>
    <t>Antti Viinanen</t>
  </si>
  <si>
    <t>Tuija Niskanen</t>
  </si>
  <si>
    <t>Vilpe</t>
  </si>
  <si>
    <t>Saara Lifflander</t>
  </si>
  <si>
    <t>Niinuska</t>
  </si>
  <si>
    <t>Tilastonikkari</t>
  </si>
  <si>
    <t>Ville Cantell</t>
  </si>
  <si>
    <t>rautakansleri⚡</t>
  </si>
  <si>
    <t>a.harmokivi</t>
  </si>
  <si>
    <t>Pauli Kouri</t>
  </si>
  <si>
    <t>Safirella_xD83C__xDF38_</t>
  </si>
  <si>
    <t>Markus Pitkänen</t>
  </si>
  <si>
    <t>mauri skon</t>
  </si>
  <si>
    <t>Reijo Taskinen       Reksa34</t>
  </si>
  <si>
    <t>Mario Argenta</t>
  </si>
  <si>
    <t>Samuel Davidkin</t>
  </si>
  <si>
    <t>Benedicta</t>
  </si>
  <si>
    <t>Aleksi Valavuori</t>
  </si>
  <si>
    <t>Tea Lindblom</t>
  </si>
  <si>
    <t>Tommi Hermunen</t>
  </si>
  <si>
    <t>k-s sirkka</t>
  </si>
  <si>
    <t>Jarmo Tiittanen</t>
  </si>
  <si>
    <t>Valtteri Turtiainen</t>
  </si>
  <si>
    <t>Minna Talvitie</t>
  </si>
  <si>
    <t>Aila Vilen</t>
  </si>
  <si>
    <t>Annuliini1234</t>
  </si>
  <si>
    <t>Markku Pakarinen</t>
  </si>
  <si>
    <t>Tulkuttaja</t>
  </si>
  <si>
    <t>Jari Jarvinen _xD83C__xDDEB__xD83C__xDDEE_</t>
  </si>
  <si>
    <t>Puhdasverinen Suomalaisniminen</t>
  </si>
  <si>
    <t>Laura Katriina</t>
  </si>
  <si>
    <t>Hannele Al-Hamzawi ⚘</t>
  </si>
  <si>
    <t>Alice in the Wonderland</t>
  </si>
  <si>
    <t>Universumin Urho</t>
  </si>
  <si>
    <t>theNikki1</t>
  </si>
  <si>
    <t>Milla MAGILLA</t>
  </si>
  <si>
    <t>_xD835__xDD3C__xD835__xDD5D__xD835__xDD5A__xD835__xDD5F__xD835__xDD52_</t>
  </si>
  <si>
    <t>Jenna</t>
  </si>
  <si>
    <t>Maria Forsberg</t>
  </si>
  <si>
    <t>Stiiga _xD83C__xDDFA__xD83C__xDDE6_</t>
  </si>
  <si>
    <t>Marjo Liukkonen</t>
  </si>
  <si>
    <t>Daily Mirror</t>
  </si>
  <si>
    <t>Lauri Paavola</t>
  </si>
  <si>
    <t>Jyrki J Kivistö _xD83C__xDDEB__xD83C__xDDEE_</t>
  </si>
  <si>
    <t>r0tt4</t>
  </si>
  <si>
    <t>MirKHe</t>
  </si>
  <si>
    <t>Christina</t>
  </si>
  <si>
    <t>Pauli Laakso</t>
  </si>
  <si>
    <t>1444745971703898119</t>
  </si>
  <si>
    <t>1456927798854041607</t>
  </si>
  <si>
    <t>1390316094515253248</t>
  </si>
  <si>
    <t>2158777743</t>
  </si>
  <si>
    <t>533428919</t>
  </si>
  <si>
    <t>1332999283763781632</t>
  </si>
  <si>
    <t>1454785558463516672</t>
  </si>
  <si>
    <t>1337376215053766663</t>
  </si>
  <si>
    <t>1102243238080069632</t>
  </si>
  <si>
    <t>2202031068</t>
  </si>
  <si>
    <t>1335855952420106240</t>
  </si>
  <si>
    <t>2760177509</t>
  </si>
  <si>
    <t>1708047870</t>
  </si>
  <si>
    <t>1239244839398629376</t>
  </si>
  <si>
    <t>1342985486</t>
  </si>
  <si>
    <t>1470410395089346562</t>
  </si>
  <si>
    <t>1336657759878729728</t>
  </si>
  <si>
    <t>779597565524381696</t>
  </si>
  <si>
    <t>22262225</t>
  </si>
  <si>
    <t>25494061</t>
  </si>
  <si>
    <t>1619776406</t>
  </si>
  <si>
    <t>2979870159</t>
  </si>
  <si>
    <t>137013308</t>
  </si>
  <si>
    <t>1086378912</t>
  </si>
  <si>
    <t>1688258905</t>
  </si>
  <si>
    <t>21289183</t>
  </si>
  <si>
    <t>1420460162872225800</t>
  </si>
  <si>
    <t>2338345854</t>
  </si>
  <si>
    <t>1171534496430252032</t>
  </si>
  <si>
    <t>1054414270572703746</t>
  </si>
  <si>
    <t>709022279905234944</t>
  </si>
  <si>
    <t>1475540356158603269</t>
  </si>
  <si>
    <t>840630941395628033</t>
  </si>
  <si>
    <t>3612302535</t>
  </si>
  <si>
    <t>1389235771077500933</t>
  </si>
  <si>
    <t>65324677</t>
  </si>
  <si>
    <t>942786309223043072</t>
  </si>
  <si>
    <t>1383731064460308480</t>
  </si>
  <si>
    <t>1400591361104097288</t>
  </si>
  <si>
    <t>1366675570139029505</t>
  </si>
  <si>
    <t>1124609321302732801</t>
  </si>
  <si>
    <t>482453978</t>
  </si>
  <si>
    <t>1446446694770556938</t>
  </si>
  <si>
    <t>1157347992783020032</t>
  </si>
  <si>
    <t>1126094768</t>
  </si>
  <si>
    <t>1182519041103159299</t>
  </si>
  <si>
    <t>22907979</t>
  </si>
  <si>
    <t>3490955837</t>
  </si>
  <si>
    <t>1917480871</t>
  </si>
  <si>
    <t>1430769658383241220</t>
  </si>
  <si>
    <t>1481328167956668419</t>
  </si>
  <si>
    <t>2449216576</t>
  </si>
  <si>
    <t>1473636303883407360</t>
  </si>
  <si>
    <t>1202651929748353024</t>
  </si>
  <si>
    <t>1451379132458315793</t>
  </si>
  <si>
    <t>1188753344707338240</t>
  </si>
  <si>
    <t>1236262946533146624</t>
  </si>
  <si>
    <t>1368210368754049027</t>
  </si>
  <si>
    <t>1466428545069166606</t>
  </si>
  <si>
    <t>1299723442028261377</t>
  </si>
  <si>
    <t>1126811785800179712</t>
  </si>
  <si>
    <t>1469228741226336263</t>
  </si>
  <si>
    <t>1404092809808912387</t>
  </si>
  <si>
    <t>1339265868</t>
  </si>
  <si>
    <t>1717386762</t>
  </si>
  <si>
    <t>1468658221724446720</t>
  </si>
  <si>
    <t>1204955760955969536</t>
  </si>
  <si>
    <t>1476257154415927296</t>
  </si>
  <si>
    <t>2447814073</t>
  </si>
  <si>
    <t>1402508742</t>
  </si>
  <si>
    <t>1369317434998546443</t>
  </si>
  <si>
    <t>1037052132132827136</t>
  </si>
  <si>
    <t>931226784644943872</t>
  </si>
  <si>
    <t>1340443428413448195</t>
  </si>
  <si>
    <t>2779450813</t>
  </si>
  <si>
    <t>3074711416</t>
  </si>
  <si>
    <t>1466045771090964481</t>
  </si>
  <si>
    <t>1467254003000090627</t>
  </si>
  <si>
    <t>972312566</t>
  </si>
  <si>
    <t>1479013858480173056</t>
  </si>
  <si>
    <t>1129448149423132672</t>
  </si>
  <si>
    <t>1431999406073602048</t>
  </si>
  <si>
    <t>1455866058187882498</t>
  </si>
  <si>
    <t>29940303</t>
  </si>
  <si>
    <t>1384117197488812046</t>
  </si>
  <si>
    <t>969955411</t>
  </si>
  <si>
    <t>1090195612761538562</t>
  </si>
  <si>
    <t>1468902682878484484</t>
  </si>
  <si>
    <t>785773836599828480</t>
  </si>
  <si>
    <t>159202573</t>
  </si>
  <si>
    <t>414729710</t>
  </si>
  <si>
    <t>1461315157875994630</t>
  </si>
  <si>
    <t>1172811494934945793</t>
  </si>
  <si>
    <t>1361453767045091328</t>
  </si>
  <si>
    <t>1448965464680505371</t>
  </si>
  <si>
    <t>1120335547522781185</t>
  </si>
  <si>
    <t>2711530321</t>
  </si>
  <si>
    <t>2670395111</t>
  </si>
  <si>
    <t>771785598017339392</t>
  </si>
  <si>
    <t>3032291548</t>
  </si>
  <si>
    <t>802813232515837952</t>
  </si>
  <si>
    <t>1469356567749402631</t>
  </si>
  <si>
    <t>1292408741380456449</t>
  </si>
  <si>
    <t>1188736413208121345</t>
  </si>
  <si>
    <t>1001343986831974401</t>
  </si>
  <si>
    <t>1258674156331302913</t>
  </si>
  <si>
    <t>1393641224645627904</t>
  </si>
  <si>
    <t>412459032</t>
  </si>
  <si>
    <t>1441478059</t>
  </si>
  <si>
    <t>1452716987184988162</t>
  </si>
  <si>
    <t>957668367627948033</t>
  </si>
  <si>
    <t>847990946</t>
  </si>
  <si>
    <t>1476147662676271117</t>
  </si>
  <si>
    <t>1084160252273139714</t>
  </si>
  <si>
    <t>1285976389607358466</t>
  </si>
  <si>
    <t>1432970722331222017</t>
  </si>
  <si>
    <t>2442466385</t>
  </si>
  <si>
    <t>492417288</t>
  </si>
  <si>
    <t>2831546192</t>
  </si>
  <si>
    <t>1001902583685042177</t>
  </si>
  <si>
    <t>1365375416710688768</t>
  </si>
  <si>
    <t>1241803382035230724</t>
  </si>
  <si>
    <t>706945008004419584</t>
  </si>
  <si>
    <t>38846014</t>
  </si>
  <si>
    <t>66947137</t>
  </si>
  <si>
    <t>1328236103854329857</t>
  </si>
  <si>
    <t>2786218341</t>
  </si>
  <si>
    <t>1094186892709507072</t>
  </si>
  <si>
    <t>1447199514151067657</t>
  </si>
  <si>
    <t>1187410640752787456</t>
  </si>
  <si>
    <t>1155914668046802945</t>
  </si>
  <si>
    <t>1468663927684964353</t>
  </si>
  <si>
    <t>1196138093339959302</t>
  </si>
  <si>
    <t>558250892</t>
  </si>
  <si>
    <t>2796499632</t>
  </si>
  <si>
    <t>1465352389263831045</t>
  </si>
  <si>
    <t>925320196432244736</t>
  </si>
  <si>
    <t>376383821</t>
  </si>
  <si>
    <t>1010008746565570560</t>
  </si>
  <si>
    <t>2706787130</t>
  </si>
  <si>
    <t>1304075518728433665</t>
  </si>
  <si>
    <t>805073545076338688</t>
  </si>
  <si>
    <t>1162397788245827586</t>
  </si>
  <si>
    <t>3774033743</t>
  </si>
  <si>
    <t>60696848</t>
  </si>
  <si>
    <t>733630669067292672</t>
  </si>
  <si>
    <t>1036563014005268480</t>
  </si>
  <si>
    <t>231387124</t>
  </si>
  <si>
    <t>904304135360708610</t>
  </si>
  <si>
    <t>1370896442462732288</t>
  </si>
  <si>
    <t>825365041268523008</t>
  </si>
  <si>
    <t>40901214</t>
  </si>
  <si>
    <t>1462131595410878470</t>
  </si>
  <si>
    <t>2691029889</t>
  </si>
  <si>
    <t>1926539942</t>
  </si>
  <si>
    <t>1280516752368074753</t>
  </si>
  <si>
    <t>1343217806075195397</t>
  </si>
  <si>
    <t>1441546207235493888</t>
  </si>
  <si>
    <t>1240573405121908736</t>
  </si>
  <si>
    <t>29144234</t>
  </si>
  <si>
    <t>1008405298422468608</t>
  </si>
  <si>
    <t>1277976484225757186</t>
  </si>
  <si>
    <t>696422237428170752</t>
  </si>
  <si>
    <t>1389720038882619393</t>
  </si>
  <si>
    <t>1714586126</t>
  </si>
  <si>
    <t>116722061</t>
  </si>
  <si>
    <t>2240382714</t>
  </si>
  <si>
    <t>1463847721517957126</t>
  </si>
  <si>
    <t>1036820306927788037</t>
  </si>
  <si>
    <t>1480470804009832453</t>
  </si>
  <si>
    <t>1455651357789237254</t>
  </si>
  <si>
    <t>1450304276241207296</t>
  </si>
  <si>
    <t>847105357201772544</t>
  </si>
  <si>
    <t>907681575483187200</t>
  </si>
  <si>
    <t>1374972808984420355</t>
  </si>
  <si>
    <t>939270970061225986</t>
  </si>
  <si>
    <t>1581219841</t>
  </si>
  <si>
    <t>1315120923780022275</t>
  </si>
  <si>
    <t>1433518541395791889</t>
  </si>
  <si>
    <t>1478830270652592128</t>
  </si>
  <si>
    <t>1369628681417670659</t>
  </si>
  <si>
    <t>1317869987118407682</t>
  </si>
  <si>
    <t>1368321427288567810</t>
  </si>
  <si>
    <t>1450133712780279808</t>
  </si>
  <si>
    <t>906837970656915456</t>
  </si>
  <si>
    <t>3021335146</t>
  </si>
  <si>
    <t>1384313677743108098</t>
  </si>
  <si>
    <t>1106271689808187395</t>
  </si>
  <si>
    <t>919637275457277952</t>
  </si>
  <si>
    <t>1234614103</t>
  </si>
  <si>
    <t>3850765462</t>
  </si>
  <si>
    <t>964912636843479040</t>
  </si>
  <si>
    <t>♦️Näppis on mun rynkky
♦️Elä miten puhut,puhu miten elät
♦️Kunniakoodeja ei rikota
♦️Perustuslakia rikkovien kravatti_xD83E__xDD21_rikollisten peräs♦️LifeTimeNatikkaBotari♦</t>
  </si>
  <si>
    <t>Für ihre Sicherheit</t>
  </si>
  <si>
    <t>Liity nyt Telegram - kanavalle!
https://t.co/idcUfyASaR</t>
  </si>
  <si>
    <t>Minua kiinnostaa matkailu, ruuanlaitto, koirat, vittuilu ja ilmastonmuutos.</t>
  </si>
  <si>
    <t>Hämmästynyt kansalainen. 2 lapsen isä Helsingistä. Tietotekniikan insinööri.</t>
  </si>
  <si>
    <t>Vapaan ajattelun puolesta viimeiseen asti</t>
  </si>
  <si>
    <t>_xD83C__xDDEB__xD83C__xDDEE_</t>
  </si>
  <si>
    <t>Oikeudenmukainen</t>
  </si>
  <si>
    <t>WiiKing; Koti, uskonto, Isänmaa ja äidinkieli. 
Valkoihoinen hetero. En polvistu, koska myös WLM. Viidakon ja aavikon edustajat tuhoavat sivistyksen.</t>
  </si>
  <si>
    <t>Totuuden, vapauden ja lasten puolesta. “One pill makes you larger and one pill makes you small. And the ones that mother gives you, don't do anything at all”</t>
  </si>
  <si>
    <t>insinörtti (RF), kahden lapsen äiti ja yleinen elämänmenon hämmästelijä. Koronapassikriittinen. Tämä tili pääosin _xD83C__xDDEB__xD83C__xDDEE_ tweeteille.</t>
  </si>
  <si>
    <t>TGA</t>
  </si>
  <si>
    <t>just dissapointed on your performance</t>
  </si>
  <si>
    <t>VC, KCB, KCIE</t>
  </si>
  <si>
    <t>#XRP - Crypto since 2/2021 - 
Nothing here is advice to anything.
Gettr:@Crypto_Viserion</t>
  </si>
  <si>
    <t>Hallinto ja politiikka Liike-elämä ja talous Taiteet ja kulttuuri Uutiset Viihde</t>
  </si>
  <si>
    <t>Sosialidemokraatit SDP. Social Democratic Party of Finland. Vapauden, tasa-arvon ja solidaarisuuden puolesta myös Twitterissä.</t>
  </si>
  <si>
    <t>Toimimme tasa-arvon, riittävän toimeentulon ja turvallisen elämän puolesta. Tavoitteenamme on oikeudenmukainen ja ekologisesti tasapainoinen maailma.</t>
  </si>
  <si>
    <t>Työministeri Kansanedustaja (sd) Valtiot.maisteri Minister of Employment MP Master of Soc.Sciences #juoksu_xD83C__xDFC3__xD83C__xDFFC_‍♂️#lukeminen #tasaarvo #oikeudenmukaisuus</t>
  </si>
  <si>
    <t>Ministeri ja keskustan kansanedustaja Vaasan vaalipiiristä. Hevosmies ja urheilun moniottelija. | Minister of Economic Affairs, Finland</t>
  </si>
  <si>
    <t>Kansanedustaja Varsinais-Suomesta. Äiti. @keskusta puheenjohtaja. Valtiovarainministeri.</t>
  </si>
  <si>
    <t>Suomen pääministeri. Finlands statsminister. Prime Minister of Finland. Kansanedustaja. SDP:n puheenjohtaja.</t>
  </si>
  <si>
    <t>Viserryksiä #matkailu- ja #ravintola-alalta. Matkailu- ja Ravintolapalvelut MaRa on alan yrittäjien ja työnantajien edunvalvoja &amp; työmarkkinajärjestö.</t>
  </si>
  <si>
    <t>Keskusta - Se kotimainen. _xD83C__xDF40_
#KeskustaSeKotimainen
#Keskusta IG: Suomenkeskusta
We are a member of @ALDEparty</t>
  </si>
  <si>
    <t>#Isä #Puoliso #Kokoomus #kansanedustaja #Puolustusvaliokunta ja #valtiovarainvaliokunta jäsen ja vastaava, Valtion Liikuntaneuvoston jäsen #politiikka #sport</t>
  </si>
  <si>
    <t>Puhdasverinen totuusteoreetikko.</t>
  </si>
  <si>
    <t>Non-boring pharmacist. Never stop jumping fences. Retweets are not endorsements. #pharma #healthcare #apteekki</t>
  </si>
  <si>
    <t>Olen mielummin foliohattu kun uskon meille syöttämään ”tieteeseen”</t>
  </si>
  <si>
    <t>Vittuuntunut karvanaama. Vastarannan kiiski. Totalitarismin ja muka-suvaitsevaisuuden vihaaja. Kyllästynyt lässytykseen.</t>
  </si>
  <si>
    <t>Kansainvälisesti tunnustettu keittiömestari, ravintoloitsija ja yrittäjä.</t>
  </si>
  <si>
    <t>Entinen haaveilija, nykyinen realisti. Tässä video joka kannattaa jokaisen katsoa....
https://t.co/J0m1s4n0e9</t>
  </si>
  <si>
    <t>kirkosta eronnut #kristitty, vapaasti ajatteleva kahden lapsen #isä, #artisti, #patriootti, #kalastaja ja #luontoihminen
Tieto on tie totuuteen.</t>
  </si>
  <si>
    <t>The people who are still not awake must be missing a few moomintrolls from the valley.</t>
  </si>
  <si>
    <t>Äiti, yrittäjän emäntä.
Tanssiope. 
Mielipiteet joskus (lue: AINA) voimakkaita, mut omia! _xD83C__xDDEB__xD83C__xDDEE_❤</t>
  </si>
  <si>
    <t>Hallitus alas. Hoitajien pakkorokotus oli viimeinen pisara. Perustuslakia on puolustettava hallitusta vastaan. HUS:in valtuuston jäsen.</t>
  </si>
  <si>
    <t>Aamupalalla kaviaari on tuoreimmillaan.
#NHLfi</t>
  </si>
  <si>
    <t>Kyseenalaistan kaiken, välillä jopa itseni.</t>
  </si>
  <si>
    <t>Valta Kuuluisi kansalle
_xD83D__xDC4D__xD83C__xDDEB__xD83C__xDDEE__xD83D__xDC4C_</t>
  </si>
  <si>
    <t>Finnjävel, muru, pastis, Sue-Ellen, Ultima. just an another cook</t>
  </si>
  <si>
    <t>Yhdenvertaisuus on itseisarvo</t>
  </si>
  <si>
    <t>Designer, Technical Artist, Sustainability Expert, Hacker
NFT:
https://t.co/KoZsTiIzdQ</t>
  </si>
  <si>
    <t>Ranch Dunkelin emäntä.</t>
  </si>
  <si>
    <t>Make up Artist, Hairdresser, Seamstress decorator,crazy catwoman and a Singer can't live without music</t>
  </si>
  <si>
    <t>Nokkelimmat pokkelimmat tajuaa varmaan että kuka se täällä. Vanha profiili hävisi. Luke,use force! Sydän vasemmalla,ajatus oikealla. 
_xD83D__xDCAA_PUREBLOODS _xD83D__xDCAA_</t>
  </si>
  <si>
    <t>Maailmassa monta on ihmeellistä asiaa.</t>
  </si>
  <si>
    <t>Liikunta-alan ammattilainen. Perustaja, omistaja, CEO @kuntokeskusliikku. Paras treeni on tehty treeni. Sukumme kirous on ääretön nopeus.</t>
  </si>
  <si>
    <t>_xD83C__xDF7F_Living i n t e r e s t i n g Times My Frens. 
# 2 5 
@ J E a g l e R i v e r 17 on G A B     11:11</t>
  </si>
  <si>
    <t>Asiota oikeaan kokoon suhteuttava jalat maassa realisti.</t>
  </si>
  <si>
    <t>Koti _xD83C__xDFE1_, isänmaa _xD83C__xDDEB__xD83C__xDDEE_ ja vapaus. Jääkiekko _xD83C__xDFD2__xD83E__xDD45_, autoilu ⛽, musiikki _xD83C__xDFB8__xD83C__xDFB6_ ja käsityöt _xD83E__xDDF6__xD83E__xDDF5_ lähellä ❤</t>
  </si>
  <si>
    <t>_xD83D__xDC9B_Vahva PerusNainen, perussuomalainen talouden asiantuntija tuomassa realiteettia julkiseen talouteen. Ehdolla Kanta-Hämeen aluevaltuustoon.</t>
  </si>
  <si>
    <t>3 ihanan lapsen äiti, vaimo, yrittäjä, entinen Kokoomuksen kannattaja. Ei koronapassille ja syrjinnälle. Lasten ja tulevien sukupolvien etu aina ensimmäisenä ❤️</t>
  </si>
  <si>
    <t>Maailmantilanteesta huolestunut</t>
  </si>
  <si>
    <t>The disciple of the Lord Jesus Messiah from the grace of God. This is my official Twitter account, the only that I have. https://t.co/0W8jgaqPx4</t>
  </si>
  <si>
    <t>_xD83C__xDDEB__xD83C__xDDEE_  _xD83C__xDDFA__xD83C__xDDF8_  _xD83D__xDDE1__xD83D__xDEE1_✝                                                                                                        Doomsday Jesus, we need you now...</t>
  </si>
  <si>
    <t>Olen eläkeläinen</t>
  </si>
  <si>
    <t>IS on Suomen suurin uutismedia, joka tarjoaa puheenaiheita, jotka yhdistävät meitä suomalaisia.
IS – Mistä puhutaan.</t>
  </si>
  <si>
    <t>Syön salaattia ja vihanneksiakin (en voi olla kovin paha ihminen). Syön lihaa (olen ehkä paha ihminen). Olen valkoinen hetero (olen erittäin paha ihminen !).</t>
  </si>
  <si>
    <t>CEO, isä, ex-yrittäjä.
Jo pienenä iskostettiin että elämässä pärjää kun ymmärtää psykologian, historian ja tilastot. Osakkeet, urheilu ja seikkailut. Chill ✌️</t>
  </si>
  <si>
    <t>seuraan aikaani</t>
  </si>
  <si>
    <t>Rokotushaitoista kärsivä entinen ammattimies.</t>
  </si>
  <si>
    <t>Vapauden, Perustuslain ja ihmisoikeuksien puolesta</t>
  </si>
  <si>
    <t>MP and Leader of @Kokoomus. Former Minister of Finance, Interior and Agriculture. Co-Founder of the Coalition of Finance Ministers for Climate Action.</t>
  </si>
  <si>
    <t>_xD83C__xDDEB__xD83C__xDDEE_ olen ylpeästi Suomalainen mies. (PS) ❤️ Muista että sinulla on oikeus päättää sinuun kohdistuvista kokeista ja voit keskeyttää ne milloin tahansa.</t>
  </si>
  <si>
    <t>I don't run because i'm a Derek and Dereks don't run.</t>
  </si>
  <si>
    <t>The dude abides.</t>
  </si>
  <si>
    <t>Lisää vapautta sen kaikissa muodoissa</t>
  </si>
  <si>
    <t>_xD83C__xDDEB__xD83C__xDDEE_ ✝️ Kristitty 
Vähemmistö Merimies
Vahva oma mieli 
Avoin miettimään eri näkökulmista asioita.
Just looking around. Vänkääjille en viitsi edes vastata</t>
  </si>
  <si>
    <t>LeTo GM</t>
  </si>
  <si>
    <t>Cerebrovascular neurosurgeon. Head of Section. A/Prof. CIO. Speaker. Oldtimer ice hockey player. Helsinki Uni Hospital_xD83C__xDDEB__xD83C__xDDEE_</t>
  </si>
  <si>
    <t>En yleensä trollaa</t>
  </si>
  <si>
    <t>monialainen innostuja, #marykay itsenäinen ihonhoitokonsultti</t>
  </si>
  <si>
    <t>HIFK _xD83D__xDCAA_Bättre folk _xD83D__xDCAA_</t>
  </si>
  <si>
    <t>Totuuden etsijä, patriootti, ihmisoikeuksien puolestapuhuja⚔
Musiikki, puutarhanhoito, perhe, koti❤
Itsenäinen Suomi _xD83C__xDDEB__xD83C__xDDEE_</t>
  </si>
  <si>
    <t>Mies joka ei ole tehnyt virheitä on joko pyhimys tai valehtelija. En juurikaan ole tavannut pyhimyksiä
En liity yhdistyksiin jotka hyväksyvät minut jäsenekseen</t>
  </si>
  <si>
    <t>Vihervasemmistotutkija #eivihreitämihinkään #haittamaahanmuutto</t>
  </si>
  <si>
    <t>Ole mitä olet, älä stressaa muiden mielipiteistä. Anna heille oma arvonsa.</t>
  </si>
  <si>
    <t>Reilu</t>
  </si>
  <si>
    <t>Olen asioista sitä mieltä millä on vähiten rikosoikeudellisia seuraamuksia.
Tilastot on rasistisia!</t>
  </si>
  <si>
    <t>yrittäjä, NO for jabs ☝</t>
  </si>
  <si>
    <t>#Seiska on Suomen suosituin viikkolehti ja lyömätön viihdepalvelu netissä. Seiska tekee arjesta hauskempaa!</t>
  </si>
  <si>
    <t>Vain kuollut kala seuraa virtaa.</t>
  </si>
  <si>
    <t>Out side of the box thinker #Asiantuntija #kokemusasiantuntija #hyvinkääPS #aivomato #kuntavaalit2021 #hyvinkää
#aluevaalit #oispahoitoo</t>
  </si>
  <si>
    <t>ROCKSTAR ⭐️ WANNABE GOLFER_xD83C__xDFCC__xD83C__xDFFB_</t>
  </si>
  <si>
    <t>Music lover and Twitter user from the country the prime minister is catgirl. I'm not going to block anybody.</t>
  </si>
  <si>
    <t>Vapaa toimittaja 
Äärioikeistoasiantuntija   
Yhteiskuntatieteen Kandidaatti
dmitry.gurbanov@protonmail.com</t>
  </si>
  <si>
    <t>Suomen vanhin ja suurin täysi-ikäisille suunnattu kannabisaiheinen verkkoyhteisö. Ei laittomuuksia. #hamppunet #hamppuforum Instagram: growguide1</t>
  </si>
  <si>
    <t>Ilves, pelit</t>
  </si>
  <si>
    <t>Enimmäkseen harmiton</t>
  </si>
  <si>
    <t>Suomenruotsalainen yrittäjä. Mediakriittinen henkilö. Twiitit sillä kielellä millä sattuu tulemaan.</t>
  </si>
  <si>
    <t>i have the same medical training as the most powerful doctor on the planet has
https://t.co/XkWkF84zlz</t>
  </si>
  <si>
    <t>Totuuden puhuja ja itsenäinen ajattelija ja sama käännettynä aivopestyjen kielelle, eli salaliittoteoreetikko ja foliohattu. _xD83E__xDD17__xD83D__xDE01_</t>
  </si>
  <si>
    <t>Totalitarismi ja diktaattorinen valtio on kohta yhteiskunnan hallitsijana -Tätä ei pysäytetä, sen sisältö tuhotaan inhimillisyydellä; rakastamalla lähimmäistäsi</t>
  </si>
  <si>
    <t>Lentävä nationalisti.
Venäläinen botti.</t>
  </si>
  <si>
    <t>Born to audit Law&amp;Justice EFFICIENCY, understand the substance of Code of Conduct, risks and red flags. Freelance Consultant.</t>
  </si>
  <si>
    <t>Do not go gentle into that good night, Old age should burn and rave at close of day; Rage, rage against the dying of the light.</t>
  </si>
  <si>
    <t>Everything happens for a reason</t>
  </si>
  <si>
    <t>Tilanteen eskaloiduttua, en tarvittaessa tunnista itseäni</t>
  </si>
  <si>
    <t>Aluevaali2022 -ehdokas.
Vaalitukea voi antaa: Osuuspankki FI25 5297 0020 1749 01
Kiitos tuestanne :)</t>
  </si>
  <si>
    <t>Äiti. Entinen sote-alan ammattilainen. Millaisen tulevaisuuden annamme lapsillemme luoda? Jos annamme nyt periksi, luomme huonon tulevaisuuden.</t>
  </si>
  <si>
    <t>Asioita kyseenalaistava korkeakoulutettu nainen. Kiinnostunut politiikasta ja älykkäistä ihmisistä. Koti, uskonto ja isänmaa_xD83D__xDE4F_</t>
  </si>
  <si>
    <t>_xD83D__xDC11__xD83E__xDD23_ Kusipäisin lammas EVER!!! Bää Bää, Motherfucker!!!_xD83E__xDD23__xD83D__xDC11_ Komiikkaa lampaiden kustannuksella!_xD83D__xDD95__xD83E__xDD23_</t>
  </si>
  <si>
    <t>Freedom of speech _xD83C__xDDEB__xD83C__xDDEE_✝️
follow4follow/ SEURAA NIIN SEURAAN 100% NÄKYVYYTTÄ TWIITEILLESI!! _xD83D__xDCAF_⬆️_xD83D__xDD25_</t>
  </si>
  <si>
    <t>Ammattikokki, nykyisin ohjelmistokehittäjä</t>
  </si>
  <si>
    <t>Gooner, live-musiikki,americana, linnut.</t>
  </si>
  <si>
    <t>Academy Research Fellow in @helsinkiuni and @helsinki deputy councillor with @HkiVihreat. Working with @helsinginsote, @TheIHRA, @FinnPEN and @histseura.</t>
  </si>
  <si>
    <t>Arvoni perusta on Koti, Uskonto ja Isänmaa.
What we know is void, but what we do not know is infinite.!</t>
  </si>
  <si>
    <t>Kristitty vapauksia rakastava insinööri Vantaalta. +++ [FI_xD83C__xDDEB__xD83C__xDDEE_/EN_xD83C__xDDEC__xD83C__xDDE7_/DE_xD83C__xDDE9__xD83C__xDDEA_/SV_xD83C__xDDF8__xD83C__xDDEA_] +++ A Christian freedom and liberty loving engineer (MEng). Vantaa, Finland</t>
  </si>
  <si>
    <t>Silmät auki _xD83E__xDDD0_</t>
  </si>
  <si>
    <t>❤️ _xD83C__xDDEB__xD83C__xDDEE_ #XVII _xD83C__xDF19_</t>
  </si>
  <si>
    <t>Perusoikeuksien ja sananvapauden puolesta. Minua ja läheisiäni ette piikitä kokeellisella injektiolla. Ei koronapasseille. Perustuslaki kunniaan._xD83C__xDDEB__xD83C__xDDEE_</t>
  </si>
  <si>
    <t>Finnish nationalist Nationalisti _xD83C__xDDEB__xD83C__xDDEE_ traditionalisti _xD83D__xDC6B_ Kissan henkilöstöä _xD83D__xDC08_ askartelufanaatikko_xD83C__xDF80_ Etnofassumatriarkka _xD83D__xDC85_  striimit: https://t.co/aZJVF6t16a _xD83D__xDCFA_</t>
  </si>
  <si>
    <t>Elämää rakastava, joka päivä uutta oppiva Mies !</t>
  </si>
  <si>
    <t>Yliuunittaja
Super Straight
Salaliittoteoreetikko
https://t.co/VH2QsJjOP9
#sananvapaus</t>
  </si>
  <si>
    <t>❤️_xD83D__xDC63_Ihminen. Hyvis ✨✨
Sydän poliittisesti oikealla. VKK. 
❤️Kehoni on temppelini.
Täyskontrollivastainen kansalainen</t>
  </si>
  <si>
    <t>Vis consili expers mole ruit sua.</t>
  </si>
  <si>
    <t>Toimittaja: (juttuvinkit sähköpostitse) ukkolasanna@gmail.com puh (työasioissa): 040-5250482 Instagram: https://t.co/iJC7iOXmTF #ENTP //</t>
  </si>
  <si>
    <t>Suomen suurin uutispalvelu.
Uutisia 24 tuntia vuorokaudessa.</t>
  </si>
  <si>
    <t>Kind of nomad. Mountains, design, fitness - my world. Watching around this crazy world. Talking, creating, hiking. Made in _xD83C__xDDEB__xD83C__xDDEE_, heart &amp; soul in _xD83C__xDDEE__xD83C__xDDF9_</t>
  </si>
  <si>
    <t>AINOA.
OIKEA.
   V8
SCANIA</t>
  </si>
  <si>
    <t>I kämy I troubleshooter I debunkkaaja
Kommentointia mm:
I politiikka I korona I GMO I laki I</t>
  </si>
  <si>
    <t>Curious being.</t>
  </si>
  <si>
    <t>Nationalisti, arvokonservatiivi, lempivärit sininen ja valkoinen.</t>
  </si>
  <si>
    <t>Lapikkaat Pohjanmaalta, Kaamosjätkä</t>
  </si>
  <si>
    <t>Haluan nähdä asiat niinkuin ne ovat</t>
  </si>
  <si>
    <t>En ole epidemiologi enkä virologi joten en voi suositella rokotetta joka ei toimi.</t>
  </si>
  <si>
    <t>The greatness of a man is not in how much wealth he acquires, but in his integrity and his ability to affect those around him positively. Bob Marley.</t>
  </si>
  <si>
    <t>Father of 3, reader of thousands of books, Christian and proud of it. Can discuss much anything but expect crushing logic and little room for feely good stuff.</t>
  </si>
  <si>
    <t>NO vaccine passport!
- antivax-person-
Kotimaa &amp; perhe♥️
_xD83C__xDDEB__xD83C__xDDEE_VKK_xD83C__xDDEB__xD83C__xDDEE_
-Blokkaa provot-
Haittamaahanmuutto jurppii.
Suomi suomalaisille.</t>
  </si>
  <si>
    <t>Vähät välitän mitä muut minusta ja mielipiteestäni ajattelevat _xD83E__xDD37__xD83C__xDFFB_‍♂️</t>
  </si>
  <si>
    <t>Mä olen just se jota sä vihaat mutta äitisi rakastaa.</t>
  </si>
  <si>
    <t>Just relax</t>
  </si>
  <si>
    <t>Kantasuomalainen metsän omistaja, jonka juuret ovat Päijät-hämeessä.</t>
  </si>
  <si>
    <t>ornitologi</t>
  </si>
  <si>
    <t>Ajan hermoilla...</t>
  </si>
  <si>
    <t>Kirjoitan politiikasta, yhteiskunnasta ja maailman mysteereistä.
Olen Perussuomalaisten valtuutettu Espoossa ja ehdolla aluevaaleissa Länsi-Uudellamaalla - 52</t>
  </si>
  <si>
    <t>Liberaalipuolueen puheenjohtaja ja Flammkuchen-lähettiläs.
Vähemmän veroja, enemmän ydinvoimaa.
040 3616335
IT konsultti, automotive.</t>
  </si>
  <si>
    <t>Karelianisti.</t>
  </si>
  <si>
    <t>Tervetuloa Tohtorin Seurakuntaan. Täällä on Jotain Ihan Muuta™, asiaviihdepolitiikkaa, mutta perusteltua sellaista.</t>
  </si>
  <si>
    <t>Mie oon  ehkä silakka?</t>
  </si>
  <si>
    <t>A intelligentes autem piger semper temptans oblivionem accipiens homo qui gets minus exposcens magis.</t>
  </si>
  <si>
    <t>Phil.Lic. | Linguistics &amp; Communication | Mother of 2 | Christian | _xD83C__xDDEB__xD83C__xDDEE__xD83C__xDDEC__xD83C__xDDE7__xD83C__xDDE9__xD83C__xDDEA__xD83C__xDDF8__xD83C__xDDEA_ 
"I have no special talents. I am only passionately curious." (A.E.)</t>
  </si>
  <si>
    <t>Se/joku</t>
  </si>
  <si>
    <t>Juristi, ekonomi, maanviljelijä, 2 tyttären äiti.
Twiitit ovat tietenkin omiani (kenenkäs muun), välillä tosin ehkä kaverilta lainattuja.</t>
  </si>
  <si>
    <t>Hymy voi pelastaa päivän ❤️</t>
  </si>
  <si>
    <t>Seuraa dataa ja faktoja sekä miten niitä on otettu (jätetty ottamatta) mukaan päätöksentekoon ja uutisiin. Yksilönvapauksien puolesta, kollektivismia vastaan.</t>
  </si>
  <si>
    <t>Director | #SustainableDevelopment and #Trade | #Communications Department MFA #Finland @Ulkoministerio @Kehityslehti @Kauppapol Opinions are my own.</t>
  </si>
  <si>
    <t>#bitcoin maximalist ⚡️
∞/21M⚡
allergic to authoritarianism⚡
transvegan &amp; transunvaccinated ⚡
tourette by proxy⚡</t>
  </si>
  <si>
    <t>Kaikkea ja siltä väliltä. Kiinnostunut politiikasta ja yhteiskunnan tulevaisuudesta.
Lähiesimies, kolmen lapsen äiti, puoliso.</t>
  </si>
  <si>
    <t>_xD83C__xDDEB__xD83C__xDDEE_ _xD83C__xDDFA__xD83C__xDDF8_ GENESIS 27:28 ”May God give you of heaven's dew and of earth's richness – an abundance of grain and new wine.”</t>
  </si>
  <si>
    <t>Sydän on vasemmalla.</t>
  </si>
  <si>
    <t>Kirjailija. Author.</t>
  </si>
  <si>
    <t>Dad, Bad Cross Country Skier, Bad Tennis Player, Talk Show Host _xD83D__xDCFA_</t>
  </si>
  <si>
    <t>Registered ICUnurse &amp; great salesperson in _xD83C__xDF0D_ &amp; local business 20+ yrs. ❤️music, food, sports _xD83C__xDFCA_‍♀️_xD83D__xDEB4_‍♀️_xD83C__xDFCB_️‍♂️_xD83E__xDE81__xD83C__xDFC4_&amp; outdoor life. #myownopinions #privatetoughts</t>
  </si>
  <si>
    <t>Unelmavävy</t>
  </si>
  <si>
    <t>do think it possible you may be mistaken ....</t>
  </si>
  <si>
    <t>Parempi huominen on tulossa. Muotoilemassa parhaillaan.
Ei koronapassille, ihmisyyden puolella.</t>
  </si>
  <si>
    <t>Rakastan vapautta ja luontoa, kiinnostukseni kohteita yhteiskunnalliset asiat sekä terveys- ja hyvinvointi. Lisäksi olen puoliso, äiti ja mummi.</t>
  </si>
  <si>
    <t>Ykseys, rakkaus, suomalaisuus. _xD83D__xDE4F_❤_xD83C__xDDEB__xD83C__xDDEE_</t>
  </si>
  <si>
    <t>Olen erityinen</t>
  </si>
  <si>
    <t>society | music | motor sport</t>
  </si>
  <si>
    <t>Mikael Karvajalka
https://t.co/VLCT9x3lZC</t>
  </si>
  <si>
    <t>Forever wild and free</t>
  </si>
  <si>
    <t>_xD83C__xDDEB__xD83C__xDDEE__xD83D__xDC97_ Soul, meditation, intuition _xD83D__xDC97_Turun PS hallitus, Kasvatus- ja opetuslautakunta:varaj.
Suomenkielinen varhaiskasvatus- ja perusopetusjaosto,varsinainen j.</t>
  </si>
  <si>
    <t>Suomea johtaa rikollisjoukko
Ei maskia
Ei Myrkkypiikkiä
Ei rokotepassia
Ei kaikkeen tarvitse suostua
VKK
Valta kuuluu kansalle
KantaSuomalaiset yhdistykää</t>
  </si>
  <si>
    <t>♡ ✞ ♡  Kristitty, rakkaus totuuteen. Sairastunut looong covidiin, oireina uupuminen valtamedian paskanjauhantaan, poliitikkojen valheisiin ja tyranniaan.</t>
  </si>
  <si>
    <t>Freedom, human rights, freedom of speech, freedom to breathe _xD83D__xDC8E__xD83D__xDC8E_</t>
  </si>
  <si>
    <t>I’m a follower of Jesus Christ. _xD83D__xDC51_✝️_xD83D__xDD4A_ God has saved my life many, many times throughout my life and I am forever grateful. ♥️ John 14:6</t>
  </si>
  <si>
    <t>Someseuraaja, tarkkailevaa havainnointia</t>
  </si>
  <si>
    <t>Truth, only truth and nothing but a truth. Aktivisti Itä-Helsingistä inhimillisen päihdepolitiikan puolesta, valheita vastaan. Rakkaudesta Lajiin since 1995</t>
  </si>
  <si>
    <t>Vihainen ikääntyvä mies Porista.
Pidän koirista ja kissoista._xD83D__xDE01_</t>
  </si>
  <si>
    <t>Meme maker with right wing attitude. 
Northern Europe.
'POISSA'</t>
  </si>
  <si>
    <t>Jeesukseen uskova, totuuden/vapauden puolesta. NWOeliitin valta alas. Suomi eroon EUsta _xD83C__xDDEB__xD83C__xDDEE_Kokeelliset GMOpiikit on aiheuttaneet jo tuhansia vakavia haittoja.</t>
  </si>
  <si>
    <t>Politician, Freedom lover, VKK Helsinki</t>
  </si>
  <si>
    <t>From SmokeKoski</t>
  </si>
  <si>
    <t>Maapallo</t>
  </si>
  <si>
    <t>Meri-Lappi</t>
  </si>
  <si>
    <t>Pirkanmaa, Suomi</t>
  </si>
  <si>
    <t>Toholampi, Suomi</t>
  </si>
  <si>
    <t>Turku</t>
  </si>
  <si>
    <t>Helsinki</t>
  </si>
  <si>
    <t>Loppi</t>
  </si>
  <si>
    <t>Helsinki, Finland</t>
  </si>
  <si>
    <t>Helsinki, Suomi</t>
  </si>
  <si>
    <t>Suomi, Finland</t>
  </si>
  <si>
    <t>Vihti, Finland</t>
  </si>
  <si>
    <t>Helsingfors</t>
  </si>
  <si>
    <t>Oulu</t>
  </si>
  <si>
    <t>Suonenjoki, Suomi</t>
  </si>
  <si>
    <t xml:space="preserve">Earth </t>
  </si>
  <si>
    <t>MAASEUTU</t>
  </si>
  <si>
    <t>Turku, Suomi</t>
  </si>
  <si>
    <t>Kerava, Suomi</t>
  </si>
  <si>
    <t>Pori, Suomi</t>
  </si>
  <si>
    <t>Suomi</t>
  </si>
  <si>
    <t>Polvijärvi , Suomi, Finland</t>
  </si>
  <si>
    <t>Masala, Kirkkonummi</t>
  </si>
  <si>
    <t>Johannesburg, South Africa</t>
  </si>
  <si>
    <t>Aarhus, Danmark</t>
  </si>
  <si>
    <t>Epsoo, Finland</t>
  </si>
  <si>
    <t>Pohjanmaa, Suomi</t>
  </si>
  <si>
    <t>Cathar</t>
  </si>
  <si>
    <t>Uusimaa, Finland</t>
  </si>
  <si>
    <t>Satakunta, Suomi</t>
  </si>
  <si>
    <t>hello world</t>
  </si>
  <si>
    <t>Vantaa, Suomi (Finland)</t>
  </si>
  <si>
    <t>Kouvola</t>
  </si>
  <si>
    <t>Valhalla</t>
  </si>
  <si>
    <t>Uusimaa, Suomi</t>
  </si>
  <si>
    <t>Tignale</t>
  </si>
  <si>
    <t>Lappeenranta, Suomi</t>
  </si>
  <si>
    <t>Nili Fossae</t>
  </si>
  <si>
    <t>Jyväskylä, Suomi</t>
  </si>
  <si>
    <t>Pargas,Finland</t>
  </si>
  <si>
    <t>Lahti, Suomi</t>
  </si>
  <si>
    <t>Oulu, Suomi</t>
  </si>
  <si>
    <t xml:space="preserve">Itäkarjalan korpi, Suur-Suomi </t>
  </si>
  <si>
    <t>Rīga</t>
  </si>
  <si>
    <t xml:space="preserve"> , Suomi</t>
  </si>
  <si>
    <t xml:space="preserve">Lapland, Helsinki, Turku </t>
  </si>
  <si>
    <t>Ullanlinnan peruspiiri</t>
  </si>
  <si>
    <t>Helsinki-Uusimaa, FI192, Suomi</t>
  </si>
  <si>
    <t>Open Twitter Page for This Person</t>
  </si>
  <si>
    <t>janneknen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</si>
  <si>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theredpill4u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</si>
  <si>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jani_ketola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</si>
  <si>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jacksonreima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</si>
  <si>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kaleviniko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</si>
  <si>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ez_matti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</si>
  <si>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j_djaerf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</si>
  <si>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troijanhevonen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</si>
  <si>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geejopu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</si>
  <si>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airioleena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</si>
  <si>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rane72646372
@MeetsLight @jani_ketola #hansvälimäki</t>
  </si>
  <si>
    <t xml:space="preserve">meetslight
</t>
  </si>
  <si>
    <t>tatianadesancti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</si>
  <si>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outis1917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</si>
  <si>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disgustbird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</si>
  <si>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_flashman_harry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</si>
  <si>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karvonen_v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</si>
  <si>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crypto_viserion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</si>
  <si>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tapiokarja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</si>
  <si>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mikael7110
@janneknen Hans Välimäki on niin
mulkun näköinen että tekisi mieli
vetää turpaan pelkästään pärstän
takia.</t>
  </si>
  <si>
    <t>santeri__
@timoheinonen @keskusta @wwwMaRafi
@MarinSanna @AnnikaSaarikko #HansVälimäki
näistä #viisikko #tukitoimet puhuikin..
Mut pelkkää paskaahan nämä @MikaLintila
@MarinSanna @TuulaHaatainen @AnnikaSaarikko
jne ”päättäjät” puhuvat.. no kohta
@vasemmisto #tradeka lla on helppo
ostaa nämä itelleen.. #koronatuet
@keskusta @Demarit https://t.co/vCFVEPbAI3</t>
  </si>
  <si>
    <t xml:space="preserve">demarit
</t>
  </si>
  <si>
    <t xml:space="preserve">vasemmisto
</t>
  </si>
  <si>
    <t xml:space="preserve">tuulahaatainen
</t>
  </si>
  <si>
    <t xml:space="preserve">mikalintila
</t>
  </si>
  <si>
    <t xml:space="preserve">annikasaarikko
</t>
  </si>
  <si>
    <t xml:space="preserve">marinsanna
</t>
  </si>
  <si>
    <t xml:space="preserve">wwwmarafi
</t>
  </si>
  <si>
    <t xml:space="preserve">keskusta
</t>
  </si>
  <si>
    <t xml:space="preserve">timoheinonen
</t>
  </si>
  <si>
    <t>jonnaarkki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</si>
  <si>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playnone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</si>
  <si>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kissanviikset1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</si>
  <si>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hilmisdilmis
Ladys and playboys: Hans (Landa?)
Välimäki esittää: https://t.co/VVkctWZOvy</t>
  </si>
  <si>
    <t>meri_annika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</si>
  <si>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jaakkola_mikael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</si>
  <si>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miksundman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</si>
  <si>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lahteemmaki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</si>
  <si>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stadislav
@chefvalimaki kävi aukomaan ig:ssä
päätään rokottamattomille ja fantasioi
Kanadan natsimeininkistä. Mutta
kun alkoi tulla lunta tupaan, niin
tämä pula-ajan kylmäkkö sulki kommentoinnin
ja poisti viestit. Sieg heil Hans!!
Me nauretaan sulle ja nauraa vielä
useampikin lähiaikoina.</t>
  </si>
  <si>
    <t xml:space="preserve">chefvalimaki
</t>
  </si>
  <si>
    <t>lallaatilaa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</si>
  <si>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polarphoenix1
@AnnaJrvinen7 @EHaltmar Hans Välimäkikin
siis osoittautui yhdeksi vitun
kusipääksi! Plandemia on paljastanut
monen ihmisen todellisen luonteen!
Välimäki olisi takuulla pitänyt
päänsä kiinni, mikäli rokotuskattavuus
olisi päinvastoin, eli van noin
20% olisi rokotettuja. Raukkamainen
nilkki!</t>
  </si>
  <si>
    <t xml:space="preserve">ehaltmar
</t>
  </si>
  <si>
    <t xml:space="preserve">annajrvinen7
</t>
  </si>
  <si>
    <t>pohjallinen
@jani_ketola Vittu mikä ääliö toi
Hans Välimäki</t>
  </si>
  <si>
    <t>paivijakko
@jani_ketola Hans Välimäki, ei
jatkoon, ei seurantaan eikä kannateta!</t>
  </si>
  <si>
    <t>ureakefaali
@jani_ketola Mikä vitun tiededenialisti
tää #HansVälimäki oikein on? Juurihan
me nähtiin, miten hyvin korona
leviää, kun jaellaan klubilla kielareita
terveyspassin turvin... Kyl mun
puolesta voidaan yhteiskunta avata,
mut sit pitää hyväksyä, et se korona
leviää. Rokote tai passi ei pelasta.</t>
  </si>
  <si>
    <t>javakalle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</si>
  <si>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thealph89725598
@suojelusprkl Olen aina tiennyt,
että Välimäki on kusipää, mutta
nyt tuo tollo veti pohjat. Täysboikottiin
kaikki tämän kuppilat, niin Hans
pääsee pian TE-toimistoon etsimään
perunankuorijan paikkaa jostakin
kouluruokalasta.</t>
  </si>
  <si>
    <t xml:space="preserve">suojelusprkl
</t>
  </si>
  <si>
    <t>jt36292090
@jani_ketola Laitanpa vielä tähänkin,
koska #moraali #MaRa #hansvälimäki
@HenriAlen https://t.co/Z0dLV7LN8q</t>
  </si>
  <si>
    <t xml:space="preserve">henrialen
</t>
  </si>
  <si>
    <t>tolonensari
@turnukkaparta Mikäli tapaus aiheuttaa
asioiden syvää pohdintaa ja jopa
mahdollisen muutoksen, voi tästä
seurata jotain hyvääkin. Mitenhän
mahtaa on #hansvälimäki ?</t>
  </si>
  <si>
    <t>th3hypn0tist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</si>
  <si>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jonnad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</si>
  <si>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miskakemppinen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</si>
  <si>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nita14milan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</si>
  <si>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sliquid84
@jani_ketola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</si>
  <si>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hosionahosuvi
@laineentatu @JRiihijarvi Kuuluu
suunnitelmaan. Nyt epätoivoiset
yrittäjät #hansvälimäki rukoilevat
rokotepassia käyttöön voidakseen
edes jotenkin jatkaa yrittämistä.</t>
  </si>
  <si>
    <t xml:space="preserve">jriihijarvi
</t>
  </si>
  <si>
    <t xml:space="preserve">laineentatu
</t>
  </si>
  <si>
    <t>river17_eagle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</si>
  <si>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jkallila
Omat kuppilat kumoon -@chefvalimaki.
Paras mahdollinen tapa aiheuttaa
hallaa yritystoiminnalleen on purkaa
pahaa oloaan potentiaalisia asiakkaita
kohtaan. #Hallitus pitää kuppiloitanne
suljettuna. Yhdistäisitte voimanne
polarisaatiota vastaan! #koronafi
https://t.co/QU9V9QVuJk</t>
  </si>
  <si>
    <t>never_ever_red
@JKallila @chefvalimaki Hyi saatana
mikä kusipää tuo äijä on _xD83E__xDD2C_ ja
idiootti vielä lisäks.</t>
  </si>
  <si>
    <t>joravisjarvi
Aivan mahtavaa Hans Välimäki. Ei
voi olla niin että Suomessa on
kahden kerroksen perustuslaki.
https://t.co/1MCp1UyILu</t>
  </si>
  <si>
    <t>emmil33
@SiruMustikkamaa @chefvalimaki
On täysin sairas ajatus, että esim.
18 vuotiaan nuoren olisi pakko
ottaa koronarokotus, jonka haitat
on hänen kohdallaan todennäköisesti
suurempi kuin hyöty. Jos et @chefvalimaki
tiennyt niin rokote ei ole mikään
vitamiini, joka on vaaraton! 2/2</t>
  </si>
  <si>
    <t>sirumustikkamaa
@Kuttaperkka Totta olen pistänyt
merkille samanlainen hiustyyli
Mikko Kärnä, Teemu Laajasalo, Hans
Välimäki</t>
  </si>
  <si>
    <t>paavola_petri
@chefvalimaki Hansille todellisuus
haltuun näillä tilastoilla: https://t.co/bQS9kDKdfE</t>
  </si>
  <si>
    <t>janhunen18
@ToivoValo Hans "kuppilat kumoon"
Välimäki _xD83E__xDD21_</t>
  </si>
  <si>
    <t xml:space="preserve">toivovalo
</t>
  </si>
  <si>
    <t>hirvonen_martti
@HansValimaki Hans Välimäki Lausuntosi
Iltalehdessä ei anna mairittelevaa
kuvaa ajattelusi taustoista. Kannattais
miettiä mitä sanoo, että ei sano
mitä ajattelee. Keskity vain kastikkeisiin</t>
  </si>
  <si>
    <t xml:space="preserve">hansvalimaki
</t>
  </si>
  <si>
    <t>iltasanomat
Hans Välimäki nostatti myrskyn
esittämällä rokotepassin käyttöönottoa
– pahoittelee ulostuloaan IL:lle:
”Sai vähän käsittämättömät mittasuhteet”
https://t.co/0mPpG2FPbM</t>
  </si>
  <si>
    <t>humandildo
@iltasanomat @chefvalimaki Niin
kaukana todellisuudesta kuin olla
ja voi. Matkustella voi passin
turvin ja tuoda uusia variantteja...
äly hoi ! #koronarokote ei toimi,
eikä toimi passikaan. Totaalinen
lockdown on ehkä järkevin toimi,
mutta kaikki #koronafi pöpön kärsii.
Ja nuhahan se on.</t>
  </si>
  <si>
    <t>nokelainenmikko
@ToivoValo Hans Välimäki... Tuon
kansan yhdistäjä ❤️ Erikoisesti
katkeruus kanavoituu.</t>
  </si>
  <si>
    <t>railistordell
Hyvä Hans Välimäki, joku uskaltaa
sanoa mitä olisi pitänyt sanoa
jo aikaa sitten. Täyttä asiaa kirjoituksesi.</t>
  </si>
  <si>
    <t>jannejuhani1
@chefvalimaki joo ei tarvii odottaa
mun turisti porukkaa ravintolaan</t>
  </si>
  <si>
    <t>janinadarc7
@olliposti ”Välimäki kertoo, että
kyseessä on sarkastinen kirjoitus”.
_xD83E__xDD14_Voin kuvitella kun Hans on miettinyt,
että oho, tä vähän paisui, miten
tän vois seivata. ”Heiiiii, tä
olikin sarkasmia, ettekö te huumoria
ymmärrä!”</t>
  </si>
  <si>
    <t xml:space="preserve">ipiikki
</t>
  </si>
  <si>
    <t xml:space="preserve">tk6379055
</t>
  </si>
  <si>
    <t>olliposti
"Elämä takaisin normaalille tasolle
mahdollisimman nopeasti ja kokotteet
kaikille vaikka väkisin. Ei minulla
muuta. Tällä kertaa. Peace!!" https://t.co/aoOOiVuNOC
#piikkinatsi #hansvälimäki #tukholmasyndrooma
#governmeharder</t>
  </si>
  <si>
    <t xml:space="preserve">petteriorpo
</t>
  </si>
  <si>
    <t>tommisiniluoto
@jani_ketola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</si>
  <si>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turnukkaparta
Hans Välimäki puoltaa natsipassin
käyttöä kaikkialla, nyt omat ravintolat
lytätään ja hän pitää tätä "kohtuuttomana
kiusaamisena"</t>
  </si>
  <si>
    <t>elssa_12345678
@TimoVir20213018 Hans Spede Välimäki</t>
  </si>
  <si>
    <t xml:space="preserve">timovir20213018
</t>
  </si>
  <si>
    <t>sammysojiggy
Hans Välimäki on kyllä säälittävä
tyyppi, yrittäjiä on kohdeltu kaltoin
mutta hallitusta kohtaan ei uskalla
kuin vähän kiukutella, vihansa
ja syytökset hän säästää rokottamattomia
kohtaan. #koronarajoitukset #rokottamattomat
#ravintolat</t>
  </si>
  <si>
    <t>canceloitu1
Mulla ja puolisolla on sanonta
jos joku on täysi urpo: ”Vittu
taas joku kokki täällä liikenteessä”
@HenriAlen ja @chefvalimaki ovat
eläviä esimerkkejä, miksi tämä
sanonta on edelleen erittäin osuva.
#koronafi</t>
  </si>
  <si>
    <t>blomerusr
@turnukkaparta #hansvälimäki Ostan
sinulle hame kankaan. Olit yksi
suomalaisista esikuvista u ruoan
laiton suhteen, mut et ole enään.</t>
  </si>
  <si>
    <t>jpokero
@Npc12471 Ahaa.. on 2.. sää oot
sitä väkee, mihin hans välimäki
ja parempi nakkikastike uppoo_xD83E__xDD23_</t>
  </si>
  <si>
    <t xml:space="preserve">mkorja
</t>
  </si>
  <si>
    <t xml:space="preserve">npc12471
</t>
  </si>
  <si>
    <t>sinerjoki1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</si>
  <si>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markokarvonen3
@LindapauliinaQ Tää on hauskin
ketju vähään aikaan kun persaukiset
foliot kyynelsilmässä uhkaa boikotoida
@chefvalimaki ravintolaa _xD83E__xDD23__xD83E__xDD23__xD83E__xDD23__xD83E__xDD23_</t>
  </si>
  <si>
    <t xml:space="preserve">lindapauliinaq
</t>
  </si>
  <si>
    <t>veijovaiste
@SiruMustikkamaa @chefvalimaki
suksi vittuun</t>
  </si>
  <si>
    <t>jalonenkaija
Huh että on sairas äijä tämäkin.
@chefvalimaki https://t.co/irYuOMWkwZ</t>
  </si>
  <si>
    <t>seppopalkki
@SiruMustikkamaa Mistä näitä valelääkäreitä
oikein sikiää? Ai niin, äitiensä
persereikien suunnalta! Tällä kertaa
kokki Hans Välimäki tietää että
kenen syytä tilanne loronan suhteen
on Suomessa se mikä on. https://t.co/bMMDndyUaf</t>
  </si>
  <si>
    <t>nikkiviitaharju
@janneknen Olisiko hänen aika pyörähtää
ohjelmassa: Pääkoppa kuntoon #HansVälimäki</t>
  </si>
  <si>
    <t>gonzalespedros3
@chefvalimaki #pelle #sitäsaamitätulaa
#boikottiin #Välimäki Hans https://t.co/XrRVdGsyQG</t>
  </si>
  <si>
    <t>mikkopohjanhei2
#HansVaelimaeki Oletko kovemman
luokan rassisti? Sanoit: "Meillä
makailee sairaaloissa huomattavasti
fiksumman väen kiireellistä hoitoa
tukkimassa rokotteista järjettömillä
verukkeilla kieltäytyneitä ääliöitä."Varmaankin
olet tietoinen, että puihuit matuista.Ovat&amp;gt;80%"tukkijoista"</t>
  </si>
  <si>
    <t>pmaenranta
Hans Välimäki "tietää" kokin papereilla,
että pandemia loppuu rokottamalla..
sanonko, että on kaksnaamainen
tyyppi. Ravintolat auki, se on
tärkeintä. Hans Välimäeltä raju
ulostulo rokottamattomille – karut
seuraukset: "Olen siitä pahoillani"
| Iltalehti https://t.co/7onCb3FJPB</t>
  </si>
  <si>
    <t>jensakseli
@TimoVir20213018 Se että tänä aikana
nousee esiin esim.Mikko Kärnä tai
Hans Välimäki täysin järjettömine
vihapuheineen, kertoo itselle sen,
että olemme lähellä kuplan puhkeamista.
Kiitos _xD83C__xDF1E__xD83D__xDC4C_</t>
  </si>
  <si>
    <t>ei_juma
@chefvalimaki kyllä sinulla on
oikeus kertoa mielipiteesi ihan
omin sanoin ja niin kuin ajattelet
sen olevan. Kiitos siitä että kerroit
oman kantasi. Se että pyytelet
anteeksi kertoo siitä että et ehkä
omia sanoja sanonut vaan toisteli
toisten kertomaa mantraa. Toistelitko?</t>
  </si>
  <si>
    <t>againstall10
Tätä se Hans Välimäki haluaa kaikille,
myös lapsille. #koronafi #koronapassi
#koronarajoitukset #koronarokote
https://t.co/gnre9gQCFp</t>
  </si>
  <si>
    <t>any__woman
#HansVälimäki kutsuu rokottamattomia
ääliöiksi ja vaatii heille lisäveroa
sekä liikkumisrajoituksia toivoen,
"että ihmiset kunnioittaisivat
toisiaan eriävistä mielipiteistä
huolimatta". (IL, 16.1.22) #koronapassi
#itsemääräämisoikeus</t>
  </si>
  <si>
    <t>seiska
Hans Välimäki pyytää anteeksi koronapäivitystään
- poisti julkaisun somesta https://t.co/NgCnH6rwFX</t>
  </si>
  <si>
    <t>jussikoskela8
Tätä se Hans Välimäki haluaa kaikille,
myös lapsille. #koronafi #koronapassi
#koronarajoitukset #koronarokote
https://t.co/gnre9gQCFp</t>
  </si>
  <si>
    <t>tukkamatti
@MikaelGabriel @PieroVentura5 Hans
välimäki</t>
  </si>
  <si>
    <t xml:space="preserve">pieroventura5
</t>
  </si>
  <si>
    <t xml:space="preserve">mikaelgabriel
</t>
  </si>
  <si>
    <t>lsotilas
@Dimmu141 Nythän Hans Välimäki
jo pyysi anteeksi tota päivitystä.
Oliko sitten Hans kirjottanu sen
vitutuksissaan vai kännissä.. sitä
tuskin saamme koskaan tietää.</t>
  </si>
  <si>
    <t xml:space="preserve">dimmu141
</t>
  </si>
  <si>
    <t>growguide1
Hans Välimäki teki yllätysratkaisun
- taustalla koronakommentti https://t.co/dalfB8r2S2
#uutiset #kannabis #hamppu</t>
  </si>
  <si>
    <t>lake791
@Jumppa Hans Välimäki kertoi että
noi on jalapenoja, ni sit niiden
on pakko olla.</t>
  </si>
  <si>
    <t xml:space="preserve">jumppa
</t>
  </si>
  <si>
    <t>perhiot
Hans Välimäki tervehtii asiakkaitaan.
https://t.co/SlBaJ5iIbu</t>
  </si>
  <si>
    <t>cptheorist
Suotta vittuilet #HansVälimäki
on kybän jätkä/pallit tallessa.
https://t.co/6VW2SlRRbb</t>
  </si>
  <si>
    <t>pekka9966
Hans Välimäki tervehtii asiakkaitaan.
https://t.co/SlBaJ5iIbu</t>
  </si>
  <si>
    <t>poikelin
Hans Välimäki tervehtii asiakkaitaan.
https://t.co/SlBaJ5iIbu</t>
  </si>
  <si>
    <t>scandinavianhu3
Hans Välimäki tervehtii asiakkaitaan.
https://t.co/SlBaJ5iIbu</t>
  </si>
  <si>
    <t>mmaitoparta
Hans Välimäki tervehtii asiakkaitaan.
https://t.co/SlBaJ5iIbu</t>
  </si>
  <si>
    <t>l0rava
Hans Välimäki tervehtii asiakkaitaan.
https://t.co/SlBaJ5iIbu</t>
  </si>
  <si>
    <t>anastasyafed
Hans Välimäki tervehtii asiakkaitaan.
https://t.co/SlBaJ5iIbu</t>
  </si>
  <si>
    <t>millscgh
Hans Välimäki tervehtii asiakkaitaan.
https://t.co/SlBaJ5iIbu</t>
  </si>
  <si>
    <t>jarimikkonen0
@CpTheorist Kuka Hans Välimäki?</t>
  </si>
  <si>
    <t>jacke_fi
@PankFrappa @HuuhtanenPanu Hans
Välimäki sortui käyttämään sanaa
"ääliö", se oli yksi iso virhe.
Hän olisi voinut päästä helpommalla,
jos olisi miettinyt tarkemmmin
mitä sanoo. Niin metsä vastaa kuin
sinne huudetaan.</t>
  </si>
  <si>
    <t xml:space="preserve">pankfrappa
</t>
  </si>
  <si>
    <t>huuhtanenpanu
Hans Välimäki tervehtii asiakkaitaan.
https://t.co/SlBaJ5iIbu</t>
  </si>
  <si>
    <t>jlaulum
Hans Välimäki tervehtii asiakkaitaan.
https://t.co/SlBaJ5iIbu</t>
  </si>
  <si>
    <t>tanjassa
@Jasmin_Kyllonen @chefvalimaki
Nyt itkettää, kun sai takaisinpäin.
Niin ylimielinen häismä, että kuvittelee
voivansa laukoa mitä vain seuraamuksitta.
Niin makaa kuin petaa. Yäk.</t>
  </si>
  <si>
    <t xml:space="preserve">jasmin_kyllonen
</t>
  </si>
  <si>
    <t>superlammas
Hans Välimäki puoltaa natsipassin
käyttöä kaikkialla, nyt omat ravintolat
lytätään ja hän pitää tätä "kohtuuttomana
kiusaamisena"</t>
  </si>
  <si>
    <t>arquez13
Hans Välimäki tervehtii asiakkaitaan.
https://t.co/SlBaJ5iIbu</t>
  </si>
  <si>
    <t>tttn786754
Hans Välimäki tervehtii asiakkaitaan.
https://t.co/SlBaJ5iIbu</t>
  </si>
  <si>
    <t>putki_ilmari
Hans Välimäki tervehtii asiakkaitaan.
https://t.co/SlBaJ5iIbu</t>
  </si>
  <si>
    <t>teppotuomola
Hans Välimäki tervehtii asiakkaitaan.
https://t.co/SlBaJ5iIbu</t>
  </si>
  <si>
    <t>linkinwd
Hans Välimäki puoltaa natsipassin
käyttöä kaikkialla, nyt omat ravintolat
lytätään ja hän pitää tätä "kohtuuttomana
kiusaamisena"</t>
  </si>
  <si>
    <t>jarijyrkankoski
@Dimmu141 Täytyy @chefvalimaki
tulla syömään kun ehtii.</t>
  </si>
  <si>
    <t>oula_silver
@JariJyrkankoski @Dimmu141 @chefvalimaki
Laitoin just viiden tähden arvostelun
menemään.</t>
  </si>
  <si>
    <t>katriomamieli
Hans Välimäki tervehtii asiakkaitaan.
https://t.co/SlBaJ5iIbu</t>
  </si>
  <si>
    <t>salineero
Hans Välimäki puoltaa natsipassin
käyttöä kaikkialla, nyt omat ravintolat
lytätään ja hän pitää tätä "kohtuuttomana
kiusaamisena"</t>
  </si>
  <si>
    <t>akiharkonen
Hans Välimäki tervehtii asiakkaitaan.
https://t.co/SlBaJ5iIbu</t>
  </si>
  <si>
    <t>sandinakk
Hans Välimäki puoltaa natsipassin
käyttöä kaikkialla, nyt omat ravintolat
lytätään ja hän pitää tätä "kohtuuttomana
kiusaamisena"</t>
  </si>
  <si>
    <t>perttipiirto
Hans Välimäki tervehtii asiakkaitaan.
https://t.co/SlBaJ5iIbu</t>
  </si>
  <si>
    <t>mbacardinen
Hans Välimäki tervehtii asiakkaitaan.
https://t.co/SlBaJ5iIbu</t>
  </si>
  <si>
    <t>vyyhdinpurkaja
Hans Välimäki oli sitten poistanut
arvostelut ravintolansa Facebook-sivuilta.
Mutta aina on TripAdvisor... https://t.co/eN5q9ZW5Xw</t>
  </si>
  <si>
    <t>swanoftuonela
Hans Välimäki oli sitten poistanut
arvostelut ravintolansa Facebook-sivuilta.
Mutta aina on TripAdvisor... https://t.co/eN5q9ZW5Xw</t>
  </si>
  <si>
    <t>lahtilahti
Hans Välimäki tervehtii asiakkaitaan.
https://t.co/SlBaJ5iIbu</t>
  </si>
  <si>
    <t>sussekiltou
Hans Välimäki puoltaa natsipassin
käyttöä kaikkialla, nyt omat ravintolat
lytätään ja hän pitää tätä "kohtuuttomana
kiusaamisena"</t>
  </si>
  <si>
    <t>nuuniunna
Hans Välimäki tervehtii asiakkaitaan.
https://t.co/SlBaJ5iIbu</t>
  </si>
  <si>
    <t>anne92445057
Hans Välimäki tervehtii asiakkaitaan.
https://t.co/SlBaJ5iIbu</t>
  </si>
  <si>
    <t>jmaalalr007
Hans Välimäki puoltaa natsipassin
käyttöä kaikkialla, nyt omat ravintolat
lytätään ja hän pitää tätä "kohtuuttomana
kiusaamisena"</t>
  </si>
  <si>
    <t>erkhei
@gorbilahti @LindapauliinaQ @iltalehti_fi
@Sukkola Naurettavinta lienee,
että nämä huonoja arvosteluja jakavat,
eivät ole koskaan käyneet Välimäen
ravintolassa. Ruoka ja palvelu
ovat edelleen yhtä hyviä kuin ennen
lausuntoa. @chefvalimaki ole oma
itsesi ja jatka rauhassa hyvää
ravintolatoimintaa.</t>
  </si>
  <si>
    <t xml:space="preserve">sukkola
</t>
  </si>
  <si>
    <t xml:space="preserve">iltalehti_fi
</t>
  </si>
  <si>
    <t xml:space="preserve">gorbilahti
</t>
  </si>
  <si>
    <t>sherrymarja
Hans Välimäki puoltaa natsipassin
käyttöä kaikkialla, nyt omat ravintolat
lytätään ja hän pitää tätä "kohtuuttomana
kiusaamisena"</t>
  </si>
  <si>
    <t>timoriikonen67
Hans Välimäki puoltaa natsipassin
käyttöä kaikkialla, nyt omat ravintolat
lytätään ja hän pitää tätä "kohtuuttomana
kiusaamisena"</t>
  </si>
  <si>
    <t>jussilepola
Hans Välimäki tervehtii asiakkaitaan.
https://t.co/SlBaJ5iIbu</t>
  </si>
  <si>
    <t>emilia44948661
Hans Välimäki tervehtii asiakkaitaan.
https://t.co/SlBaJ5iIbu</t>
  </si>
  <si>
    <t>sariheinonen5
Hans Välimäki oli sitten poistanut
arvostelut ravintolansa Facebook-sivuilta.
Mutta aina on TripAdvisor... https://t.co/eN5q9ZW5Xw</t>
  </si>
  <si>
    <t>konttiukko
Hans Välimäki tervehtii asiakkaitaan.
https://t.co/SlBaJ5iIbu</t>
  </si>
  <si>
    <t>vilikasvikkela
Hans Välimäki puoltaa natsipassin
käyttöä kaikkialla, nyt omat ravintolat
lytätään ja hän pitää tätä "kohtuuttomana
kiusaamisena"</t>
  </si>
  <si>
    <t>putinint
Hans Välimäki oli sitten poistanut
arvostelut ravintolansa Facebook-sivuilta.
Mutta aina on TripAdvisor... https://t.co/eN5q9ZW5Xw</t>
  </si>
  <si>
    <t>johnbuckwheat
Suotta vittuilet #HansVälimäki
on kybän jätkä/pallit tallessa.
https://t.co/6VW2SlRRbb</t>
  </si>
  <si>
    <t>wildkettu
Terveysfasisti Hans Välimäki tarjoileekin
jatkossa varmaan vain vihanneksia
höyrytettynä ja sellaisia missä
ei ole paljoa fruktoosia ettei
vain joku läski saa terveydellisiä
oireita. Missä on #Allergiapassi
#Läskipassi #Röökipassi</t>
  </si>
  <si>
    <t>_mariiia_stina
Hans Välimäki tervehtii asiakkaitaan.
https://t.co/SlBaJ5iIbu</t>
  </si>
  <si>
    <t>madetojastig
Hans Välimäki puoltaa natsipassin
käyttöä kaikkialla, nyt omat ravintolat
lytätään ja hän pitää tätä "kohtuuttomana
kiusaamisena"</t>
  </si>
  <si>
    <t>p_suvi
Hans Välimäki oli sitten poistanut
arvostelut ravintolansa Facebook-sivuilta.
Mutta aina on TripAdvisor... https://t.co/eN5q9ZW5Xw</t>
  </si>
  <si>
    <t xml:space="preserve">kuttaperkka
</t>
  </si>
  <si>
    <t>kolarirauno
Hans Välimäki puoltaa natsipassin
käyttöä kaikkialla, nyt omat ravintolat
lytätään ja hän pitää tätä "kohtuuttomana
kiusaamisena"</t>
  </si>
  <si>
    <t>runkgren
Häns Välimäki kun skeida osuu flektiin.
Hans Välimäki poisti kannanottonsa
koronapassista https://t.co/OzThKXv5yn</t>
  </si>
  <si>
    <t>takapirulainen
Hans Välimäki tervehtii asiakkaitaan.
https://t.co/SlBaJ5iIbu</t>
  </si>
  <si>
    <t>markkulaitinen3
Hans Välimäki puoltaa natsipassin
käyttöä kaikkialla, nyt omat ravintolat
lytätään ja hän pitää tätä "kohtuuttomana
kiusaamisena"</t>
  </si>
  <si>
    <t>puntti2
Hans Välimäki tervehtii asiakkaitaan.
https://t.co/SlBaJ5iIbu</t>
  </si>
  <si>
    <t>raivoroosna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</si>
  <si>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keronen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</si>
  <si>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tksyrjanen
@AkiKivirinta Hans Välimäki oli
ihan oikeassa. Meitä passillisia
on valtaosa ja me kyllä osaamme
päätellä, mistä ravintolan arvostelut
koostuu. Riittää, kun lukee lisäksi
ne perustelut. Käyn mieluummin
turvallisessa ravintolassa eli
sellaisessa, joka kysyy koronapassin.</t>
  </si>
  <si>
    <t>akikivirinta
@rautakansleri_ Katoppakö Hans
Välimäki ei ole ainut ravintoloitsija.
Heitä on paljon vähemmän kuuluisia
ja pienituloisempia. Lisäksi siellä
on ihan tavallisia ihmisiä töissä
joiden elinkeinosta on kyse. Passin
kanssa he vois olla töissä.</t>
  </si>
  <si>
    <t>hpolkki
Hans Välimäki tervehtii asiakkaitaan.
https://t.co/SlBaJ5iIbu</t>
  </si>
  <si>
    <t>karihirvi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</si>
  <si>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anttiviinanen
Hans Välimäki tervehtii asiakkaitaan.
https://t.co/SlBaJ5iIbu</t>
  </si>
  <si>
    <t>mikkopohjanhei1
@tuija_niskanen Suutari pysyköön
lestissään. Ruokaa #Hansvälimäki
osaa laittaa, on siinä mestari.
Mutta älynlahjoiltaan keskinkertainen,
tai jopa tyhmä. (tuossa ei ollut
pätkääkään sarkasmia). Jos on lusikalla
annettu, on turha kauhalla vaatia.</t>
  </si>
  <si>
    <t>tuija_niskanen
#HansVälimäki kutsuu rokottamattomia
ääliöiksi ja vaatii heille lisäveroa
sekä liikkumisrajoituksia toivoen,
"että ihmiset kunnioittaisivat
toisiaan eriävistä mielipiteistä
huolimatta". (IL, 16.1.22) #koronapassi
#itsemääräämisoikeus</t>
  </si>
  <si>
    <t>useyour_____
Hans Välimäki puoltaa natsipassin
käyttöä kaikkialla, nyt omat ravintolat
lytätään ja hän pitää tätä "kohtuuttomana
kiusaamisena"</t>
  </si>
  <si>
    <t>lifflander
#HansVälimäki kutsuu rokottamattomia
ääliöiksi ja vaatii heille lisäveroa
sekä liikkumisrajoituksia toivoen,
"että ihmiset kunnioittaisivat
toisiaan eriävistä mielipiteistä
huolimatta". (IL, 16.1.22) #koronapassi
#itsemääräämisoikeus</t>
  </si>
  <si>
    <t>niinuliinuli
#HansVälimäki kutsuu rokottamattomia
ääliöiksi ja vaatii heille lisäveroa
sekä liikkumisrajoituksia toivoen,
"että ihmiset kunnioittaisivat
toisiaan eriävistä mielipiteistä
huolimatta". (IL, 16.1.22) #koronapassi
#itsemääräämisoikeus</t>
  </si>
  <si>
    <t>_tilastonikkari
#HansVälimäki kutsuu rokottamattomia
ääliöiksi ja vaatii heille lisäveroa
sekä liikkumisrajoituksia toivoen,
"että ihmiset kunnioittaisivat
toisiaan eriävistä mielipiteistä
huolimatta". (IL, 16.1.22) #koronapassi
#itsemääräämisoikeus</t>
  </si>
  <si>
    <t xml:space="preserve">villecantell
</t>
  </si>
  <si>
    <t xml:space="preserve">rautakansleri_
</t>
  </si>
  <si>
    <t>armokivi
#HansVälimäki kutsuu rokottamattomia
ääliöiksi ja vaatii heille lisäveroa
sekä liikkumisrajoituksia toivoen,
"että ihmiset kunnioittaisivat
toisiaan eriävistä mielipiteistä
huolimatta". (IL, 16.1.22) #koronapassi
#itsemääräämisoikeus</t>
  </si>
  <si>
    <t>paulie880
#HansVälimäki kutsuu rokottamattomia
ääliöiksi ja vaatii heille lisäveroa
sekä liikkumisrajoituksia toivoen,
"että ihmiset kunnioittaisivat
toisiaan eriävistä mielipiteistä
huolimatta". (IL, 16.1.22) #koronapassi
#itsemääräämisoikeus</t>
  </si>
  <si>
    <t>safirella2
#HansVälimäki kutsuu rokottamattomia
ääliöiksi ja vaatii heille lisäveroa
sekä liikkumisrajoituksia toivoen,
"että ihmiset kunnioittaisivat
toisiaan eriävistä mielipiteistä
huolimatta". (IL, 16.1.22) #koronapassi
#itsemääräämisoikeus</t>
  </si>
  <si>
    <t>markus_pitkanen
#HansVälimäki kutsuu rokottamattomia
ääliöiksi ja vaatii heille lisäveroa
sekä liikkumisrajoituksia toivoen,
"että ihmiset kunnioittaisivat
toisiaan eriävistä mielipiteistä
huolimatta". (IL, 16.1.22) #koronapassi
#itsemääräämisoikeus</t>
  </si>
  <si>
    <t>maucca
#HansVälimäki kutsuu rokottamattomia
ääliöiksi ja vaatii heille lisäveroa
sekä liikkumisrajoituksia toivoen,
"että ihmiset kunnioittaisivat
toisiaan eriävistä mielipiteistä
huolimatta". (IL, 16.1.22) #koronapassi
#itsemääräämisoikeus</t>
  </si>
  <si>
    <t>taskinen_reijo
Hans Välimäki on rohkea mies. Hän
sanoi niinkuin asia on. Koirat
haukkuu, mutta valjakko kulkee.
https://t.co/GdHxpBX2xI</t>
  </si>
  <si>
    <t>marioargenta
#HansVälimäki kutsuu rokottamattomia
ääliöiksi ja vaatii heille lisäveroa
sekä liikkumisrajoituksia toivoen,
"että ihmiset kunnioittaisivat
toisiaan eriävistä mielipiteistä
huolimatta". (IL, 16.1.22) #koronapassi
#itsemääräämisoikeus</t>
  </si>
  <si>
    <t>samueldavidkin
#HansVälimäki kutsuu rokottamattomia
ääliöiksi ja vaatii heille lisäveroa
sekä liikkumisrajoituksia toivoen,
"että ihmiset kunnioittaisivat
toisiaan eriävistä mielipiteistä
huolimatta". (IL, 16.1.22) #koronapassi
#itsemääräämisoikeus</t>
  </si>
  <si>
    <t>benedictesnotes
@Valavuori Hans Välimäki on itse
yrittänyt cäncelöidä tietyn ihmisrymän,
ja saa nyt heittämäänsä lokaa itse
takaisin niskaan. Eikä vähemmän
yllättäen tunnukaan mukavalta?
Tyypillinen koulukiusaajamentaliteetti.
Tuohonkaan asemaan ei olisi tarvinnut
päätyä.</t>
  </si>
  <si>
    <t xml:space="preserve">valavuori
</t>
  </si>
  <si>
    <t>tealindblom
@TommiHermunen Joko varataan jengillä
priva juhlapaikka vaiks @chefvalimaki
ravintolasta?</t>
  </si>
  <si>
    <t xml:space="preserve">tommihermunen
</t>
  </si>
  <si>
    <t>k272479
#HansVälimäki kutsuu rokottamattomia
ääliöiksi ja vaatii heille lisäveroa
sekä liikkumisrajoituksia toivoen,
"että ihmiset kunnioittaisivat
toisiaan eriävistä mielipiteistä
huolimatta". (IL, 16.1.22) #koronapassi
#itsemääräämisoikeus</t>
  </si>
  <si>
    <t>jotiittanen
@chefvalimaki Ajattelin ihan mielenkiinnosta,
että kerrotko vaikka puolen vuoden
päästä toimiiko teidän bisnekset
normaaliin tapaan? Kiitos kaikista
kommenteista, ehkä kaikki muut
homot on ylimielisiä.</t>
  </si>
  <si>
    <t>rvalinnut
#HansVälimäki kutsuu rokottamattomia
ääliöiksi ja vaatii heille lisäveroa
sekä liikkumisrajoituksia toivoen,
"että ihmiset kunnioittaisivat
toisiaan eriävistä mielipiteistä
huolimatta". (IL, 16.1.22) #koronapassi
#itsemääräämisoikeus</t>
  </si>
  <si>
    <t>minna_talvitie
#HansVälimäki kutsuu rokottamattomia
ääliöiksi ja vaatii heille lisäveroa
sekä liikkumisrajoituksia toivoen,
"että ihmiset kunnioittaisivat
toisiaan eriävistä mielipiteistä
huolimatta". (IL, 16.1.22) #koronapassi
#itsemääräämisoikeus</t>
  </si>
  <si>
    <t>vilenaila
@Annuliini_ Hans Välimäki on jotain,jota
ei halua nähdä,kuulla eikä edes
maistaa,hapan rakenne,pohjaan palanut
asenne.</t>
  </si>
  <si>
    <t xml:space="preserve">annuliini_
</t>
  </si>
  <si>
    <t>mpbacardinen
#HansVälimäki kutsuu rokottamattomia
ääliöiksi ja vaatii heille lisäveroa
sekä liikkumisrajoituksia toivoen,
"että ihmiset kunnioittaisivat
toisiaan eriävistä mielipiteistä
huolimatta". (IL, 16.1.22) #koronapassi
#itsemääräämisoikeus</t>
  </si>
  <si>
    <t>tulkuttaja
@Valavuori Hans Välimäki on tässä
tapauksessa se saatanan idiootti.
Ihan tahallinen provo. Sitä saa
mitä tilaa.</t>
  </si>
  <si>
    <t>jarvinen79
@Valavuori Hans Välimäki on tässä
tapauksessa se saatanan idiootti.
Ihan tahallinen provo. Sitä saa
mitä tilaa.</t>
  </si>
  <si>
    <t>perisuomalainen
#HansVälimäki kutsuu rokottamattomia
ääliöiksi ja vaatii heille lisäveroa
sekä liikkumisrajoituksia toivoen,
"että ihmiset kunnioittaisivat
toisiaan eriävistä mielipiteistä
huolimatta". (IL, 16.1.22) #koronapassi
#itsemääräämisoikeus</t>
  </si>
  <si>
    <t>laura12632966
#HansVälimäki kutsuu rokottamattomia
ääliöiksi ja vaatii heille lisäveroa
sekä liikkumisrajoituksia toivoen,
"että ihmiset kunnioittaisivat
toisiaan eriävistä mielipiteistä
huolimatta". (IL, 16.1.22) #koronapassi
#itsemääräämisoikeus</t>
  </si>
  <si>
    <t>hannelea_h
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</si>
  <si>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alicenpesula
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</si>
  <si>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universumin
#HansVälimäki kutsuu rokottamattomia
ääliöiksi ja vaatii heille lisäveroa
sekä liikkumisrajoituksia toivoen,
"että ihmiset kunnioittaisivat
toisiaan eriävistä mielipiteistä
huolimatta". (IL, 16.1.22) #koronapassi
#itsemääräämisoikeus</t>
  </si>
  <si>
    <t>nikki1the
#HansVälimäki kutsuu rokottamattomia
ääliöiksi ja vaatii heille lisäveroa
sekä liikkumisrajoituksia toivoen,
"että ihmiset kunnioittaisivat
toisiaan eriävistä mielipiteistä
huolimatta". (IL, 16.1.22) #koronapassi
#itsemääräämisoikeus</t>
  </si>
  <si>
    <t>magillami
#HansVälimäki kutsuu rokottamattomia
ääliöiksi ja vaatii heille lisäveroa
sekä liikkumisrajoituksia toivoen,
"että ihmiset kunnioittaisivat
toisiaan eriävistä mielipiteistä
huolimatta". (IL, 16.1.22) #koronapassi
#itsemääräämisoikeus</t>
  </si>
  <si>
    <t>ellimariella_
#HansVälimäki kutsuu rokottamattomia
ääliöiksi ja vaatii heille lisäveroa
sekä liikkumisrajoituksia toivoen,
"että ihmiset kunnioittaisivat
toisiaan eriävistä mielipiteistä
huolimatta". (IL, 16.1.22) #koronapassi
#itsemääräämisoikeus</t>
  </si>
  <si>
    <t>suomineitonen
#HansVälimäki kutsuu rokottamattomia
ääliöiksi ja vaatii heille lisäveroa
sekä liikkumisrajoituksia toivoen,
"että ihmiset kunnioittaisivat
toisiaan eriävistä mielipiteistä
huolimatta". (IL, 16.1.22) #koronapassi
#itsemääräämisoikeus</t>
  </si>
  <si>
    <t>mforsberg__
#HansVälimäki kutsuu rokottamattomia
ääliöiksi ja vaatii heille lisäveroa
sekä liikkumisrajoituksia toivoen,
"että ihmiset kunnioittaisivat
toisiaan eriävistä mielipiteistä
huolimatta". (IL, 16.1.22) #koronapassi
#itsemääräämisoikeus</t>
  </si>
  <si>
    <t>stiigat
#HansVälimäki kutsuu rokottamattomia
ääliöiksi ja vaatii heille lisäveroa
sekä liikkumisrajoituksia toivoen,
"että ihmiset kunnioittaisivat
toisiaan eriävistä mielipiteistä
huolimatta". (IL, 16.1.22) #koronapassi
#itsemääräämisoikeus</t>
  </si>
  <si>
    <t>marjo_liukkonen
#HansVälimäki kutsuu rokottamattomia
ääliöiksi ja vaatii heille lisäveroa
sekä liikkumisrajoituksia toivoen,
"että ihmiset kunnioittaisivat
toisiaan eriävistä mielipiteistä
huolimatta". (IL, 16.1.22) #koronapassi
#itsemääräämisoikeus</t>
  </si>
  <si>
    <t>anileki
Heippa Hans Välimäki. Ei enää tavata.</t>
  </si>
  <si>
    <t>lauri_paavola
@SiruMustikkamaa Hans Välimäki
saanut Pfizeriltä vähän provikkaa
kun ei ole mennyt se kuuluisa seitsemän
euron vesi kaupaksi...</t>
  </si>
  <si>
    <t>jyrki_k
#HansVälimäki kutsuu rokottamattomia
ääliöiksi ja vaatii heille lisäveroa
sekä liikkumisrajoituksia toivoen,
"että ihmiset kunnioittaisivat
toisiaan eriävistä mielipiteistä
huolimatta". (IL, 16.1.22) #koronapassi
#itsemääräämisoikeus</t>
  </si>
  <si>
    <t>rottaerkki
Cancel Hans Välimäki _xD83D__xDE2C_</t>
  </si>
  <si>
    <t>mirkhe
#HansVälimäki kutsuu rokottamattomia
ääliöiksi ja vaatii heille lisäveroa
sekä liikkumisrajoituksia toivoen,
"että ihmiset kunnioittaisivat
toisiaan eriävistä mielipiteistä
huolimatta". (IL, 16.1.22) #koronapassi
#itsemääräämisoikeus</t>
  </si>
  <si>
    <t>cliljerot
#HansVälimäki kutsuu rokottamattomia
ääliöiksi ja vaatii heille lisäveroa
sekä liikkumisrajoituksia toivoen,
"että ihmiset kunnioittaisivat
toisiaan eriävistä mielipiteistä
huolimatta". (IL, 16.1.22) #koronapassi
#itsemääräämisoikeus</t>
  </si>
  <si>
    <t>pauli_laakso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</si>
  <si>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</si>
  <si>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</si>
  <si>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Workbook Settings 2</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</si>
  <si>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</si>
  <si>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Workbook Settings 3</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</si>
  <si>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</si>
  <si>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Workbook Settings 4</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</si>
  <si>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</si>
  <si>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Workbook Settings 5</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</si>
  <si>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</si>
  <si>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Workbook Settings 6</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</si>
  <si>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t>
  </si>
  <si>
    <t>Workbook Settings 7</t>
  </si>
  <si>
    <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t>
  </si>
  <si>
    <t>Workbook Settings 8</t>
  </si>
  <si>
    <t>o&lt;/value&gt;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t>
  </si>
  <si>
    <t>Workbook Settings 9</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</si>
  <si>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</si>
  <si>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</si>
  <si>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</si>
  <si>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</si>
  <si>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</si>
  <si>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</si>
  <si>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</si>
  <si>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</si>
  <si>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</si>
  <si>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</si>
  <si>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</si>
  <si>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</si>
  <si>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</si>
  <si>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</si>
  <si>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</si>
  <si>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</si>
  <si>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</si>
  <si>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</si>
  <si>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</si>
  <si>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</si>
  <si>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</si>
  <si>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</si>
  <si>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</si>
  <si>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</si>
  <si>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</si>
  <si>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</si>
  <si>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</si>
  <si>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</si>
  <si>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</si>
  <si>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</si>
  <si>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</si>
  <si>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</si>
  <si>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</si>
  <si>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</si>
  <si>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</si>
  <si>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GraphSource░TwitterSearch▓GraphTerm░(hans vaelimaeki) OR #HansVaelimaeki OR @chefvalimaki▓ImportDescription░The graph represents a network of 231 Twitter users whose recent tweets contained "(hans vaelimaeki) OR #HansVaelimaeki OR @chefvalimaki", or who were replied to or mentioned in those tweets, taken from a data set limited to a maximum of 18 000 tweets.  The network was obtained from Twitter on Monday, 17 January 2022 at 15:58 UTC.
The tweets in the network were tweeted over the 3-day, 1-hour, 33-minute period from Friday, 14 January 2022 at 14:03 UTC to Monday, 17 January 2022 at 15:36 UTC.
There is an edge for each "replies-to" relationship in a tweet, an edge for each "mentions" relationship in a tweet, and a self-loop edge for each tweet that is not a "replies-to" or "mentions".▓ImportSuggestedTitle░(hans vaelimaeki) OR #HansVaelimaeki OR @chefvalimaki Twitter NodeXL SNA Map and Report for maanantai, 17 tammikuuta 2022 at 15.57 UTC▓ImportSuggestedFileNameNoExtension░2022-01-17 15-57-44 NodeXL Twitter Search (hans vaelimaeki) OR #HansVaelimaeki OR @chefvalimaki▓LayoutAlgorithm░The graph was laid out using the Fruchterman-Reingold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</si>
  <si>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</si>
  <si>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</si>
  <si>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</si>
  <si>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</si>
  <si>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</si>
  <si>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</si>
  <si>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</si>
  <si>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</si>
  <si>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</si>
  <si>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</si>
  <si>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hans</t>
  </si>
  <si>
    <t>välimäki</t>
  </si>
  <si>
    <t>#hansvälimäki</t>
  </si>
  <si>
    <t>yhteiskunta</t>
  </si>
  <si>
    <t>auki</t>
  </si>
  <si>
    <t>#koronapassi</t>
  </si>
  <si>
    <t>tervehtii</t>
  </si>
  <si>
    <t>asiakkaitaan</t>
  </si>
  <si>
    <t>ääliöitä</t>
  </si>
  <si>
    <t>makailee</t>
  </si>
  <si>
    <t>sairaaloissa</t>
  </si>
  <si>
    <t>huomattavasti</t>
  </si>
  <si>
    <t>fiksumman</t>
  </si>
  <si>
    <t>väen</t>
  </si>
  <si>
    <t>hoitoa</t>
  </si>
  <si>
    <t>tukkimassa</t>
  </si>
  <si>
    <t>rokotteista</t>
  </si>
  <si>
    <t>kieltäytyneitä</t>
  </si>
  <si>
    <t>rokottamattomia</t>
  </si>
  <si>
    <t>rokotepassilla</t>
  </si>
  <si>
    <t>vihollinen</t>
  </si>
  <si>
    <t>haetaan</t>
  </si>
  <si>
    <t>rokottamattomista</t>
  </si>
  <si>
    <t>kiirreellistä</t>
  </si>
  <si>
    <t>järjettömällä</t>
  </si>
  <si>
    <t>verukkeella</t>
  </si>
  <si>
    <t>ääliöiksi</t>
  </si>
  <si>
    <t>ihmiset</t>
  </si>
  <si>
    <t>kunnioittaisivat</t>
  </si>
  <si>
    <t>toisiaan</t>
  </si>
  <si>
    <t>eriävistä</t>
  </si>
  <si>
    <t>mielipiteistä</t>
  </si>
  <si>
    <t>il</t>
  </si>
  <si>
    <t>1</t>
  </si>
  <si>
    <t>kutsuu</t>
  </si>
  <si>
    <t>vaatii</t>
  </si>
  <si>
    <t>lisäveroa</t>
  </si>
  <si>
    <t>liikkumisrajoituksia</t>
  </si>
  <si>
    <t>toivoen</t>
  </si>
  <si>
    <t>16</t>
  </si>
  <si>
    <t>22</t>
  </si>
  <si>
    <t>#itsemääräämisoikeus</t>
  </si>
  <si>
    <t>pitää</t>
  </si>
  <si>
    <t>ravintolat</t>
  </si>
  <si>
    <t>puoltaa</t>
  </si>
  <si>
    <t>natsipassin</t>
  </si>
  <si>
    <t>käyttöä</t>
  </si>
  <si>
    <t>lytätään</t>
  </si>
  <si>
    <t>kohtuuttomana</t>
  </si>
  <si>
    <t>kiusaamisena</t>
  </si>
  <si>
    <t>vitun</t>
  </si>
  <si>
    <t>ravintolansa</t>
  </si>
  <si>
    <t>niinkuin</t>
  </si>
  <si>
    <t>avattaisiinkin</t>
  </si>
  <si>
    <t>kerralla</t>
  </si>
  <si>
    <t>elettäisiin</t>
  </si>
  <si>
    <t>ennenvanhaan</t>
  </si>
  <si>
    <t>ehtona</t>
  </si>
  <si>
    <t>#rokotepassi</t>
  </si>
  <si>
    <t>käynyt</t>
  </si>
  <si>
    <t>#thegreatreset</t>
  </si>
  <si>
    <t>pyöreässä</t>
  </si>
  <si>
    <t>pöydässä</t>
  </si>
  <si>
    <t>imemässä</t>
  </si>
  <si>
    <t>patukkaa</t>
  </si>
  <si>
    <t>saanu</t>
  </si>
  <si>
    <t>paikan</t>
  </si>
  <si>
    <t>auringossa</t>
  </si>
  <si>
    <t>pelle</t>
  </si>
  <si>
    <t>arvostelut</t>
  </si>
  <si>
    <t>poistanut</t>
  </si>
  <si>
    <t>facebook</t>
  </si>
  <si>
    <t>sivuilta</t>
  </si>
  <si>
    <t>tripadvisor</t>
  </si>
  <si>
    <t>saa</t>
  </si>
  <si>
    <t>ryhtyä</t>
  </si>
  <si>
    <t>#koronafi</t>
  </si>
  <si>
    <t>cancel</t>
  </si>
  <si>
    <t>idiootti</t>
  </si>
  <si>
    <t>poisti</t>
  </si>
  <si>
    <t>anteeksi</t>
  </si>
  <si>
    <t>#koronarajoitukset</t>
  </si>
  <si>
    <t>#koronarokote</t>
  </si>
  <si>
    <t>2</t>
  </si>
  <si>
    <t>saanut</t>
  </si>
  <si>
    <t>toivottavasti</t>
  </si>
  <si>
    <t>ravintolan</t>
  </si>
  <si>
    <t>päästä</t>
  </si>
  <si>
    <t>vois</t>
  </si>
  <si>
    <t>väärässä</t>
  </si>
  <si>
    <t>vaatiessaan</t>
  </si>
  <si>
    <t>natsipassia</t>
  </si>
  <si>
    <t>natsipassista</t>
  </si>
  <si>
    <t>teoriassa</t>
  </si>
  <si>
    <t>hyötyä</t>
  </si>
  <si>
    <t>homoa</t>
  </si>
  <si>
    <t>pommittamaan</t>
  </si>
  <si>
    <t>ravintoloitaan</t>
  </si>
  <si>
    <t>negatiivisilla</t>
  </si>
  <si>
    <t>arvosteluilla</t>
  </si>
  <si>
    <t>mieltä</t>
  </si>
  <si>
    <t>kulttuuri</t>
  </si>
  <si>
    <t>syöpää</t>
  </si>
  <si>
    <t>mikko</t>
  </si>
  <si>
    <t>kärnä</t>
  </si>
  <si>
    <t>ottaa</t>
  </si>
  <si>
    <t>tietää</t>
  </si>
  <si>
    <t>lapsille</t>
  </si>
  <si>
    <t>kertoo</t>
  </si>
  <si>
    <t>kokki</t>
  </si>
  <si>
    <t>mut</t>
  </si>
  <si>
    <t>kohtaan</t>
  </si>
  <si>
    <t>yrittäjillä</t>
  </si>
  <si>
    <t>tiukat</t>
  </si>
  <si>
    <t>paikat</t>
  </si>
  <si>
    <t>pidä</t>
  </si>
  <si>
    <t>perustuslain</t>
  </si>
  <si>
    <t>vastaisiin</t>
  </si>
  <si>
    <t>sortotoimiin</t>
  </si>
  <si>
    <t>kokit</t>
  </si>
  <si>
    <t>passittomissa</t>
  </si>
  <si>
    <t>hyvän</t>
  </si>
  <si>
    <t>ruuan</t>
  </si>
  <si>
    <t>ystäviä</t>
  </si>
  <si>
    <t>muistakaa</t>
  </si>
  <si>
    <t>mekään</t>
  </si>
  <si>
    <t>unohda</t>
  </si>
  <si>
    <t>ps</t>
  </si>
  <si>
    <t>tiedossa</t>
  </si>
  <si>
    <t>rokotetut</t>
  </si>
  <si>
    <t>tartuttavat</t>
  </si>
  <si>
    <t>toimi</t>
  </si>
  <si>
    <t>kuppilat</t>
  </si>
  <si>
    <t>pfizeriltä</t>
  </si>
  <si>
    <t>provikkaa</t>
  </si>
  <si>
    <t>kuuluisa</t>
  </si>
  <si>
    <t>euron</t>
  </si>
  <si>
    <t>vesi</t>
  </si>
  <si>
    <t>kaupaksi</t>
  </si>
  <si>
    <t>haukkunut</t>
  </si>
  <si>
    <t>nimittänyt</t>
  </si>
  <si>
    <t>toivookin</t>
  </si>
  <si>
    <t>negaa</t>
  </si>
  <si>
    <t>arvostelua</t>
  </si>
  <si>
    <t>ko</t>
  </si>
  <si>
    <t>saamat</t>
  </si>
  <si>
    <t>tähdet</t>
  </si>
  <si>
    <t>laskee</t>
  </si>
  <si>
    <t>saatanan</t>
  </si>
  <si>
    <t>tahallinen</t>
  </si>
  <si>
    <t>provo</t>
  </si>
  <si>
    <t>tilaa</t>
  </si>
  <si>
    <t>koirat</t>
  </si>
  <si>
    <t>kaikista</t>
  </si>
  <si>
    <t>mies</t>
  </si>
  <si>
    <t>töissä</t>
  </si>
  <si>
    <t>passin</t>
  </si>
  <si>
    <t>lle</t>
  </si>
  <si>
    <t>laittaa</t>
  </si>
  <si>
    <t>sarkasmia</t>
  </si>
  <si>
    <t>vaatia</t>
  </si>
  <si>
    <t>ravintolassa</t>
  </si>
  <si>
    <t>totta</t>
  </si>
  <si>
    <t>pistänyt</t>
  </si>
  <si>
    <t>merkille</t>
  </si>
  <si>
    <t>samanlainen</t>
  </si>
  <si>
    <t>hiustyyli</t>
  </si>
  <si>
    <t>teemu</t>
  </si>
  <si>
    <t>laajasalo</t>
  </si>
  <si>
    <t>suotta</t>
  </si>
  <si>
    <t>vittuilet</t>
  </si>
  <si>
    <t>kybän</t>
  </si>
  <si>
    <t>jätkä</t>
  </si>
  <si>
    <t>pallit</t>
  </si>
  <si>
    <t>tallessa</t>
  </si>
  <si>
    <t>rauhassa</t>
  </si>
  <si>
    <t>saisi</t>
  </si>
  <si>
    <t>esittää</t>
  </si>
  <si>
    <t>mielipiteestä</t>
  </si>
  <si>
    <t>sai</t>
  </si>
  <si>
    <t>ylimielinen</t>
  </si>
  <si>
    <t>kuvittelee</t>
  </si>
  <si>
    <t>syytä</t>
  </si>
  <si>
    <t>kertoa</t>
  </si>
  <si>
    <t>ääliö</t>
  </si>
  <si>
    <t>miettinyt</t>
  </si>
  <si>
    <t>sanoo</t>
  </si>
  <si>
    <t>sit</t>
  </si>
  <si>
    <t>pakko</t>
  </si>
  <si>
    <t>#uutiset</t>
  </si>
  <si>
    <t>#kannabis</t>
  </si>
  <si>
    <t>#hamppu</t>
  </si>
  <si>
    <t>pyytää</t>
  </si>
  <si>
    <t>koronapäivitystään</t>
  </si>
  <si>
    <t>julkaisun</t>
  </si>
  <si>
    <t>somesta</t>
  </si>
  <si>
    <t>esim</t>
  </si>
  <si>
    <t>tyyppi</t>
  </si>
  <si>
    <t>rokottamattomille</t>
  </si>
  <si>
    <t>suhteen</t>
  </si>
  <si>
    <t>suomessa</t>
  </si>
  <si>
    <t>sairas</t>
  </si>
  <si>
    <t>äijä</t>
  </si>
  <si>
    <t>tää</t>
  </si>
  <si>
    <t>no</t>
  </si>
  <si>
    <t>sanonta</t>
  </si>
  <si>
    <t>vittu</t>
  </si>
  <si>
    <t>aiheuttaa</t>
  </si>
  <si>
    <t>tä</t>
  </si>
  <si>
    <t>mun</t>
  </si>
  <si>
    <t>sanoa</t>
  </si>
  <si>
    <t>pitänyt</t>
  </si>
  <si>
    <t>tuon</t>
  </si>
  <si>
    <t>turvin</t>
  </si>
  <si>
    <t>kumoon</t>
  </si>
  <si>
    <t>tiennyt</t>
  </si>
  <si>
    <t>rokote</t>
  </si>
  <si>
    <t>kusipää</t>
  </si>
  <si>
    <t>laitanpa</t>
  </si>
  <si>
    <t>tähänkin</t>
  </si>
  <si>
    <t>#moraali</t>
  </si>
  <si>
    <t>#mara</t>
  </si>
  <si>
    <t>korona</t>
  </si>
  <si>
    <t>leviää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</si>
  <si>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</si>
  <si>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</si>
  <si>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</si>
  <si>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</si>
  <si>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</si>
  <si>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</si>
  <si>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</si>
  <si>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</si>
  <si>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</si>
  <si>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</si>
  <si>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</si>
  <si>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</si>
  <si>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</si>
  <si>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</si>
  <si>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</si>
  <si>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</si>
  <si>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</si>
  <si>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</si>
  <si>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</si>
  <si>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</si>
  <si>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</si>
  <si>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</si>
  <si>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</si>
  <si>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</si>
  <si>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</si>
  <si>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</si>
  <si>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</si>
  <si>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</si>
  <si>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</si>
  <si>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</si>
  <si>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HansVälimäki</t>
  </si>
  <si>
    <t>ja</t>
  </si>
  <si>
    <t>heille</t>
  </si>
  <si>
    <t>sekä</t>
  </si>
  <si>
    <t>että</t>
  </si>
  <si>
    <t>huolimatta</t>
  </si>
  <si>
    <t>IL</t>
  </si>
  <si>
    <t>itsemääräämisoikeus</t>
  </si>
  <si>
    <t>Cancel</t>
  </si>
  <si>
    <t>Hans</t>
  </si>
  <si>
    <t>Välimäki</t>
  </si>
  <si>
    <t>oli</t>
  </si>
  <si>
    <t>sitten</t>
  </si>
  <si>
    <t>Facebook</t>
  </si>
  <si>
    <t>Mutta</t>
  </si>
  <si>
    <t>aina</t>
  </si>
  <si>
    <t>on</t>
  </si>
  <si>
    <t>TripAdvisor</t>
  </si>
  <si>
    <t>SiruMustikkamaa</t>
  </si>
  <si>
    <t>Pfizeriltä</t>
  </si>
  <si>
    <t>vähän</t>
  </si>
  <si>
    <t>kun</t>
  </si>
  <si>
    <t>ei</t>
  </si>
  <si>
    <t>ole</t>
  </si>
  <si>
    <t>mennyt</t>
  </si>
  <si>
    <t>se</t>
  </si>
  <si>
    <t>seitsemän</t>
  </si>
  <si>
    <t>Heippa</t>
  </si>
  <si>
    <t>Ei</t>
  </si>
  <si>
    <t>enää</t>
  </si>
  <si>
    <t>tavata</t>
  </si>
  <si>
    <t>kaikkialla</t>
  </si>
  <si>
    <t>nyt</t>
  </si>
  <si>
    <t>omat</t>
  </si>
  <si>
    <t>hän</t>
  </si>
  <si>
    <t>tätä</t>
  </si>
  <si>
    <t>Rokottamattomia</t>
  </si>
  <si>
    <t>Toivottavasti</t>
  </si>
  <si>
    <t>edelleen</t>
  </si>
  <si>
    <t>Yhteiskunta</t>
  </si>
  <si>
    <t>Vihollinen</t>
  </si>
  <si>
    <t>mahdollisimman</t>
  </si>
  <si>
    <t>läheltä</t>
  </si>
  <si>
    <t>Rokottamattomista</t>
  </si>
  <si>
    <t>Meillä</t>
  </si>
  <si>
    <t>Valavuori</t>
  </si>
  <si>
    <t>tässä</t>
  </si>
  <si>
    <t>tapauksessa</t>
  </si>
  <si>
    <t>Ihan</t>
  </si>
  <si>
    <t>Sitä</t>
  </si>
  <si>
    <t>mitä</t>
  </si>
  <si>
    <t>Annuliini_</t>
  </si>
  <si>
    <t>jotain</t>
  </si>
  <si>
    <t>jota</t>
  </si>
  <si>
    <t>halua</t>
  </si>
  <si>
    <t>nähdä</t>
  </si>
  <si>
    <t>kuulla</t>
  </si>
  <si>
    <t>eikä</t>
  </si>
  <si>
    <t>edes</t>
  </si>
  <si>
    <t>maistaa</t>
  </si>
  <si>
    <t>hapan</t>
  </si>
  <si>
    <t>rakenne</t>
  </si>
  <si>
    <t>pohjaan</t>
  </si>
  <si>
    <t>palanut</t>
  </si>
  <si>
    <t>asenne</t>
  </si>
  <si>
    <t>Omatko</t>
  </si>
  <si>
    <t>purivat</t>
  </si>
  <si>
    <t>Ajattelin</t>
  </si>
  <si>
    <t>ihan</t>
  </si>
  <si>
    <t>mielenkiinnosta</t>
  </si>
  <si>
    <t>kerrotko</t>
  </si>
  <si>
    <t>vaikka</t>
  </si>
  <si>
    <t>puolen</t>
  </si>
  <si>
    <t>vuoden</t>
  </si>
  <si>
    <t>toimiiko</t>
  </si>
  <si>
    <t>teidän</t>
  </si>
  <si>
    <t>bisnekset</t>
  </si>
  <si>
    <t>normaaliin</t>
  </si>
  <si>
    <t>tapaan</t>
  </si>
  <si>
    <t>Kiitos</t>
  </si>
  <si>
    <t>kommenteista</t>
  </si>
  <si>
    <t>ehkä</t>
  </si>
  <si>
    <t>kaikki</t>
  </si>
  <si>
    <t>muut</t>
  </si>
  <si>
    <t>homot</t>
  </si>
  <si>
    <t>ylimielisiä</t>
  </si>
  <si>
    <t>TommiHermunen</t>
  </si>
  <si>
    <t>Joko</t>
  </si>
  <si>
    <t>varataan</t>
  </si>
  <si>
    <t>jengillä</t>
  </si>
  <si>
    <t>priva</t>
  </si>
  <si>
    <t>juhlapaikka</t>
  </si>
  <si>
    <t>vaiks</t>
  </si>
  <si>
    <t>ravintolasta</t>
  </si>
  <si>
    <t>itse</t>
  </si>
  <si>
    <t>yrittänyt</t>
  </si>
  <si>
    <t>cäncelöidä</t>
  </si>
  <si>
    <t>tietyn</t>
  </si>
  <si>
    <t>ihmisrymän</t>
  </si>
  <si>
    <t>heittämäänsä</t>
  </si>
  <si>
    <t>lokaa</t>
  </si>
  <si>
    <t>takaisin</t>
  </si>
  <si>
    <t>niskaan</t>
  </si>
  <si>
    <t>Eikä</t>
  </si>
  <si>
    <t>vähemmän</t>
  </si>
  <si>
    <t>yllättäen</t>
  </si>
  <si>
    <t>tunnukaan</t>
  </si>
  <si>
    <t>mukavalta</t>
  </si>
  <si>
    <t>Tyypillinen</t>
  </si>
  <si>
    <t>koulukiusaajamentaliteetti</t>
  </si>
  <si>
    <t>Tuohonkaan</t>
  </si>
  <si>
    <t>asemaan</t>
  </si>
  <si>
    <t>olisi</t>
  </si>
  <si>
    <t>tarvinnut</t>
  </si>
  <si>
    <t>päätyä</t>
  </si>
  <si>
    <t>rohkea</t>
  </si>
  <si>
    <t>Hän</t>
  </si>
  <si>
    <t>sanoi</t>
  </si>
  <si>
    <t>asia</t>
  </si>
  <si>
    <t>Koirat</t>
  </si>
  <si>
    <t>haukkuu</t>
  </si>
  <si>
    <t>mutta</t>
  </si>
  <si>
    <t>valjakko</t>
  </si>
  <si>
    <t>kulkee</t>
  </si>
  <si>
    <t>Katoppakö</t>
  </si>
  <si>
    <t>ainut</t>
  </si>
  <si>
    <t>ravintoloitsija</t>
  </si>
  <si>
    <t>Heitä</t>
  </si>
  <si>
    <t>paljon</t>
  </si>
  <si>
    <t>kuuluisia</t>
  </si>
  <si>
    <t>pienituloisempia</t>
  </si>
  <si>
    <t>Lisäksi</t>
  </si>
  <si>
    <t>siellä</t>
  </si>
  <si>
    <t>tavallisia</t>
  </si>
  <si>
    <t>ihmisiä</t>
  </si>
  <si>
    <t>joiden</t>
  </si>
  <si>
    <t>elinkeinosta</t>
  </si>
  <si>
    <t>kyse</t>
  </si>
  <si>
    <t>Passin</t>
  </si>
  <si>
    <t>kanssa</t>
  </si>
  <si>
    <t>he</t>
  </si>
  <si>
    <t>olla</t>
  </si>
  <si>
    <t>CpTheorist</t>
  </si>
  <si>
    <t>Osallistuiskohan</t>
  </si>
  <si>
    <t>tuohon</t>
  </si>
  <si>
    <t>Se</t>
  </si>
  <si>
    <t>alkaa</t>
  </si>
  <si>
    <t>jonossa</t>
  </si>
  <si>
    <t>kertomaan</t>
  </si>
  <si>
    <t>kuinka</t>
  </si>
  <si>
    <t>idiootteja</t>
  </si>
  <si>
    <t>rokottamattomat</t>
  </si>
  <si>
    <t>Sarkasmi</t>
  </si>
  <si>
    <t>taas</t>
  </si>
  <si>
    <t>aivan</t>
  </si>
  <si>
    <t>uuden</t>
  </si>
  <si>
    <t>määritelmän</t>
  </si>
  <si>
    <t>herättely</t>
  </si>
  <si>
    <t>katsomaan</t>
  </si>
  <si>
    <t>asioita</t>
  </si>
  <si>
    <t>eri</t>
  </si>
  <si>
    <t>näkökulmista</t>
  </si>
  <si>
    <t>sitä</t>
  </si>
  <si>
    <t>toiset</t>
  </si>
  <si>
    <t>ovat</t>
  </si>
  <si>
    <t>joille</t>
  </si>
  <si>
    <t>pitäisi</t>
  </si>
  <si>
    <t>lätkäistä</t>
  </si>
  <si>
    <t>tyhmyydestään</t>
  </si>
  <si>
    <t>lisävero</t>
  </si>
  <si>
    <t>yhdenvertaisuus</t>
  </si>
  <si>
    <t>Suutari</t>
  </si>
  <si>
    <t>pysyköön</t>
  </si>
  <si>
    <t>lestissään</t>
  </si>
  <si>
    <t>Ruokaa</t>
  </si>
  <si>
    <t>Hansvälimäki</t>
  </si>
  <si>
    <t>osaa</t>
  </si>
  <si>
    <t>siinä</t>
  </si>
  <si>
    <t>mestari</t>
  </si>
  <si>
    <t>älynlahjoiltaan</t>
  </si>
  <si>
    <t>keskinkertainen</t>
  </si>
  <si>
    <t>tai</t>
  </si>
  <si>
    <t>jopa</t>
  </si>
  <si>
    <t>tyhmä</t>
  </si>
  <si>
    <t>tuossa</t>
  </si>
  <si>
    <t>ollut</t>
  </si>
  <si>
    <t>pätkääkään</t>
  </si>
  <si>
    <t>Jos</t>
  </si>
  <si>
    <t>lusikalla</t>
  </si>
  <si>
    <t>annettu</t>
  </si>
  <si>
    <t>turha</t>
  </si>
  <si>
    <t>kauhalla</t>
  </si>
  <si>
    <t>täysin</t>
  </si>
  <si>
    <t>Natsipassista</t>
  </si>
  <si>
    <t>voi</t>
  </si>
  <si>
    <t>mitään</t>
  </si>
  <si>
    <t>Silti</t>
  </si>
  <si>
    <t>hänen</t>
  </si>
  <si>
    <t>koska</t>
  </si>
  <si>
    <t>Syöpää</t>
  </si>
  <si>
    <t>AkiKivirinta</t>
  </si>
  <si>
    <t>oikeassa</t>
  </si>
  <si>
    <t>Meitä</t>
  </si>
  <si>
    <t>passillisia</t>
  </si>
  <si>
    <t>valtaosa</t>
  </si>
  <si>
    <t>me</t>
  </si>
  <si>
    <t>kyllä</t>
  </si>
  <si>
    <t>osaamme</t>
  </si>
  <si>
    <t>päätellä</t>
  </si>
  <si>
    <t>mistä</t>
  </si>
  <si>
    <t>koostuu</t>
  </si>
  <si>
    <t>Riittää</t>
  </si>
  <si>
    <t>lukee</t>
  </si>
  <si>
    <t>lisäksi</t>
  </si>
  <si>
    <t>ne</t>
  </si>
  <si>
    <t>perustelut</t>
  </si>
  <si>
    <t>Käyn</t>
  </si>
  <si>
    <t>mieluummin</t>
  </si>
  <si>
    <t>turvallisessa</t>
  </si>
  <si>
    <t>eli</t>
  </si>
  <si>
    <t>sellaisessa</t>
  </si>
  <si>
    <t>joka</t>
  </si>
  <si>
    <t>kysyy</t>
  </si>
  <si>
    <t>koronapassin</t>
  </si>
  <si>
    <t>siis</t>
  </si>
  <si>
    <t>koko</t>
  </si>
  <si>
    <t>Elettäisiin</t>
  </si>
  <si>
    <t>EHTONA</t>
  </si>
  <si>
    <t>OLISI</t>
  </si>
  <si>
    <t>ROKOTEPASSI</t>
  </si>
  <si>
    <t>ilmeisesti</t>
  </si>
  <si>
    <t>TheGreatReset</t>
  </si>
  <si>
    <t>Vitun</t>
  </si>
  <si>
    <t>Häns</t>
  </si>
  <si>
    <t>skeida</t>
  </si>
  <si>
    <t>osuu</t>
  </si>
  <si>
    <t>flektiin</t>
  </si>
  <si>
    <t>kannanottonsa</t>
  </si>
  <si>
    <t>koronapassista</t>
  </si>
  <si>
    <t>Kuttaperkka</t>
  </si>
  <si>
    <t>Totta</t>
  </si>
  <si>
    <t>olen</t>
  </si>
  <si>
    <t>Kärnä</t>
  </si>
  <si>
    <t>Teemu</t>
  </si>
  <si>
    <t>Laajasalo</t>
  </si>
  <si>
    <t>Terveysfasisti</t>
  </si>
  <si>
    <t>tarjoileekin</t>
  </si>
  <si>
    <t>jatkossa</t>
  </si>
  <si>
    <t>varmaan</t>
  </si>
  <si>
    <t>vain</t>
  </si>
  <si>
    <t>vihanneksia</t>
  </si>
  <si>
    <t>höyrytettynä</t>
  </si>
  <si>
    <t>sellaisia</t>
  </si>
  <si>
    <t>missä</t>
  </si>
  <si>
    <t>paljoa</t>
  </si>
  <si>
    <t>fruktoosia</t>
  </si>
  <si>
    <t>ettei</t>
  </si>
  <si>
    <t>joku</t>
  </si>
  <si>
    <t>läski</t>
  </si>
  <si>
    <t>terveydellisiä</t>
  </si>
  <si>
    <t>oireita</t>
  </si>
  <si>
    <t>Missä</t>
  </si>
  <si>
    <t>Allergiapassi</t>
  </si>
  <si>
    <t>Läskipassi</t>
  </si>
  <si>
    <t>Röökipassi</t>
  </si>
  <si>
    <t>Suotta</t>
  </si>
  <si>
    <t>LindapauliinaQ</t>
  </si>
  <si>
    <t>Sukkola</t>
  </si>
  <si>
    <t>Naurettavinta</t>
  </si>
  <si>
    <t>lienee</t>
  </si>
  <si>
    <t>nämä</t>
  </si>
  <si>
    <t>huonoja</t>
  </si>
  <si>
    <t>arvosteluja</t>
  </si>
  <si>
    <t>jakavat</t>
  </si>
  <si>
    <t>eivät</t>
  </si>
  <si>
    <t>koskaan</t>
  </si>
  <si>
    <t>käyneet</t>
  </si>
  <si>
    <t>Välimäen</t>
  </si>
  <si>
    <t>Ruoka</t>
  </si>
  <si>
    <t>palvelu</t>
  </si>
  <si>
    <t>yhtä</t>
  </si>
  <si>
    <t>hyviä</t>
  </si>
  <si>
    <t>kuin</t>
  </si>
  <si>
    <t>ennen</t>
  </si>
  <si>
    <t>lausuntoa</t>
  </si>
  <si>
    <t>oma</t>
  </si>
  <si>
    <t>itsesi</t>
  </si>
  <si>
    <t>jatka</t>
  </si>
  <si>
    <t>hyvää</t>
  </si>
  <si>
    <t>ravintolatoimintaa</t>
  </si>
  <si>
    <t>Miksi</t>
  </si>
  <si>
    <t>ajatuksia</t>
  </si>
  <si>
    <t>siitä</t>
  </si>
  <si>
    <t>miten</t>
  </si>
  <si>
    <t>saataisiin</t>
  </si>
  <si>
    <t>Denialistikorppit</t>
  </si>
  <si>
    <t>välittömästi</t>
  </si>
  <si>
    <t>joukolla</t>
  </si>
  <si>
    <t>kimppuun</t>
  </si>
  <si>
    <t>rohkeasta</t>
  </si>
  <si>
    <t>mielipidevapauden</t>
  </si>
  <si>
    <t>vaalimisesta</t>
  </si>
  <si>
    <t>Sama</t>
  </si>
  <si>
    <t>hyökkäys</t>
  </si>
  <si>
    <t>tuli</t>
  </si>
  <si>
    <t>Sukkola'n</t>
  </si>
  <si>
    <t>Niikon</t>
  </si>
  <si>
    <t>matolääkejutun</t>
  </si>
  <si>
    <t>takia</t>
  </si>
  <si>
    <t>JariJyrkankoski</t>
  </si>
  <si>
    <t>Dimmu141</t>
  </si>
  <si>
    <t>Laitoin</t>
  </si>
  <si>
    <t>just</t>
  </si>
  <si>
    <t>viiden</t>
  </si>
  <si>
    <t>tähden</t>
  </si>
  <si>
    <t>arvostelun</t>
  </si>
  <si>
    <t>menemään</t>
  </si>
  <si>
    <t>Täytyy</t>
  </si>
  <si>
    <t>tulla</t>
  </si>
  <si>
    <t>syömään</t>
  </si>
  <si>
    <t>ehtii</t>
  </si>
  <si>
    <t>Jasmin_Kyllonen</t>
  </si>
  <si>
    <t>Nyt</t>
  </si>
  <si>
    <t>itkettää</t>
  </si>
  <si>
    <t>takaisinpäin</t>
  </si>
  <si>
    <t>Niin</t>
  </si>
  <si>
    <t>häismä</t>
  </si>
  <si>
    <t>voivansa</t>
  </si>
  <si>
    <t>laukoa</t>
  </si>
  <si>
    <t>seuraamuksitta</t>
  </si>
  <si>
    <t>makaa</t>
  </si>
  <si>
    <t>petaa</t>
  </si>
  <si>
    <t>Yäk</t>
  </si>
  <si>
    <t>Tasan</t>
  </si>
  <si>
    <t>henk</t>
  </si>
  <si>
    <t>koht</t>
  </si>
  <si>
    <t>Mielipiteestä</t>
  </si>
  <si>
    <t>vaan</t>
  </si>
  <si>
    <t>puolesta</t>
  </si>
  <si>
    <t>kirjoitti</t>
  </si>
  <si>
    <t>sairaan</t>
  </si>
  <si>
    <t>tekstinsä</t>
  </si>
  <si>
    <t>nimenomaan</t>
  </si>
  <si>
    <t>elinkeinonsa</t>
  </si>
  <si>
    <t>Kantakoot</t>
  </si>
  <si>
    <t>vastuun</t>
  </si>
  <si>
    <t>sanoistaan</t>
  </si>
  <si>
    <t>jaksaa</t>
  </si>
  <si>
    <t>nillittää</t>
  </si>
  <si>
    <t>milloin</t>
  </si>
  <si>
    <t>mistäkin</t>
  </si>
  <si>
    <t>Hävytön</t>
  </si>
  <si>
    <t>selkärangaton</t>
  </si>
  <si>
    <t>Aikuinen</t>
  </si>
  <si>
    <t>pelkää</t>
  </si>
  <si>
    <t>niin</t>
  </si>
  <si>
    <t>oksentaa</t>
  </si>
  <si>
    <t>paha</t>
  </si>
  <si>
    <t>olo</t>
  </si>
  <si>
    <t>lehteen</t>
  </si>
  <si>
    <t>äidin</t>
  </si>
  <si>
    <t>Hansukka</t>
  </si>
  <si>
    <t>kaikkuun</t>
  </si>
  <si>
    <t>silitellen</t>
  </si>
  <si>
    <t>järjestyy</t>
  </si>
  <si>
    <t>PankFrappa</t>
  </si>
  <si>
    <t>HuuhtanenPanu</t>
  </si>
  <si>
    <t>sortui</t>
  </si>
  <si>
    <t>käyttämään</t>
  </si>
  <si>
    <t>sanaa</t>
  </si>
  <si>
    <t>yksi</t>
  </si>
  <si>
    <t>iso</t>
  </si>
  <si>
    <t>virhe</t>
  </si>
  <si>
    <t>voinut</t>
  </si>
  <si>
    <t>helpommalla</t>
  </si>
  <si>
    <t>jos</t>
  </si>
  <si>
    <t>tarkemmmin</t>
  </si>
  <si>
    <t>metsä</t>
  </si>
  <si>
    <t>vastaa</t>
  </si>
  <si>
    <t>sinne</t>
  </si>
  <si>
    <t>huudetaan</t>
  </si>
  <si>
    <t>Kuka</t>
  </si>
  <si>
    <t>Jumppa</t>
  </si>
  <si>
    <t>kertoi</t>
  </si>
  <si>
    <t>noi</t>
  </si>
  <si>
    <t>jalapenoja</t>
  </si>
  <si>
    <t>ni</t>
  </si>
  <si>
    <t>niiden</t>
  </si>
  <si>
    <t>teki</t>
  </si>
  <si>
    <t>yllätysratkaisun</t>
  </si>
  <si>
    <t>taustalla</t>
  </si>
  <si>
    <t>koronakommentti</t>
  </si>
  <si>
    <t>uutiset</t>
  </si>
  <si>
    <t>kannabis</t>
  </si>
  <si>
    <t>hamppu</t>
  </si>
  <si>
    <t>Nythän</t>
  </si>
  <si>
    <t>jo</t>
  </si>
  <si>
    <t>pyysi</t>
  </si>
  <si>
    <t>tota</t>
  </si>
  <si>
    <t>päivitystä</t>
  </si>
  <si>
    <t>Oliko</t>
  </si>
  <si>
    <t>kirjottanu</t>
  </si>
  <si>
    <t>sen</t>
  </si>
  <si>
    <t>vitutuksissaan</t>
  </si>
  <si>
    <t>vai</t>
  </si>
  <si>
    <t>kännissä</t>
  </si>
  <si>
    <t>tuskin</t>
  </si>
  <si>
    <t>saamme</t>
  </si>
  <si>
    <t>MikaelGabriel</t>
  </si>
  <si>
    <t>PieroVentura5</t>
  </si>
  <si>
    <t>Tätä</t>
  </si>
  <si>
    <t>haluaa</t>
  </si>
  <si>
    <t>kaikille</t>
  </si>
  <si>
    <t>myös</t>
  </si>
  <si>
    <t>koronarajoitukset</t>
  </si>
  <si>
    <t>koronarokote</t>
  </si>
  <si>
    <t>sinulla</t>
  </si>
  <si>
    <t>oikeus</t>
  </si>
  <si>
    <t>mielipiteesi</t>
  </si>
  <si>
    <t>omin</t>
  </si>
  <si>
    <t>sanoin</t>
  </si>
  <si>
    <t>ajattelet</t>
  </si>
  <si>
    <t>olevan</t>
  </si>
  <si>
    <t>kerroit</t>
  </si>
  <si>
    <t>oman</t>
  </si>
  <si>
    <t>kantasi</t>
  </si>
  <si>
    <t>pyytelet</t>
  </si>
  <si>
    <t>omia</t>
  </si>
  <si>
    <t>sanoja</t>
  </si>
  <si>
    <t>sanonut</t>
  </si>
  <si>
    <t>toisteli</t>
  </si>
  <si>
    <t>toisten</t>
  </si>
  <si>
    <t>kertomaa</t>
  </si>
  <si>
    <t>mantraa</t>
  </si>
  <si>
    <t>Toistelitko</t>
  </si>
  <si>
    <t>Meinaakohan</t>
  </si>
  <si>
    <t>PetteriOrpo</t>
  </si>
  <si>
    <t>lähtee</t>
  </si>
  <si>
    <t>yhdessä</t>
  </si>
  <si>
    <t>toreille</t>
  </si>
  <si>
    <t>ääniä</t>
  </si>
  <si>
    <t>kalastamaan</t>
  </si>
  <si>
    <t>Molemmat</t>
  </si>
  <si>
    <t>rakastuneita</t>
  </si>
  <si>
    <t>kolmos</t>
  </si>
  <si>
    <t>piikkiin</t>
  </si>
  <si>
    <t>sä</t>
  </si>
  <si>
    <t>voit</t>
  </si>
  <si>
    <t>sun</t>
  </si>
  <si>
    <t>asiakkailta</t>
  </si>
  <si>
    <t>kolme</t>
  </si>
  <si>
    <t>piikkiä</t>
  </si>
  <si>
    <t>sovitaan</t>
  </si>
  <si>
    <t>muita</t>
  </si>
  <si>
    <t>ravintoloihisi</t>
  </si>
  <si>
    <t>TimoVir20213018</t>
  </si>
  <si>
    <t>tänä</t>
  </si>
  <si>
    <t>aikana</t>
  </si>
  <si>
    <t>nousee</t>
  </si>
  <si>
    <t>esiin</t>
  </si>
  <si>
    <t>järjettömine</t>
  </si>
  <si>
    <t>vihapuheineen</t>
  </si>
  <si>
    <t>itselle</t>
  </si>
  <si>
    <t>olemme</t>
  </si>
  <si>
    <t>lähellä</t>
  </si>
  <si>
    <t>kuplan</t>
  </si>
  <si>
    <t>puhkeamista</t>
  </si>
  <si>
    <t>kokin</t>
  </si>
  <si>
    <t>papereilla</t>
  </si>
  <si>
    <t>pandemia</t>
  </si>
  <si>
    <t>loppuu</t>
  </si>
  <si>
    <t>rokottamalla</t>
  </si>
  <si>
    <t>sanonko</t>
  </si>
  <si>
    <t>kaksnaamainen</t>
  </si>
  <si>
    <t>Ravintolat</t>
  </si>
  <si>
    <t>tärkeintä</t>
  </si>
  <si>
    <t>Välimäeltä</t>
  </si>
  <si>
    <t>raju</t>
  </si>
  <si>
    <t>ulostulo</t>
  </si>
  <si>
    <t>karut</t>
  </si>
  <si>
    <t>seuraukset</t>
  </si>
  <si>
    <t>Olen</t>
  </si>
  <si>
    <t>pahoillani</t>
  </si>
  <si>
    <t>HansVaelimaeki</t>
  </si>
  <si>
    <t>Oletko</t>
  </si>
  <si>
    <t>kovemman</t>
  </si>
  <si>
    <t>luokan</t>
  </si>
  <si>
    <t>rassisti</t>
  </si>
  <si>
    <t>Sanoit</t>
  </si>
  <si>
    <t>kiireellistä</t>
  </si>
  <si>
    <t>järjettömillä</t>
  </si>
  <si>
    <t>verukkeilla</t>
  </si>
  <si>
    <t>Varmaankin</t>
  </si>
  <si>
    <t>olet</t>
  </si>
  <si>
    <t>tietoinen</t>
  </si>
  <si>
    <t>puihuit</t>
  </si>
  <si>
    <t>matuista</t>
  </si>
  <si>
    <t>Ovat</t>
  </si>
  <si>
    <t>gt</t>
  </si>
  <si>
    <t>tukkijoista</t>
  </si>
  <si>
    <t>sitäsaamitätulaa</t>
  </si>
  <si>
    <t>boikottiin</t>
  </si>
  <si>
    <t>Olisiko</t>
  </si>
  <si>
    <t>aika</t>
  </si>
  <si>
    <t>pyörähtää</t>
  </si>
  <si>
    <t>ohjelmassa</t>
  </si>
  <si>
    <t>Pääkoppa</t>
  </si>
  <si>
    <t>kuntoon</t>
  </si>
  <si>
    <t>Mistä</t>
  </si>
  <si>
    <t>näitä</t>
  </si>
  <si>
    <t>valelääkäreitä</t>
  </si>
  <si>
    <t>oikein</t>
  </si>
  <si>
    <t>sikiää</t>
  </si>
  <si>
    <t>Ai</t>
  </si>
  <si>
    <t>äitiensä</t>
  </si>
  <si>
    <t>persereikien</t>
  </si>
  <si>
    <t>suunnalta</t>
  </si>
  <si>
    <t>Tällä</t>
  </si>
  <si>
    <t>kertaa</t>
  </si>
  <si>
    <t>kenen</t>
  </si>
  <si>
    <t>tilanne</t>
  </si>
  <si>
    <t>loronan</t>
  </si>
  <si>
    <t>Suomessa</t>
  </si>
  <si>
    <t>mikä</t>
  </si>
  <si>
    <t>Huh</t>
  </si>
  <si>
    <t>tämäkin</t>
  </si>
  <si>
    <t>suksi</t>
  </si>
  <si>
    <t>vittuun</t>
  </si>
  <si>
    <t>Tää</t>
  </si>
  <si>
    <t>hauskin</t>
  </si>
  <si>
    <t>ketju</t>
  </si>
  <si>
    <t>vähään</t>
  </si>
  <si>
    <t>aikaan</t>
  </si>
  <si>
    <t>persaukiset</t>
  </si>
  <si>
    <t>foliot</t>
  </si>
  <si>
    <t>kyynelsilmässä</t>
  </si>
  <si>
    <t>uhkaa</t>
  </si>
  <si>
    <t>boikotoida</t>
  </si>
  <si>
    <t>ravintolaa</t>
  </si>
  <si>
    <t>Npc12471</t>
  </si>
  <si>
    <t>Ahaa</t>
  </si>
  <si>
    <t>sää</t>
  </si>
  <si>
    <t>oot</t>
  </si>
  <si>
    <t>väkee</t>
  </si>
  <si>
    <t>mihin</t>
  </si>
  <si>
    <t>parempi</t>
  </si>
  <si>
    <t>nakkikastike</t>
  </si>
  <si>
    <t>uppoo</t>
  </si>
  <si>
    <t>vitsi</t>
  </si>
  <si>
    <t>vaihtaisiko</t>
  </si>
  <si>
    <t>the</t>
  </si>
  <si>
    <t>mielipiteensä</t>
  </si>
  <si>
    <t>miksattaisiin</t>
  </si>
  <si>
    <t>rokotepassiin</t>
  </si>
  <si>
    <t>MKorja</t>
  </si>
  <si>
    <t>PING</t>
  </si>
  <si>
    <t>Idiootti</t>
  </si>
  <si>
    <t>Ostan</t>
  </si>
  <si>
    <t>sinulle</t>
  </si>
  <si>
    <t>hame</t>
  </si>
  <si>
    <t>kankaan</t>
  </si>
  <si>
    <t>Olit</t>
  </si>
  <si>
    <t>suomalaisista</t>
  </si>
  <si>
    <t>esikuvista</t>
  </si>
  <si>
    <t>u</t>
  </si>
  <si>
    <t>ruoan</t>
  </si>
  <si>
    <t>laiton</t>
  </si>
  <si>
    <t>enään</t>
  </si>
  <si>
    <t>Mulla</t>
  </si>
  <si>
    <t>puolisolla</t>
  </si>
  <si>
    <t>täysi</t>
  </si>
  <si>
    <t>urpo</t>
  </si>
  <si>
    <t>Vittu</t>
  </si>
  <si>
    <t>täällä</t>
  </si>
  <si>
    <t>liikenteessä</t>
  </si>
  <si>
    <t>HenriAlen</t>
  </si>
  <si>
    <t>eläviä</t>
  </si>
  <si>
    <t>esimerkkejä</t>
  </si>
  <si>
    <t>miksi</t>
  </si>
  <si>
    <t>tämä</t>
  </si>
  <si>
    <t>erittäin</t>
  </si>
  <si>
    <t>osuva</t>
  </si>
  <si>
    <t>Okei</t>
  </si>
  <si>
    <t>alan</t>
  </si>
  <si>
    <t>kallistua</t>
  </si>
  <si>
    <t>siihen</t>
  </si>
  <si>
    <t>suuntaan</t>
  </si>
  <si>
    <t>ravintoloitsijat</t>
  </si>
  <si>
    <t>voivat</t>
  </si>
  <si>
    <t>kärsiä</t>
  </si>
  <si>
    <t>Henri</t>
  </si>
  <si>
    <t>Alen</t>
  </si>
  <si>
    <t>pahimpia</t>
  </si>
  <si>
    <t>hirviöitä</t>
  </si>
  <si>
    <t>rahat</t>
  </si>
  <si>
    <t>loppuis</t>
  </si>
  <si>
    <t>heiltäkin</t>
  </si>
  <si>
    <t>säälittävä</t>
  </si>
  <si>
    <t>yrittäjiä</t>
  </si>
  <si>
    <t>kohdeltu</t>
  </si>
  <si>
    <t>kaltoin</t>
  </si>
  <si>
    <t>hallitusta</t>
  </si>
  <si>
    <t>uskalla</t>
  </si>
  <si>
    <t>kiukutella</t>
  </si>
  <si>
    <t>vihansa</t>
  </si>
  <si>
    <t>syytökset</t>
  </si>
  <si>
    <t>säästää</t>
  </si>
  <si>
    <t>Spede</t>
  </si>
  <si>
    <t>Mikäli</t>
  </si>
  <si>
    <t>tapaus</t>
  </si>
  <si>
    <t>asioiden</t>
  </si>
  <si>
    <t>syvää</t>
  </si>
  <si>
    <t>pohdintaa</t>
  </si>
  <si>
    <t>mahdollisen</t>
  </si>
  <si>
    <t>muutoksen</t>
  </si>
  <si>
    <t>tästä</t>
  </si>
  <si>
    <t>seurata</t>
  </si>
  <si>
    <t>hyvääkin</t>
  </si>
  <si>
    <t>Mitenhän</t>
  </si>
  <si>
    <t>mahtaa</t>
  </si>
  <si>
    <t>Yrittäjillä</t>
  </si>
  <si>
    <t>silti</t>
  </si>
  <si>
    <t>Myös</t>
  </si>
  <si>
    <t>Sillä</t>
  </si>
  <si>
    <t>emme</t>
  </si>
  <si>
    <t>Ps</t>
  </si>
  <si>
    <t>vielä</t>
  </si>
  <si>
    <t>ToivoValo</t>
  </si>
  <si>
    <t>tuo</t>
  </si>
  <si>
    <t>pieni</t>
  </si>
  <si>
    <t>rotta</t>
  </si>
  <si>
    <t>IPiikki</t>
  </si>
  <si>
    <t>kyseessä</t>
  </si>
  <si>
    <t>sarkastinen</t>
  </si>
  <si>
    <t>kirjoitus</t>
  </si>
  <si>
    <t>Voin</t>
  </si>
  <si>
    <t>kuvitella</t>
  </si>
  <si>
    <t>oho</t>
  </si>
  <si>
    <t>paisui</t>
  </si>
  <si>
    <t>tän</t>
  </si>
  <si>
    <t>seivata</t>
  </si>
  <si>
    <t>Heiiiii</t>
  </si>
  <si>
    <t>olikin</t>
  </si>
  <si>
    <t>ettekö</t>
  </si>
  <si>
    <t>te</t>
  </si>
  <si>
    <t>huumoria</t>
  </si>
  <si>
    <t>ymmärrä</t>
  </si>
  <si>
    <t>Elämä</t>
  </si>
  <si>
    <t>normaalille</t>
  </si>
  <si>
    <t>tasolle</t>
  </si>
  <si>
    <t>nopeasti</t>
  </si>
  <si>
    <t>kokotteet</t>
  </si>
  <si>
    <t>väkisin</t>
  </si>
  <si>
    <t>minulla</t>
  </si>
  <si>
    <t>muuta</t>
  </si>
  <si>
    <t>Peace</t>
  </si>
  <si>
    <t>piikkinatsi</t>
  </si>
  <si>
    <t>tukholmasyndrooma</t>
  </si>
  <si>
    <t>governmeharder</t>
  </si>
  <si>
    <t>joo</t>
  </si>
  <si>
    <t>tarvii</t>
  </si>
  <si>
    <t>odottaa</t>
  </si>
  <si>
    <t>turisti</t>
  </si>
  <si>
    <t>porukkaa</t>
  </si>
  <si>
    <t>ravintolaan</t>
  </si>
  <si>
    <t>Hyvä</t>
  </si>
  <si>
    <t>uskaltaa</t>
  </si>
  <si>
    <t>aikaa</t>
  </si>
  <si>
    <t>Täyttä</t>
  </si>
  <si>
    <t>asiaa</t>
  </si>
  <si>
    <t>kirjoituksesi</t>
  </si>
  <si>
    <t>Tuon</t>
  </si>
  <si>
    <t>kansan</t>
  </si>
  <si>
    <t>yhdistäjä</t>
  </si>
  <si>
    <t>Erikoisesti</t>
  </si>
  <si>
    <t>katkeruus</t>
  </si>
  <si>
    <t>kanavoituu</t>
  </si>
  <si>
    <t>kaukana</t>
  </si>
  <si>
    <t>todellisuudesta</t>
  </si>
  <si>
    <t>Matkustella</t>
  </si>
  <si>
    <t>tuoda</t>
  </si>
  <si>
    <t>uusia</t>
  </si>
  <si>
    <t>variantteja</t>
  </si>
  <si>
    <t>äly</t>
  </si>
  <si>
    <t>hoi</t>
  </si>
  <si>
    <t>passikaan</t>
  </si>
  <si>
    <t>Totaalinen</t>
  </si>
  <si>
    <t>lockdown</t>
  </si>
  <si>
    <t>järkevin</t>
  </si>
  <si>
    <t>pöpön</t>
  </si>
  <si>
    <t>kärsii</t>
  </si>
  <si>
    <t>Ja</t>
  </si>
  <si>
    <t>nuhahan</t>
  </si>
  <si>
    <t>ajaa</t>
  </si>
  <si>
    <t>omaa</t>
  </si>
  <si>
    <t>agendaansa</t>
  </si>
  <si>
    <t>jotta</t>
  </si>
  <si>
    <t>raflat</t>
  </si>
  <si>
    <t>estä</t>
  </si>
  <si>
    <t>yhtään</t>
  </si>
  <si>
    <t>ÄO</t>
  </si>
  <si>
    <t>todella</t>
  </si>
  <si>
    <t>alhainen</t>
  </si>
  <si>
    <t>näin</t>
  </si>
  <si>
    <t>Passia</t>
  </si>
  <si>
    <t>kysellään</t>
  </si>
  <si>
    <t>syö</t>
  </si>
  <si>
    <t>paikanpäällä</t>
  </si>
  <si>
    <t>kysytä</t>
  </si>
  <si>
    <t>mukaan</t>
  </si>
  <si>
    <t>istuskella</t>
  </si>
  <si>
    <t>saman</t>
  </si>
  <si>
    <t>odottamassa</t>
  </si>
  <si>
    <t>nostatti</t>
  </si>
  <si>
    <t>myrskyn</t>
  </si>
  <si>
    <t>esittämällä</t>
  </si>
  <si>
    <t>rokotepassin</t>
  </si>
  <si>
    <t>käyttöönottoa</t>
  </si>
  <si>
    <t>pahoittelee</t>
  </si>
  <si>
    <t>ulostuloaan</t>
  </si>
  <si>
    <t>Sai</t>
  </si>
  <si>
    <t>käsittämättömät</t>
  </si>
  <si>
    <t>mittasuhteet</t>
  </si>
  <si>
    <t>HansValimaki</t>
  </si>
  <si>
    <t>Lausuntosi</t>
  </si>
  <si>
    <t>Iltalehdessä</t>
  </si>
  <si>
    <t>anna</t>
  </si>
  <si>
    <t>mairittelevaa</t>
  </si>
  <si>
    <t>kuvaa</t>
  </si>
  <si>
    <t>ajattelusi</t>
  </si>
  <si>
    <t>taustoista</t>
  </si>
  <si>
    <t>Kannattais</t>
  </si>
  <si>
    <t>miettiä</t>
  </si>
  <si>
    <t>sano</t>
  </si>
  <si>
    <t>ajattelee</t>
  </si>
  <si>
    <t>Keskity</t>
  </si>
  <si>
    <t>kastikkeisiin</t>
  </si>
  <si>
    <t>Hansille</t>
  </si>
  <si>
    <t>todellisuus</t>
  </si>
  <si>
    <t>haltuun</t>
  </si>
  <si>
    <t>näillä</t>
  </si>
  <si>
    <t>tilastoilla</t>
  </si>
  <si>
    <t>On</t>
  </si>
  <si>
    <t>ajatus</t>
  </si>
  <si>
    <t>vuotiaan</t>
  </si>
  <si>
    <t>nuoren</t>
  </si>
  <si>
    <t>koronarokotus</t>
  </si>
  <si>
    <t>jonka</t>
  </si>
  <si>
    <t>haitat</t>
  </si>
  <si>
    <t>kohdallaan</t>
  </si>
  <si>
    <t>todennäköisesti</t>
  </si>
  <si>
    <t>suurempi</t>
  </si>
  <si>
    <t>hyöty</t>
  </si>
  <si>
    <t>mikään</t>
  </si>
  <si>
    <t>vitamiini</t>
  </si>
  <si>
    <t>vaaraton</t>
  </si>
  <si>
    <t>Todella</t>
  </si>
  <si>
    <t>törkeää</t>
  </si>
  <si>
    <t>tekstiä</t>
  </si>
  <si>
    <t>pitäisikö</t>
  </si>
  <si>
    <t>erillisvero</t>
  </si>
  <si>
    <t>ylipainoisille</t>
  </si>
  <si>
    <t>alkoholin</t>
  </si>
  <si>
    <t>käyttäjille</t>
  </si>
  <si>
    <t>hehän</t>
  </si>
  <si>
    <t>vuodesta</t>
  </si>
  <si>
    <t>toiseen</t>
  </si>
  <si>
    <t>kuormittavat</t>
  </si>
  <si>
    <t>terveydenhuoltoa</t>
  </si>
  <si>
    <t>eniten</t>
  </si>
  <si>
    <t>Järkyttävää</t>
  </si>
  <si>
    <t>ajatella</t>
  </si>
  <si>
    <t>Aivan</t>
  </si>
  <si>
    <t>mahtavaa</t>
  </si>
  <si>
    <t>kahden</t>
  </si>
  <si>
    <t>kerroksen</t>
  </si>
  <si>
    <t>perustuslaki</t>
  </si>
  <si>
    <t>JKallila</t>
  </si>
  <si>
    <t>Hyi</t>
  </si>
  <si>
    <t>saatana</t>
  </si>
  <si>
    <t>lisäks</t>
  </si>
  <si>
    <t>Omat</t>
  </si>
  <si>
    <t>Paras</t>
  </si>
  <si>
    <t>mahdollinen</t>
  </si>
  <si>
    <t>tapa</t>
  </si>
  <si>
    <t>hallaa</t>
  </si>
  <si>
    <t>yritystoiminnalleen</t>
  </si>
  <si>
    <t>purkaa</t>
  </si>
  <si>
    <t>pahaa</t>
  </si>
  <si>
    <t>oloaan</t>
  </si>
  <si>
    <t>potentiaalisia</t>
  </si>
  <si>
    <t>asiakkaita</t>
  </si>
  <si>
    <t>Hallitus</t>
  </si>
  <si>
    <t>kuppiloitanne</t>
  </si>
  <si>
    <t>suljettuna</t>
  </si>
  <si>
    <t>Yhdistäisitte</t>
  </si>
  <si>
    <t>voimanne</t>
  </si>
  <si>
    <t>polarisaatiota</t>
  </si>
  <si>
    <t>vastaan</t>
  </si>
  <si>
    <t>JRiihijarvi</t>
  </si>
  <si>
    <t>Kuuluu</t>
  </si>
  <si>
    <t>suunnitelmaan</t>
  </si>
  <si>
    <t>epätoivoiset</t>
  </si>
  <si>
    <t>yrittäjät</t>
  </si>
  <si>
    <t>rukoilevat</t>
  </si>
  <si>
    <t>rokotepassia</t>
  </si>
  <si>
    <t>käyttöön</t>
  </si>
  <si>
    <t>voidakseen</t>
  </si>
  <si>
    <t>jotenkin</t>
  </si>
  <si>
    <t>jatkaa</t>
  </si>
  <si>
    <t>yrittämistä</t>
  </si>
  <si>
    <t>Laitanpa</t>
  </si>
  <si>
    <t>moraali</t>
  </si>
  <si>
    <t>MaRa</t>
  </si>
  <si>
    <t>tollo</t>
  </si>
  <si>
    <t>veti</t>
  </si>
  <si>
    <t>pohjat</t>
  </si>
  <si>
    <t>Täysboikottiin</t>
  </si>
  <si>
    <t>tämän</t>
  </si>
  <si>
    <t>pääsee</t>
  </si>
  <si>
    <t>pian</t>
  </si>
  <si>
    <t>TE</t>
  </si>
  <si>
    <t>toimistoon</t>
  </si>
  <si>
    <t>etsimään</t>
  </si>
  <si>
    <t>perunankuorijan</t>
  </si>
  <si>
    <t>paikkaa</t>
  </si>
  <si>
    <t>jostakin</t>
  </si>
  <si>
    <t>kouluruokalasta</t>
  </si>
  <si>
    <t>Mikä</t>
  </si>
  <si>
    <t>tiededenialisti</t>
  </si>
  <si>
    <t>Juurihan</t>
  </si>
  <si>
    <t>nähtiin</t>
  </si>
  <si>
    <t>hyvin</t>
  </si>
  <si>
    <t>jaellaan</t>
  </si>
  <si>
    <t>klubilla</t>
  </si>
  <si>
    <t>kielareita</t>
  </si>
  <si>
    <t>terveyspassin</t>
  </si>
  <si>
    <t>Kyl</t>
  </si>
  <si>
    <t>voidaan</t>
  </si>
  <si>
    <t>avata</t>
  </si>
  <si>
    <t>hyväksyä</t>
  </si>
  <si>
    <t>Rokote</t>
  </si>
  <si>
    <t>passi</t>
  </si>
  <si>
    <t>pelasta</t>
  </si>
  <si>
    <t>jatkoon</t>
  </si>
  <si>
    <t>seurantaan</t>
  </si>
  <si>
    <t>kannateta</t>
  </si>
  <si>
    <t>toi</t>
  </si>
  <si>
    <t>AnnaJrvinen7</t>
  </si>
  <si>
    <t>EHaltmar</t>
  </si>
  <si>
    <t>Välimäkikin</t>
  </si>
  <si>
    <t>osoittautui</t>
  </si>
  <si>
    <t>yhdeksi</t>
  </si>
  <si>
    <t>kusipääksi</t>
  </si>
  <si>
    <t>Plandemia</t>
  </si>
  <si>
    <t>paljastanut</t>
  </si>
  <si>
    <t>monen</t>
  </si>
  <si>
    <t>ihmisen</t>
  </si>
  <si>
    <t>todellisen</t>
  </si>
  <si>
    <t>luonteen</t>
  </si>
  <si>
    <t>takuulla</t>
  </si>
  <si>
    <t>päänsä</t>
  </si>
  <si>
    <t>kiinni</t>
  </si>
  <si>
    <t>mikäli</t>
  </si>
  <si>
    <t>rokotuskattavuus</t>
  </si>
  <si>
    <t>päinvastoin</t>
  </si>
  <si>
    <t>van</t>
  </si>
  <si>
    <t>noin</t>
  </si>
  <si>
    <t>rokotettuja</t>
  </si>
  <si>
    <t>Raukkamainen</t>
  </si>
  <si>
    <t>nilkki</t>
  </si>
  <si>
    <t>kävi</t>
  </si>
  <si>
    <t>aukomaan</t>
  </si>
  <si>
    <t>ig</t>
  </si>
  <si>
    <t>ssä</t>
  </si>
  <si>
    <t>päätään</t>
  </si>
  <si>
    <t>fantasioi</t>
  </si>
  <si>
    <t>Kanadan</t>
  </si>
  <si>
    <t>natsimeininkistä</t>
  </si>
  <si>
    <t>alkoi</t>
  </si>
  <si>
    <t>lunta</t>
  </si>
  <si>
    <t>tupaan</t>
  </si>
  <si>
    <t>pula</t>
  </si>
  <si>
    <t>ajan</t>
  </si>
  <si>
    <t>kylmäkkö</t>
  </si>
  <si>
    <t>sulki</t>
  </si>
  <si>
    <t>kommentoinnin</t>
  </si>
  <si>
    <t>viestit</t>
  </si>
  <si>
    <t>Sieg</t>
  </si>
  <si>
    <t>heil</t>
  </si>
  <si>
    <t>Me</t>
  </si>
  <si>
    <t>nauretaan</t>
  </si>
  <si>
    <t>sulle</t>
  </si>
  <si>
    <t>nauraa</t>
  </si>
  <si>
    <t>useampikin</t>
  </si>
  <si>
    <t>lähiaikoina</t>
  </si>
  <si>
    <t>Ladys</t>
  </si>
  <si>
    <t>and</t>
  </si>
  <si>
    <t>playboys</t>
  </si>
  <si>
    <t>Landa</t>
  </si>
  <si>
    <t>wwwMaRafi</t>
  </si>
  <si>
    <t>MarinSanna</t>
  </si>
  <si>
    <t>AnnikaSaarikko</t>
  </si>
  <si>
    <t>näistä</t>
  </si>
  <si>
    <t>viisikko</t>
  </si>
  <si>
    <t>tukitoimet</t>
  </si>
  <si>
    <t>puhuikin</t>
  </si>
  <si>
    <t>Mut</t>
  </si>
  <si>
    <t>pelkkää</t>
  </si>
  <si>
    <t>paskaahan</t>
  </si>
  <si>
    <t>MikaLintila</t>
  </si>
  <si>
    <t>TuulaHaatainen</t>
  </si>
  <si>
    <t>jne</t>
  </si>
  <si>
    <t>päättäjät</t>
  </si>
  <si>
    <t>puhuvat</t>
  </si>
  <si>
    <t>kohta</t>
  </si>
  <si>
    <t>tradeka</t>
  </si>
  <si>
    <t>lla</t>
  </si>
  <si>
    <t>helppo</t>
  </si>
  <si>
    <t>ostaa</t>
  </si>
  <si>
    <t>itelleen</t>
  </si>
  <si>
    <t>koronatuet</t>
  </si>
  <si>
    <t>Demarit</t>
  </si>
  <si>
    <t>mulkun</t>
  </si>
  <si>
    <t>näköinen</t>
  </si>
  <si>
    <t>tekisi</t>
  </si>
  <si>
    <t>mieli</t>
  </si>
  <si>
    <t>vetää</t>
  </si>
  <si>
    <t>turpaan</t>
  </si>
  <si>
    <t>pelkästään</t>
  </si>
  <si>
    <t>pärstän</t>
  </si>
  <si>
    <t>kuikelo</t>
  </si>
  <si>
    <t>Kukaan</t>
  </si>
  <si>
    <t>kauaa</t>
  </si>
  <si>
    <t>viihdy</t>
  </si>
  <si>
    <t>keittiöissä</t>
  </si>
  <si>
    <t>Akkakin</t>
  </si>
  <si>
    <t>tajusi</t>
  </si>
  <si>
    <t>lähteä</t>
  </si>
  <si>
    <t>MeetsLight</t>
  </si>
  <si>
    <t>aiemmin</t>
  </si>
  <si>
    <t>aikaisemmin</t>
  </si>
  <si>
    <t>aikaisin</t>
  </si>
  <si>
    <t>aikajen</t>
  </si>
  <si>
    <t>aikoina</t>
  </si>
  <si>
    <t>aikoo</t>
  </si>
  <si>
    <t>aikovat</t>
  </si>
  <si>
    <t>ainakaan</t>
  </si>
  <si>
    <t>ainakin</t>
  </si>
  <si>
    <t>ainoa</t>
  </si>
  <si>
    <t>ainoat</t>
  </si>
  <si>
    <t>aiomme</t>
  </si>
  <si>
    <t>aion</t>
  </si>
  <si>
    <t>aiotte</t>
  </si>
  <si>
    <t>aist</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</si>
  <si>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</si>
  <si>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</si>
  <si>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</si>
  <si>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</si>
  <si>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</si>
  <si>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</si>
  <si>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</si>
  <si>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</si>
  <si>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</si>
  <si>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</si>
  <si>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</si>
  <si>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</si>
  <si>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</si>
  <si>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</si>
  <si>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</si>
  <si>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</si>
  <si>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</si>
  <si>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</si>
  <si>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</si>
  <si>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</si>
  <si>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</si>
  <si>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</si>
  <si>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</si>
  <si>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</si>
  <si>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</si>
  <si>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</si>
  <si>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</si>
  <si>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</si>
  <si>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</si>
  <si>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</si>
  <si>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antaa</t>
  </si>
  <si>
    <t>antamatta</t>
  </si>
  <si>
    <t>antoi</t>
  </si>
  <si>
    <t>aoua</t>
  </si>
  <si>
    <t>apu</t>
  </si>
  <si>
    <t>asian</t>
  </si>
  <si>
    <t>asiasta</t>
  </si>
  <si>
    <t>asiat</t>
  </si>
  <si>
    <t>asioihin</t>
  </si>
  <si>
    <t>asti</t>
  </si>
  <si>
    <t>avuksi</t>
  </si>
  <si>
    <t>avulla</t>
  </si>
  <si>
    <t>avun</t>
  </si>
  <si>
    <t>avutta</t>
  </si>
  <si>
    <t>edellä</t>
  </si>
  <si>
    <t>edelle</t>
  </si>
  <si>
    <t>edeltä</t>
  </si>
  <si>
    <t>edemmäs</t>
  </si>
  <si>
    <t>edessä</t>
  </si>
  <si>
    <t>edestä</t>
  </si>
  <si>
    <t>eilen</t>
  </si>
  <si>
    <t>ellei</t>
  </si>
  <si>
    <t>elleivät</t>
  </si>
  <si>
    <t>ellemme</t>
  </si>
  <si>
    <t>ellen</t>
  </si>
  <si>
    <t>ellet</t>
  </si>
  <si>
    <t>ellette</t>
  </si>
  <si>
    <t>enemmän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</si>
  <si>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</si>
  <si>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</si>
  <si>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</si>
  <si>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</si>
  <si>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</si>
  <si>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</si>
  <si>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</si>
  <si>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</si>
  <si>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</si>
  <si>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</si>
  <si>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</si>
  <si>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</si>
  <si>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</si>
  <si>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</si>
  <si>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</si>
  <si>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</si>
  <si>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</si>
  <si>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</si>
  <si>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</si>
  <si>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erityisesti</t>
  </si>
  <si>
    <t>esi</t>
  </si>
  <si>
    <t>esillä</t>
  </si>
  <si>
    <t>esimerkiksi</t>
  </si>
  <si>
    <t>eteen</t>
  </si>
  <si>
    <t>etenkin</t>
  </si>
  <si>
    <t>ette</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</si>
  <si>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</si>
  <si>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</si>
  <si>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</si>
  <si>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</si>
  <si>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</si>
  <si>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</si>
  <si>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</si>
  <si>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</si>
  <si>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</si>
  <si>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</si>
  <si>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</si>
  <si>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</si>
  <si>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</si>
  <si>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</si>
  <si>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</si>
  <si>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</si>
  <si>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</si>
  <si>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</si>
  <si>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</si>
  <si>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hänessä</t>
  </si>
  <si>
    <t>hänestä</t>
  </si>
  <si>
    <t>hänet</t>
  </si>
  <si>
    <t>hei</t>
  </si>
  <si>
    <t>heidän</t>
  </si>
  <si>
    <t>heihin</t>
  </si>
  <si>
    <t>heiltä</t>
  </si>
  <si>
    <t>heissä</t>
  </si>
  <si>
    <t>heistä</t>
  </si>
  <si>
    <t>heitä</t>
  </si>
  <si>
    <t>helposti</t>
  </si>
  <si>
    <t>heti</t>
  </si>
  <si>
    <t>hetkellä</t>
  </si>
  <si>
    <t>hieman</t>
  </si>
  <si>
    <t>huomenna</t>
  </si>
  <si>
    <t>hyvä</t>
  </si>
  <si>
    <t>hyvät</t>
  </si>
  <si>
    <t>hyvien</t>
  </si>
  <si>
    <t>hyviin</t>
  </si>
  <si>
    <t>hyviksi</t>
  </si>
  <si>
    <t>hyville</t>
  </si>
  <si>
    <t>hyviltä</t>
  </si>
  <si>
    <t>hyvinä</t>
  </si>
  <si>
    <t>hyvissä</t>
  </si>
  <si>
    <t>hyvistä</t>
  </si>
  <si>
    <t>ilman</t>
  </si>
  <si>
    <t>itseään</t>
  </si>
  <si>
    <t>itsensä</t>
  </si>
  <si>
    <t>jää</t>
  </si>
  <si>
    <t>jälkeen</t>
  </si>
  <si>
    <t>jälleen</t>
  </si>
  <si>
    <t>johon</t>
  </si>
  <si>
    <t>joihin</t>
  </si>
  <si>
    <t>joiksi</t>
  </si>
  <si>
    <t>joilla</t>
  </si>
  <si>
    <t>joilta</t>
  </si>
  <si>
    <t>joissa</t>
  </si>
  <si>
    <t>joista</t>
  </si>
  <si>
    <t>joita</t>
  </si>
  <si>
    <t>jokainen</t>
  </si>
  <si>
    <t>jokin</t>
  </si>
  <si>
    <t>joko</t>
  </si>
  <si>
    <t>jolla</t>
  </si>
  <si>
    <t>jolle</t>
  </si>
  <si>
    <t>jolloin</t>
  </si>
  <si>
    <t>jolta</t>
  </si>
  <si>
    <t>jompikumpi</t>
  </si>
  <si>
    <t>jonkin</t>
  </si>
  <si>
    <t>jonne</t>
  </si>
  <si>
    <t>joskus</t>
  </si>
  <si>
    <t>jossa</t>
  </si>
  <si>
    <t>josta</t>
  </si>
  <si>
    <t>joten</t>
  </si>
  <si>
    <t>jotenkuten</t>
  </si>
  <si>
    <t>jotka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</si>
  <si>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</si>
  <si>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</si>
  <si>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</si>
  <si>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</si>
  <si>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</si>
  <si>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</si>
  <si>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</si>
  <si>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</si>
  <si>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</si>
  <si>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</si>
  <si>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</si>
  <si>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</si>
  <si>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</si>
  <si>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</si>
  <si>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</si>
  <si>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</si>
  <si>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</si>
  <si>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</si>
  <si>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</si>
  <si>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</si>
  <si>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</si>
  <si>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</si>
  <si>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kahdessa</t>
  </si>
  <si>
    <t>kahdesta</t>
  </si>
  <si>
    <t>kahta</t>
  </si>
  <si>
    <t>kahteen</t>
  </si>
  <si>
    <t>kai</t>
  </si>
  <si>
    <t>kaiken</t>
  </si>
  <si>
    <t>kaikilta</t>
  </si>
  <si>
    <t>kaikkea</t>
  </si>
  <si>
    <t>kaikkia</t>
  </si>
  <si>
    <t>kaikkiaan</t>
  </si>
  <si>
    <t>kaikkialle</t>
  </si>
  <si>
    <t>kaikkialta</t>
  </si>
  <si>
    <t>kaikkien</t>
  </si>
  <si>
    <t>kaikkin</t>
  </si>
  <si>
    <t>kaksi</t>
  </si>
  <si>
    <t>kannalta</t>
  </si>
  <si>
    <t>kannattaa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</si>
  <si>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</si>
  <si>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</si>
  <si>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</si>
  <si>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</si>
  <si>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</si>
  <si>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</si>
  <si>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</si>
  <si>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</si>
  <si>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</si>
  <si>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</si>
  <si>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</si>
  <si>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</si>
  <si>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</si>
  <si>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</si>
  <si>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</si>
  <si>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</si>
  <si>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</si>
  <si>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</si>
  <si>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</si>
  <si>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</si>
  <si>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</si>
  <si>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</si>
  <si>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</si>
  <si>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</si>
  <si>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</si>
  <si>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</si>
  <si>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kenenä</t>
  </si>
  <si>
    <t>kenessä</t>
  </si>
  <si>
    <t>kenestä</t>
  </si>
  <si>
    <t>kenet</t>
  </si>
  <si>
    <t>kenettä</t>
  </si>
  <si>
    <t>kennessästä</t>
  </si>
  <si>
    <t>kerran</t>
  </si>
  <si>
    <t>kerta</t>
  </si>
  <si>
    <t>kesken</t>
  </si>
  <si>
    <t>keskimäärin</t>
  </si>
  <si>
    <t>ketä</t>
  </si>
  <si>
    <t>ketkä</t>
  </si>
  <si>
    <t>kiitos</t>
  </si>
  <si>
    <t>kohti</t>
  </si>
  <si>
    <t>kokonaan</t>
  </si>
  <si>
    <t>kolmas</t>
  </si>
  <si>
    <t>kolmen</t>
  </si>
  <si>
    <t>kolmesti</t>
  </si>
  <si>
    <t>kovin</t>
  </si>
  <si>
    <t>kuitenkaan</t>
  </si>
  <si>
    <t>kuitenkin</t>
  </si>
  <si>
    <t>kuka</t>
  </si>
  <si>
    <t>kukaan</t>
  </si>
  <si>
    <t>kukin</t>
  </si>
  <si>
    <t>kumpainen</t>
  </si>
  <si>
    <t>kumpainenkaan</t>
  </si>
  <si>
    <t>kumpi</t>
  </si>
  <si>
    <t>kumpikaan</t>
  </si>
  <si>
    <t>kumpikin</t>
  </si>
  <si>
    <t>kuten</t>
  </si>
  <si>
    <t>kuuden</t>
  </si>
  <si>
    <t>kuusi</t>
  </si>
  <si>
    <t>kuutta</t>
  </si>
  <si>
    <t>kymmenen</t>
  </si>
  <si>
    <t>lähekkäin</t>
  </si>
  <si>
    <t>lähelle</t>
  </si>
  <si>
    <t>lähemmäs</t>
  </si>
  <si>
    <t>lähes</t>
  </si>
  <si>
    <t>lähinnä</t>
  </si>
  <si>
    <t>lähtien</t>
  </si>
  <si>
    <t>läpi</t>
  </si>
  <si>
    <t>liian</t>
  </si>
  <si>
    <t>liki</t>
  </si>
  <si>
    <t>lisää</t>
  </si>
  <si>
    <t>luo</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</si>
  <si>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</si>
  <si>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</si>
  <si>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</si>
  <si>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</si>
  <si>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</si>
  <si>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</si>
  <si>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</si>
  <si>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</si>
  <si>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</si>
  <si>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</si>
  <si>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</si>
  <si>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</si>
  <si>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</si>
  <si>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</si>
  <si>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</si>
  <si>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</si>
  <si>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</si>
  <si>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</si>
  <si>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</si>
  <si>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menossa</t>
  </si>
  <si>
    <t>mikin</t>
  </si>
  <si>
    <t>minä</t>
  </si>
  <si>
    <t>minne</t>
  </si>
  <si>
    <t>minun</t>
  </si>
  <si>
    <t>minut</t>
  </si>
  <si>
    <t>moi</t>
  </si>
  <si>
    <t>molemmat</t>
  </si>
  <si>
    <t>mones</t>
  </si>
  <si>
    <t>monesti</t>
  </si>
  <si>
    <t>monet</t>
  </si>
  <si>
    <t>moni</t>
  </si>
  <si>
    <t>moniaalla</t>
  </si>
  <si>
    <t>moniaalle</t>
  </si>
  <si>
    <t>moniaalta</t>
  </si>
  <si>
    <t>monta</t>
  </si>
  <si>
    <t>muassa</t>
  </si>
  <si>
    <t>muiden</t>
  </si>
  <si>
    <t>muka</t>
  </si>
  <si>
    <t>mukaansa</t>
  </si>
  <si>
    <t>mukana</t>
  </si>
  <si>
    <t>muu</t>
  </si>
  <si>
    <t>muualla</t>
  </si>
  <si>
    <t>muualle</t>
  </si>
  <si>
    <t>muualta</t>
  </si>
  <si>
    <t>muuanne</t>
  </si>
  <si>
    <t>muulloin</t>
  </si>
  <si>
    <t>muun</t>
  </si>
  <si>
    <t>muutama</t>
  </si>
  <si>
    <t>muutaman</t>
  </si>
  <si>
    <t>muuten</t>
  </si>
  <si>
    <t>myöhemmin</t>
  </si>
  <si>
    <t>myöskään</t>
  </si>
  <si>
    <t>myöskin</t>
  </si>
  <si>
    <t>myötä</t>
  </si>
  <si>
    <t>näiden</t>
  </si>
  <si>
    <t>näissä</t>
  </si>
  <si>
    <t>näissähin</t>
  </si>
  <si>
    <t>näissälle</t>
  </si>
  <si>
    <t>näissältä</t>
  </si>
  <si>
    <t>näissästä</t>
  </si>
  <si>
    <t>neljä</t>
  </si>
  <si>
    <t>neljää</t>
  </si>
  <si>
    <t>neljän</t>
  </si>
  <si>
    <t>niistä</t>
  </si>
  <si>
    <t>niitä</t>
  </si>
  <si>
    <t>nopeammin</t>
  </si>
  <si>
    <t>nopeiten</t>
  </si>
  <si>
    <t>nro</t>
  </si>
  <si>
    <t>nuo</t>
  </si>
  <si>
    <t>ohi</t>
  </si>
  <si>
    <t>olette</t>
  </si>
  <si>
    <t>oleva</t>
  </si>
  <si>
    <t>olevat</t>
  </si>
  <si>
    <t>olimme</t>
  </si>
  <si>
    <t>olin</t>
  </si>
  <si>
    <t>olisimme</t>
  </si>
  <si>
    <t>olisin</t>
  </si>
  <si>
    <t>olisit</t>
  </si>
  <si>
    <t>olisitte</t>
  </si>
  <si>
    <t>olisivat</t>
  </si>
  <si>
    <t>olit</t>
  </si>
  <si>
    <t>olitte</t>
  </si>
  <si>
    <t>olivat</t>
  </si>
  <si>
    <t>olleet</t>
  </si>
  <si>
    <t>olli</t>
  </si>
  <si>
    <t>omaan</t>
  </si>
  <si>
    <t>omaksi</t>
  </si>
  <si>
    <t>omalle</t>
  </si>
  <si>
    <t>omalta</t>
  </si>
  <si>
    <t>omassa</t>
  </si>
  <si>
    <t>omien</t>
  </si>
  <si>
    <t>omiin</t>
  </si>
  <si>
    <t>omiksi</t>
  </si>
  <si>
    <t>omille</t>
  </si>
  <si>
    <t>omilta</t>
  </si>
  <si>
    <t>omissa</t>
  </si>
  <si>
    <t>omista</t>
  </si>
  <si>
    <t>onkin</t>
  </si>
  <si>
    <t>onko</t>
  </si>
  <si>
    <t>päälle</t>
  </si>
  <si>
    <t>paikoittain</t>
  </si>
  <si>
    <t>paitsi</t>
  </si>
  <si>
    <t>pakosti</t>
  </si>
  <si>
    <t>paremmin</t>
  </si>
  <si>
    <t>parhaillaan</t>
  </si>
  <si>
    <t>parhaiten</t>
  </si>
  <si>
    <t>peräti</t>
  </si>
  <si>
    <t>perusteella</t>
  </si>
  <si>
    <t>pieneen</t>
  </si>
  <si>
    <t>pieneksi</t>
  </si>
  <si>
    <t>pienellä</t>
  </si>
  <si>
    <t>pienelle</t>
  </si>
  <si>
    <t>pieneltä</t>
  </si>
  <si>
    <t>pienempi</t>
  </si>
  <si>
    <t>pienestä</t>
  </si>
  <si>
    <t>pienin</t>
  </si>
  <si>
    <t>puolestaan</t>
  </si>
  <si>
    <t>runsaasti</t>
  </si>
  <si>
    <t>saakka</t>
  </si>
  <si>
    <t>sadam</t>
  </si>
  <si>
    <t>sama</t>
  </si>
  <si>
    <t>samaa</t>
  </si>
  <si>
    <t>samaan</t>
  </si>
  <si>
    <t>samalla</t>
  </si>
  <si>
    <t>samallalta</t>
  </si>
  <si>
    <t>samallassa</t>
  </si>
  <si>
    <t>samallasta</t>
  </si>
  <si>
    <t>samat</t>
  </si>
  <si>
    <t>samoin</t>
  </si>
  <si>
    <t>sata</t>
  </si>
  <si>
    <t>sataa</t>
  </si>
  <si>
    <t>satojen</t>
  </si>
  <si>
    <t>seuraavat</t>
  </si>
  <si>
    <t>sieltä</t>
  </si>
  <si>
    <t>sijaan</t>
  </si>
  <si>
    <t>siksi</t>
  </si>
  <si>
    <t>sillä</t>
  </si>
  <si>
    <t>silloin</t>
  </si>
  <si>
    <t>sinä</t>
  </si>
  <si>
    <t>sinua</t>
  </si>
  <si>
    <t>sinulta</t>
  </si>
  <si>
    <t>sinun</t>
  </si>
  <si>
    <t>sinussa</t>
  </si>
  <si>
    <t>sinusta</t>
  </si>
  <si>
    <t>sinut</t>
  </si>
  <si>
    <t>sisäkkäin</t>
  </si>
  <si>
    <t>sisällä</t>
  </si>
  <si>
    <t>siten</t>
  </si>
  <si>
    <t>suoraan</t>
  </si>
  <si>
    <t>suuren</t>
  </si>
  <si>
    <t>suuret</t>
  </si>
  <si>
    <t>suuri</t>
  </si>
  <si>
    <t>suuria</t>
  </si>
  <si>
    <t>suurin</t>
  </si>
  <si>
    <t>suurten</t>
  </si>
  <si>
    <t>taa</t>
  </si>
  <si>
    <t>täältä</t>
  </si>
  <si>
    <t>taemmas</t>
  </si>
  <si>
    <t>tähän</t>
  </si>
  <si>
    <t>tahansa</t>
  </si>
  <si>
    <t>takaa</t>
  </si>
  <si>
    <t>takana</t>
  </si>
  <si>
    <t>tällä</t>
  </si>
  <si>
    <t>tällöin</t>
  </si>
  <si>
    <t>tänään</t>
  </si>
  <si>
    <t>tänne</t>
  </si>
  <si>
    <t>täten</t>
  </si>
  <si>
    <t>tavalla</t>
  </si>
  <si>
    <t>tavoitteena</t>
  </si>
  <si>
    <t>täytyvät</t>
  </si>
  <si>
    <t>täytyy</t>
  </si>
  <si>
    <t>tietysti</t>
  </si>
  <si>
    <t>toinen</t>
  </si>
  <si>
    <t>toisaalla</t>
  </si>
  <si>
    <t>toisaalle</t>
  </si>
  <si>
    <t>toisaalta</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</si>
  <si>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</si>
  <si>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</si>
  <si>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</si>
  <si>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</si>
  <si>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</si>
  <si>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</si>
  <si>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</si>
  <si>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</si>
  <si>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</si>
  <si>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</si>
  <si>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</si>
  <si>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</si>
  <si>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</si>
  <si>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</si>
  <si>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</si>
  <si>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</si>
  <si>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</si>
  <si>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</si>
  <si>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</si>
  <si>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</si>
  <si>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</si>
  <si>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</si>
  <si>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</si>
  <si>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</si>
  <si>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</si>
  <si>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</si>
  <si>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</si>
  <si>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</si>
  <si>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</si>
  <si>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</si>
  <si>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</si>
  <si>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</si>
  <si>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</si>
  <si>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tulleet</t>
  </si>
  <si>
    <t>tullut</t>
  </si>
  <si>
    <t>tuntuu</t>
  </si>
  <si>
    <t>tuolla</t>
  </si>
  <si>
    <t>tuolloin</t>
  </si>
  <si>
    <t>tuolta</t>
  </si>
  <si>
    <t>tuonne</t>
  </si>
  <si>
    <t>tykö</t>
  </si>
  <si>
    <t>usea</t>
  </si>
  <si>
    <t>useasti</t>
  </si>
  <si>
    <t>useimmiten</t>
  </si>
  <si>
    <t>usein</t>
  </si>
  <si>
    <t>useita</t>
  </si>
  <si>
    <t>uudeksi</t>
  </si>
  <si>
    <t>uudelleen</t>
  </si>
  <si>
    <t>uudet</t>
  </si>
  <si>
    <t>uusi</t>
  </si>
  <si>
    <t>uusien</t>
  </si>
  <si>
    <t>uusinta</t>
  </si>
  <si>
    <t>uuteen</t>
  </si>
  <si>
    <t>uutta</t>
  </si>
  <si>
    <t>vähintään</t>
  </si>
  <si>
    <t>vähiten</t>
  </si>
  <si>
    <t>vaiheessa</t>
  </si>
  <si>
    <t>vaikea</t>
  </si>
  <si>
    <t>vaikean</t>
  </si>
  <si>
    <t>vaikeat</t>
  </si>
  <si>
    <t>vaikeilla</t>
  </si>
  <si>
    <t>vaikeille</t>
  </si>
  <si>
    <t>vaikeilta</t>
  </si>
  <si>
    <t>vaikeissa</t>
  </si>
  <si>
    <t>vaikeista</t>
  </si>
  <si>
    <t>välillä</t>
  </si>
  <si>
    <t>varmasti</t>
  </si>
  <si>
    <t>varsin</t>
  </si>
  <si>
    <t>varsinkin</t>
  </si>
  <si>
    <t>varten</t>
  </si>
  <si>
    <t>vasta</t>
  </si>
  <si>
    <t>vastakkain</t>
  </si>
  <si>
    <t>verran</t>
  </si>
  <si>
    <t>vierekkäin</t>
  </si>
  <si>
    <t>vieri</t>
  </si>
  <si>
    <t>viime</t>
  </si>
  <si>
    <t>viimeinen</t>
  </si>
  <si>
    <t>viimeisen</t>
  </si>
  <si>
    <t>viimeksi</t>
  </si>
  <si>
    <t>viisi</t>
  </si>
  <si>
    <t>voimme</t>
  </si>
  <si>
    <t>voin</t>
  </si>
  <si>
    <t>voisi</t>
  </si>
  <si>
    <t>voitte</t>
  </si>
  <si>
    <t>vuoksi</t>
  </si>
  <si>
    <t>vuosi</t>
  </si>
  <si>
    <t>vuosien</t>
  </si>
  <si>
    <t>vuosina</t>
  </si>
  <si>
    <t>vuotta</t>
  </si>
  <si>
    <t>yhä</t>
  </si>
  <si>
    <t>yhdeksän</t>
  </si>
  <si>
    <t>yhden</t>
  </si>
  <si>
    <t>yhtäällä</t>
  </si>
  <si>
    <t>yhtäälle</t>
  </si>
  <si>
    <t>yhtäältä</t>
  </si>
  <si>
    <t>yhteen</t>
  </si>
  <si>
    <t>yhteensä</t>
  </si>
  <si>
    <t>yhteydessä</t>
  </si>
  <si>
    <t>yhteyteen</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</si>
  <si>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</si>
  <si>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</si>
  <si>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</si>
  <si>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</si>
  <si>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</si>
  <si>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</si>
  <si>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</si>
  <si>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</si>
  <si>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</si>
  <si>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</si>
  <si>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</si>
  <si>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</si>
  <si>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</si>
  <si>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</si>
  <si>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</si>
  <si>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</si>
  <si>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</si>
  <si>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</si>
  <si>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</si>
  <si>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</si>
  <si>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</si>
  <si>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</si>
  <si>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</si>
  <si>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</si>
  <si>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</si>
  <si>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</si>
  <si>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</si>
  <si>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</si>
  <si>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</si>
  <si>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</si>
  <si>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</si>
  <si>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</si>
  <si>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</si>
  <si>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</si>
  <si>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</si>
  <si>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</si>
  <si>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</si>
  <si>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</si>
  <si>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</si>
  <si>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</si>
  <si>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</si>
  <si>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</si>
  <si>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</si>
  <si>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</si>
  <si>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</si>
  <si>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</si>
  <si>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</si>
  <si>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</si>
  <si>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</si>
  <si>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</si>
  <si>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</si>
  <si>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</si>
  <si>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</si>
  <si>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</si>
  <si>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</si>
  <si>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https://www.tripadvisor.com/Restaurant_Review-g189934-d21338840-Reviews-Bardot-Helsinki_Uusimaa.html</t>
  </si>
  <si>
    <t>https://www.iltalehti.fi/viihdeuutiset/a/0cdd8736-4e6e-4da0-924c-d5995c5878de</t>
  </si>
  <si>
    <t>https://www.iltalehti.fi/viihdeuutiset/a/2747483a-238e-45e8-9a81-cc9b338d1225</t>
  </si>
  <si>
    <t>https://twitter.com/CpTheorist/status/1482761602738839555</t>
  </si>
  <si>
    <t>https://www.seiska.fi/Kotimaa/Hans-Valimaki-teki-yllatysratkaisun-taustalla-koronakommentti/1166132</t>
  </si>
  <si>
    <t>https://www.seiska.fi/Kotimaa/Hans-Valimaki-teki-yllatysratkaisun-taustalla-koronakommentti/1166132?undefined</t>
  </si>
  <si>
    <t>https://www.seiska.fi/Kotimaa/Hans-Valimaki-teki-yllatysratkaisun-taustalla-koronakommentti/1166132?utm_source=twitter&amp;utm_medium=referral</t>
  </si>
  <si>
    <t>https://twitter.com/JacksonReima/status/1482382445974544388</t>
  </si>
  <si>
    <t>https://twitter.com/jani_ketola/status/1481993569539874819</t>
  </si>
  <si>
    <t>https://www.instagram.com/p/CYtIKCHNv7w/</t>
  </si>
  <si>
    <t>Entire Graph Count</t>
  </si>
  <si>
    <t>Top URLs in Tweet in G1</t>
  </si>
  <si>
    <t>Top URLs in Tweet in G2</t>
  </si>
  <si>
    <t>G1 Count</t>
  </si>
  <si>
    <t>Top URLs in Tweet in G3</t>
  </si>
  <si>
    <t>G2 Count</t>
  </si>
  <si>
    <t>https://www.is.fi/viihde/art-2000008542896.html</t>
  </si>
  <si>
    <t>http://www.kotipetripaavola.com/englanninkoronatilastotsairastumisetjakuolemat.html</t>
  </si>
  <si>
    <t>https://www.instagram.com/p/CYtIKCHNv7w/?utm_medium=copy_link</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</si>
  <si>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</si>
  <si>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</si>
  <si>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</si>
  <si>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</si>
  <si>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</si>
  <si>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</si>
  <si>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</si>
  <si>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</si>
  <si>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</si>
  <si>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</si>
  <si>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</si>
  <si>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</si>
  <si>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</si>
  <si>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</si>
  <si>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</si>
  <si>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</si>
  <si>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https://twitter.com/JacksonReima/status/1482382445974544388 https://www.instagram.com/p/CYtIKCHNv7w/ https://www.is.fi/viihde/art-2000008542896.html http://www.kotipetripaavola.com/englanninkoronatilastotsairastumisetjakuolemat.html https://www.instagram.com/p/CYtIKCHNv7w/?utm_medium=copy_link</t>
  </si>
  <si>
    <t>https://www.iltalehti.fi/viihdeuutiset/a/2747483a-238e-45e8-9a81-cc9b338d1225 https://www.seiska.fi/Kotimaa/Hans-Valimaki-teki-yllatysratkaisun-taustalla-koronakommentti/1166132?utm_source=twitter&amp;utm_medium=referral https://www.seiska.fi/Kotimaa/Hans-Valimaki-teki-yllatysratkaisun-taustalla-koronakommentti/1166132 https://www.seiska.fi/Kotimaa/Hans-Valimaki-teki-yllatysratkaisun-taustalla-koronakommentti/1166132?undefined https://www.iltalehti.fi/viihdeuutiset/a/0cdd8736-4e6e-4da0-924c-d5995c5878de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</si>
  <si>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</si>
  <si>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</si>
  <si>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</si>
  <si>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</si>
  <si>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</si>
  <si>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</si>
  <si>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</si>
  <si>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</si>
  <si>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</si>
  <si>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</si>
  <si>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</si>
  <si>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</si>
  <si>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is.fi kotipetripaavola.com</t>
  </si>
  <si>
    <t>iltalehti.fi seiska.fi</t>
  </si>
  <si>
    <t>Top Hashtags in Tweet in Entire Graph</t>
  </si>
  <si>
    <t>rokotepassi</t>
  </si>
  <si>
    <t>thegreatreset</t>
  </si>
  <si>
    <t>Top Hashtags in Tweet in G1</t>
  </si>
  <si>
    <t>Top Hashtags in Tweet in G2</t>
  </si>
  <si>
    <t>mara</t>
  </si>
  <si>
    <t>Top Hashtags in Tweet in G3</t>
  </si>
  <si>
    <t>Top Hashtags in Tweet in G4</t>
  </si>
  <si>
    <t>Top Hashtags in Tweet in G5</t>
  </si>
  <si>
    <t>Top Hashtags in Tweet in G6</t>
  </si>
  <si>
    <t>Top Hashtags in Tweet in G7</t>
  </si>
  <si>
    <t>allergiapassi</t>
  </si>
  <si>
    <t>läskipassi</t>
  </si>
  <si>
    <t>röökipassi</t>
  </si>
  <si>
    <t>Top Hashtags in Tweet in G8</t>
  </si>
  <si>
    <t>Top Hashtags in Tweet in G9</t>
  </si>
  <si>
    <t>Top Hashtags in Tweet in G10</t>
  </si>
  <si>
    <t>Top Hashtags in Tweet</t>
  </si>
  <si>
    <t>hansvälimäki moraali mara koronafi</t>
  </si>
  <si>
    <t>koronafi pelle sitäsaamitätulaa boikottiin välimäki piikkinatsi hansvälimäki tukholmasyndrooma governmeharder koronarokote</t>
  </si>
  <si>
    <t>koronapassi hansvälimäki itsemääräämisoikeus koronafi koronarajoitukset koronarokote yhdenvertaisuus</t>
  </si>
  <si>
    <t>uutiset kannabis hamppu koronarajoitukset rokottamattomat ravintolat hansvaelimaeki allergiapassi läskipassi röökipassi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</si>
  <si>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</si>
  <si>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</si>
  <si>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</si>
  <si>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</si>
  <si>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</si>
  <si>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</si>
  <si>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</si>
  <si>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</si>
  <si>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</si>
  <si>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</si>
  <si>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</si>
  <si>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</si>
  <si>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hans välimäki tervehtii asiakkaitaan puoltaa natsipassin käyttöä ravintolat lytätään pitää</t>
  </si>
  <si>
    <t>hans välimäki yhteiskunta auki rokotepassilla vihollinen haetaan rokottamattomista makailee sairaaloissa</t>
  </si>
  <si>
    <t>chefvalimaki hans välimäki lindapauliinaq dimmu141 npc12471 toimi päästä iltalehti_fi saisi</t>
  </si>
  <si>
    <t>#koronapassi #hansvälimäki kutsuu rokottamattomia ääliöiksi vaatii lisäveroa liikkumisrajoituksia toivoen ihmiset</t>
  </si>
  <si>
    <t>hans välimäki ravintolansa poistanut arvostelut facebook sivuilta tripadvisor sirumustikkamaa chefvalimaki</t>
  </si>
  <si>
    <t>hans yhteiskunta #hansvälimäki avattaisiinkin kerralla elettäisiin niinkuin ennenvanhaan ehtona #rokotepassi</t>
  </si>
  <si>
    <t>hans välimäki poisti sanoa tyyppi kohtaan pyytää anteeksi koronapäivitystään julkaisun</t>
  </si>
  <si>
    <t>keskusta marinsanna annikasaarikko</t>
  </si>
  <si>
    <t>valavuori hans välimäki saa saatanan idiootti tahallinen provo tilaa</t>
  </si>
  <si>
    <t>hans välimäki töissä</t>
  </si>
  <si>
    <t>hans välimäki väärässä vaatiessaan natsipassia natsipassista teoriassa hyötyä homoa ryhtyä</t>
  </si>
  <si>
    <t>timovir20213018 hans välimäki</t>
  </si>
  <si>
    <t>rokottamattomia haukkunut ääliöiksi nimittänyt hans välimäki toivookin ravintolansa saa negaa</t>
  </si>
  <si>
    <t>Top Word Pairs in Tweet in Entire Graph</t>
  </si>
  <si>
    <t>hans,välimäki</t>
  </si>
  <si>
    <t>välimäki,tervehtii</t>
  </si>
  <si>
    <t>tervehtii,asiakkaitaan</t>
  </si>
  <si>
    <t>makailee,sairaaloissa</t>
  </si>
  <si>
    <t>sairaaloissa,huomattavasti</t>
  </si>
  <si>
    <t>huomattavasti,fiksumman</t>
  </si>
  <si>
    <t>fiksumman,väen</t>
  </si>
  <si>
    <t>hoitoa,tukkimassa</t>
  </si>
  <si>
    <t>tukkimassa,rokotteista</t>
  </si>
  <si>
    <t>kieltäytyneitä,ääliöitä</t>
  </si>
  <si>
    <t>Top Word Pairs in Tweet in G1</t>
  </si>
  <si>
    <t>välimäki,puoltaa</t>
  </si>
  <si>
    <t>puoltaa,natsipassin</t>
  </si>
  <si>
    <t>natsipassin,käyttöä</t>
  </si>
  <si>
    <t>käyttöä,ravintolat</t>
  </si>
  <si>
    <t>ravintolat,lytätään</t>
  </si>
  <si>
    <t>lytätään,pitää</t>
  </si>
  <si>
    <t>pitää,kohtuuttomana</t>
  </si>
  <si>
    <t>Top Word Pairs in Tweet in G2</t>
  </si>
  <si>
    <t>välimäki,yhteiskunta</t>
  </si>
  <si>
    <t>yhteiskunta,auki</t>
  </si>
  <si>
    <t>auki,rokotepassilla</t>
  </si>
  <si>
    <t>rokotepassilla,vihollinen</t>
  </si>
  <si>
    <t>vihollinen,haetaan</t>
  </si>
  <si>
    <t>haetaan,rokottamattomista</t>
  </si>
  <si>
    <t>rokottamattomista,makailee</t>
  </si>
  <si>
    <t>Top Word Pairs in Tweet in G3</t>
  </si>
  <si>
    <t>dimmu141,chefvalimaki</t>
  </si>
  <si>
    <t>iltasanomat,chefvalimaki</t>
  </si>
  <si>
    <t>Top Word Pairs in Tweet in G4</t>
  </si>
  <si>
    <t>#hansvälimäki,kutsuu</t>
  </si>
  <si>
    <t>kutsuu,rokottamattomia</t>
  </si>
  <si>
    <t>rokottamattomia,ääliöiksi</t>
  </si>
  <si>
    <t>ääliöiksi,vaatii</t>
  </si>
  <si>
    <t>vaatii,lisäveroa</t>
  </si>
  <si>
    <t>lisäveroa,liikkumisrajoituksia</t>
  </si>
  <si>
    <t>liikkumisrajoituksia,toivoen</t>
  </si>
  <si>
    <t>toivoen,ihmiset</t>
  </si>
  <si>
    <t>ihmiset,kunnioittaisivat</t>
  </si>
  <si>
    <t>kunnioittaisivat,toisiaan</t>
  </si>
  <si>
    <t>Top Word Pairs in Tweet in G5</t>
  </si>
  <si>
    <t>välimäki,poistanut</t>
  </si>
  <si>
    <t>poistanut,arvostelut</t>
  </si>
  <si>
    <t>arvostelut,ravintolansa</t>
  </si>
  <si>
    <t>ravintolansa,facebook</t>
  </si>
  <si>
    <t>facebook,sivuilta</t>
  </si>
  <si>
    <t>sivuilta,tripadvisor</t>
  </si>
  <si>
    <t>cancel,hans</t>
  </si>
  <si>
    <t>sirumustikkamaa,hans</t>
  </si>
  <si>
    <t>välimäki,saanut</t>
  </si>
  <si>
    <t>Top Word Pairs in Tweet in G6</t>
  </si>
  <si>
    <t>#hansvälimäki,avattaisiinkin</t>
  </si>
  <si>
    <t>avattaisiinkin,kerralla</t>
  </si>
  <si>
    <t>kerralla,yhteiskunta</t>
  </si>
  <si>
    <t>yhteiskunta,elettäisiin</t>
  </si>
  <si>
    <t>elettäisiin,niinkuin</t>
  </si>
  <si>
    <t>niinkuin,ennenvanhaan</t>
  </si>
  <si>
    <t>ennenvanhaan,ehtona</t>
  </si>
  <si>
    <t>ehtona,#rokotepassi</t>
  </si>
  <si>
    <t>#rokotepassi,hans</t>
  </si>
  <si>
    <t>hans,käynyt</t>
  </si>
  <si>
    <t>Top Word Pairs in Tweet in G7</t>
  </si>
  <si>
    <t>välimäki,pyytää</t>
  </si>
  <si>
    <t>pyytää,anteeksi</t>
  </si>
  <si>
    <t>anteeksi,koronapäivitystään</t>
  </si>
  <si>
    <t>koronapäivitystään,poisti</t>
  </si>
  <si>
    <t>poisti,julkaisun</t>
  </si>
  <si>
    <t>julkaisun,somesta</t>
  </si>
  <si>
    <t>#uutiset,#kannabis</t>
  </si>
  <si>
    <t>#kannabis,#hamppu</t>
  </si>
  <si>
    <t>Top Word Pairs in Tweet in G8</t>
  </si>
  <si>
    <t>Top Word Pairs in Tweet in G9</t>
  </si>
  <si>
    <t>valavuori,hans</t>
  </si>
  <si>
    <t>välimäki,saatanan</t>
  </si>
  <si>
    <t>saatanan,idiootti</t>
  </si>
  <si>
    <t>idiootti,tahallinen</t>
  </si>
  <si>
    <t>tahallinen,provo</t>
  </si>
  <si>
    <t>provo,saa</t>
  </si>
  <si>
    <t>saa,tilaa</t>
  </si>
  <si>
    <t>Top Word Pairs in Tweet in G10</t>
  </si>
  <si>
    <t>Top Word Pairs in Tweet</t>
  </si>
  <si>
    <t>hans,välimäki  välimäki,tervehtii  tervehtii,asiakkaitaan  välimäki,puoltaa  puoltaa,natsipassin  natsipassin,käyttöä  käyttöä,ravintolat  ravintolat,lytätään  lytätään,pitää  pitää,kohtuuttomana</t>
  </si>
  <si>
    <t>hans,välimäki  välimäki,yhteiskunta  yhteiskunta,auki  auki,rokotepassilla  rokotepassilla,vihollinen  vihollinen,haetaan  haetaan,rokottamattomista  rokottamattomista,makailee  makailee,sairaaloissa  sairaaloissa,huomattavasti</t>
  </si>
  <si>
    <t>hans,välimäki  dimmu141,chefvalimaki  iltasanomat,chefvalimaki</t>
  </si>
  <si>
    <t>#hansvälimäki,kutsuu  kutsuu,rokottamattomia  rokottamattomia,ääliöiksi  ääliöiksi,vaatii  vaatii,lisäveroa  lisäveroa,liikkumisrajoituksia  liikkumisrajoituksia,toivoen  toivoen,ihmiset  ihmiset,kunnioittaisivat  kunnioittaisivat,toisiaan</t>
  </si>
  <si>
    <t>hans,välimäki  välimäki,poistanut  poistanut,arvostelut  arvostelut,ravintolansa  ravintolansa,facebook  facebook,sivuilta  sivuilta,tripadvisor  cancel,hans  sirumustikkamaa,hans  välimäki,saanut</t>
  </si>
  <si>
    <t>#hansvälimäki,avattaisiinkin  avattaisiinkin,kerralla  kerralla,yhteiskunta  yhteiskunta,elettäisiin  elettäisiin,niinkuin  niinkuin,ennenvanhaan  ennenvanhaan,ehtona  ehtona,#rokotepassi  #rokotepassi,hans  hans,käynyt</t>
  </si>
  <si>
    <t>hans,välimäki  välimäki,pyytää  pyytää,anteeksi  anteeksi,koronapäivitystään  koronapäivitystään,poisti  poisti,julkaisun  julkaisun,somesta  #uutiset,#kannabis  #kannabis,#hamppu</t>
  </si>
  <si>
    <t>valavuori,hans  hans,välimäki  välimäki,saatanan  saatanan,idiootti  idiootti,tahallinen  tahallinen,provo  provo,saa  saa,tilaa</t>
  </si>
  <si>
    <t>hans,välimäki  välimäki,väärässä  väärässä,vaatiessaan  vaatiessaan,natsipassia  natsipassia,natsipassista  natsipassista,teoriassa  teoriassa,hyötyä  hyötyä,homoa  homoa,ryhtyä  ryhtyä,pommittamaan</t>
  </si>
  <si>
    <t>rokottamattomia,haukkunut  haukkunut,ääliöiksi  ääliöiksi,nimittänyt  nimittänyt,hans  hans,välimäki  välimäki,toivookin  toivookin,ravintolansa  ravintolansa,saa  saa,negaa  negaa,arvostelua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</si>
  <si>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</si>
  <si>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</si>
  <si>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</si>
  <si>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</si>
  <si>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</si>
  <si>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</si>
  <si>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</si>
  <si>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</si>
  <si>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</si>
  <si>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</si>
  <si>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</si>
  <si>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</si>
  <si>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</si>
  <si>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</si>
  <si>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</si>
  <si>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</si>
  <si>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</si>
  <si>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</si>
  <si>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</si>
  <si>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</si>
  <si>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</si>
  <si>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</si>
  <si>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</si>
  <si>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jani_ketola toivovalo annuliini_ turnukkaparta meetslight</t>
  </si>
  <si>
    <t>chefvalimaki npc12471 lindapauliinaq dimmu141 iltasanomat tommihermunen gorbilahti jarijyrkankoski jani_ketola mkorja</t>
  </si>
  <si>
    <t>cptheorist tuija_niskanen</t>
  </si>
  <si>
    <t>sirumustikkamaa kuttaperkka jasmin_kyllonen pankfrappa</t>
  </si>
  <si>
    <t>janneknen turnukkaparta jani_ketola</t>
  </si>
  <si>
    <t>rautakansleri_ akikivirinta</t>
  </si>
  <si>
    <t>Top Mentioned in Tweet</t>
  </si>
  <si>
    <t>henrialen chefvalimaki jani_ketola</t>
  </si>
  <si>
    <t>chefvalimaki iltalehti_fi sukkola petteriorpo lindapauliinaq dimmu141 ipiikki</t>
  </si>
  <si>
    <t>villecantell chefvalimaki</t>
  </si>
  <si>
    <t>chefvalimaki huuhtanenpanu</t>
  </si>
  <si>
    <t>keskusta wwwmarafi marinsanna annikasaarikko mikalintila tuulahaatainen vasemmisto demarit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</si>
  <si>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</si>
  <si>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</si>
  <si>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</si>
  <si>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</si>
  <si>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</si>
  <si>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</si>
  <si>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</si>
  <si>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</si>
  <si>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</si>
  <si>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</si>
  <si>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</si>
  <si>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</si>
  <si>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madetojastig timoriikonen67 markkulaitinen3 akiharkonen anttiviinanen hpolkki arquez13 jmaalalr007 useyour_____ jussilepola</t>
  </si>
  <si>
    <t>henrialen javakalle jt36292090 playnone rane72646372 kissanviikset1 mmaitoparta outis1917 _flashman_harry sliquid84</t>
  </si>
  <si>
    <t>iltasanomat iltalehti_fi dimmu141 tommihermunen oula_silver sukkola npc12471 mkorja ei_juma lindapauliinaq</t>
  </si>
  <si>
    <t>marioargenta k272479 universumin villecantell _tilastonikkari perisuomalainen mirkhe paulie880 againstall10 markus_pitkanen</t>
  </si>
  <si>
    <t>rottaerkki huuhtanenpanu sariheinonen5 jyrki_k swanoftuonela kolarirauno lauri_paavola veijovaiste sirumustikkamaa p_suvi</t>
  </si>
  <si>
    <t>takapirulainen th3hypn0tist janneknen pauli_laakso turnukkaparta blomerusr theredpill4u karvonen_v mikael7110 lahteemmaki</t>
  </si>
  <si>
    <t>runkgren taskinen_reijo seiska growguide1 hilmisdilmis sammysojiggy wildkettu joravisjarvi pmaenranta railistordell</t>
  </si>
  <si>
    <t>timoheinonen demarit keskusta marinsanna vasemmisto santeri__ wwwmarafi mikalintila tuulahaatainen annikasaarikko</t>
  </si>
  <si>
    <t>valavuori jarvinen79 benedictesnotes tulkuttaja</t>
  </si>
  <si>
    <t>akikivirinta tksyrjanen rautakansleri_</t>
  </si>
  <si>
    <t>raivoroosna keronen karihirvi</t>
  </si>
  <si>
    <t>pieroventura5 tukkamatti mikaelgabriel</t>
  </si>
  <si>
    <t>timovir20213018 elssa_12345678 jensakseli</t>
  </si>
  <si>
    <t>jriihijarvi laineentatu hosionahosuvi</t>
  </si>
  <si>
    <t>ehaltmar polarphoenix1 annajrvinen7</t>
  </si>
  <si>
    <t>hannelea_h alicenpesula</t>
  </si>
  <si>
    <t>jumppa lake791</t>
  </si>
  <si>
    <t>hansvalimaki hirvonen_martti</t>
  </si>
  <si>
    <t>suojelusprkl thealph89725598</t>
  </si>
  <si>
    <t>URLs in Tweet by Count</t>
  </si>
  <si>
    <t>https://www.seiska.fi/Kotimaa/Hans-Valimaki-teki-yllatysratkaisun-taustalla-koronakommentti/1166132 https://www.seiska.fi/Kotimaa/Hans-Valimaki-teki-yllatysratkaisun-taustalla-koronakommentti/1166132?undefined</t>
  </si>
  <si>
    <t>URLs in Tweet by Salience</t>
  </si>
  <si>
    <t>Domains in Tweet by Count</t>
  </si>
  <si>
    <t>Domains in Tweet by Salience</t>
  </si>
  <si>
    <t>Hashtags in Tweet by Count</t>
  </si>
  <si>
    <t>hansvälimäki moraali mara</t>
  </si>
  <si>
    <t>koronarokote koronafi koronapassi</t>
  </si>
  <si>
    <t>koronapassi hansvälimäki itsemääräämisoikeus koronafi koronarajoitukset koronarokote</t>
  </si>
  <si>
    <t>hansvälimäki koronapassi itsemääräämisoikeus yhdenvertaisuus</t>
  </si>
  <si>
    <t>Hashtags in Tweet by Salience</t>
  </si>
  <si>
    <t>hansvälimäki itsemääräämisoikeus koronafi koronarajoitukset koronarokote koronapassi</t>
  </si>
  <si>
    <t>itsemääräämisoikeus yhdenvertaisuus hansvälimäki koronapassi</t>
  </si>
  <si>
    <t>Top Words in Tweet by Count</t>
  </si>
  <si>
    <t>#hansvälimäki avattaisiinkin kerralla kaikki siis ihan koko yhteiskunta elettäisiin niinkuin</t>
  </si>
  <si>
    <t>hans yhteiskunta välimäki auki rokotepassilla vihollinen haetaan mahdollisimman läheltä rokottamattomista</t>
  </si>
  <si>
    <t>hans välimäki yhteiskunta auki rokotepassilla vihollinen haetaan mahdollisimman läheltä rokottamattomista</t>
  </si>
  <si>
    <t>meetslight jani_ketola #hansvälimäki hans välimäki yhteiskunta auki rokotepassilla vihollinen haetaan</t>
  </si>
  <si>
    <t>hans välimäki on janneknen niin mulkun näköinen että tekisi mieli</t>
  </si>
  <si>
    <t>keskusta marinsanna annikasaarikko nämä timoheinonen wwwmarafi #hansvälimäki näistä #viisikko #tukitoimet</t>
  </si>
  <si>
    <t>ladys and playboys hans landa välimäki esittää</t>
  </si>
  <si>
    <t>yhteiskunta hans #hansvälimäki avattaisiinkin kerralla kaikki siis ihan koko elettäisiin</t>
  </si>
  <si>
    <t>ja chefvalimaki kävi aukomaan ig ssä päätään rokottamattomille fantasioi kanadan</t>
  </si>
  <si>
    <t>olisi annajrvinen7 ehaltmar hans välimäkikin siis osoittautui yhdeksi vitun kusipääksi</t>
  </si>
  <si>
    <t>jani_ketola vittu mikä ääliö toi hans välimäki</t>
  </si>
  <si>
    <t>ei jani_ketola hans välimäki jatkoon seurantaan eikä kannateta</t>
  </si>
  <si>
    <t>korona leviää jani_ketola mikä vitun tiededenialisti tää #hansvälimäki oikein on</t>
  </si>
  <si>
    <t>suojelusprkl olen aina tiennyt että välimäki on kusipää mutta nyt</t>
  </si>
  <si>
    <t>jani_ketola laitanpa vielä tähänkin koska #moraali #mara #hansvälimäki henrialen</t>
  </si>
  <si>
    <t>on #hansvälimäki ja jani_ketola vielä ei myös turnukkaparta mikäli tapaus</t>
  </si>
  <si>
    <t>on ei myös jani_ketola yrittäjillä tiukat paikat vaan silti pidä</t>
  </si>
  <si>
    <t>laineentatu jriihijarvi kuuluu suunnitelmaan nyt epätoivoiset yrittäjät #hansvälimäki rukoilevat rokotepassia</t>
  </si>
  <si>
    <t>omat kuppilat kumoon chefvalimaki paras mahdollinen tapa aiheuttaa hallaa yritystoiminnalleen</t>
  </si>
  <si>
    <t>jkallila chefvalimaki hyi saatana mikä kusipää tuo äijä on ja</t>
  </si>
  <si>
    <t>aivan mahtavaa hans välimäki ei voi olla niin että suomessa</t>
  </si>
  <si>
    <t>chefvalimaki on 2 sirumustikkamaa täysin sairas ajatus että esim 18</t>
  </si>
  <si>
    <t>kuttaperkka totta olen pistänyt merkille samanlainen hiustyyli mikko kärnä teemu</t>
  </si>
  <si>
    <t>chefvalimaki hansille todellisuus haltuun näillä tilastoilla</t>
  </si>
  <si>
    <t>toivovalo hans kuppilat kumoon välimäki</t>
  </si>
  <si>
    <t>ei mitä hansvalimaki hans välimäki lausuntosi iltalehdessä anna mairittelevaa kuvaa</t>
  </si>
  <si>
    <t>hans välimäki nostatti myrskyn esittämällä rokotepassin käyttöönottoa pahoittelee ulostuloaan il</t>
  </si>
  <si>
    <t>ja voi ei toimi iltasanomat chefvalimaki olla on mutta jos</t>
  </si>
  <si>
    <t>toivovalo hans välimäki tuon kansan yhdistäjä erikoisesti katkeruus kanavoituu</t>
  </si>
  <si>
    <t>sanoa hyvä hans välimäki joku uskaltaa mitä olisi pitänyt jo</t>
  </si>
  <si>
    <t>chefvalimaki joo ei tarvii odottaa mun turisti porukkaa ravintolaan</t>
  </si>
  <si>
    <t>että on tä tk6379055 ipiikki petteriorpo chefvalimaki olliposti välimäki kertoo</t>
  </si>
  <si>
    <t>elämä takaisin normaalille tasolle mahdollisimman nopeasti ja kokotteet kaikille vaikka</t>
  </si>
  <si>
    <t>hans ja välimäki puoltaa natsipassin käyttöä kaikkialla nyt omat ravintolat</t>
  </si>
  <si>
    <t>timovir20213018 hans spede välimäki</t>
  </si>
  <si>
    <t>on kohtaan hans välimäki kyllä säälittävä tyyppi yrittäjiä kohdeltu kaltoin</t>
  </si>
  <si>
    <t>ja on sanonta joku mulla puolisolla jos täysi urpo vittu</t>
  </si>
  <si>
    <t>turnukkaparta #hansvälimäki ostan sinulle hame kankaan olit yksi suomalaisista esikuvista</t>
  </si>
  <si>
    <t>npc12471 hans välimäki on ahaa 2 sää oot sitä väkee</t>
  </si>
  <si>
    <t>lindapauliinaq tää on hauskin ketju vähään aikaan kun persaukiset foliot</t>
  </si>
  <si>
    <t>sirumustikkamaa chefvalimaki suksi vittuun</t>
  </si>
  <si>
    <t>huh että on sairas äijä tämäkin chefvalimaki</t>
  </si>
  <si>
    <t>on sirumustikkamaa mistä näitä valelääkäreitä oikein sikiää ai niin äitiensä</t>
  </si>
  <si>
    <t>janneknen olisiko hänen aika pyörähtää ohjelmassa pääkoppa kuntoon #hansvälimäki</t>
  </si>
  <si>
    <t>chefvalimaki #pelle #sitäsaamitätulaa #boikottiin #välimäki hans jani_ketola</t>
  </si>
  <si>
    <t>oletko kovemman luokan rassisti sanoit meillä makailee sairaaloissa huomattavasti fiksumman</t>
  </si>
  <si>
    <t>hans että on välimäki tietää kokin papereilla pandemia loppuu rokottamalla</t>
  </si>
  <si>
    <t>että timovir20213018 se tänä aikana nousee esiin esim mikko kärnä</t>
  </si>
  <si>
    <t>että niin chefvalimaki on ja siitä et vaan kyllä sinulla</t>
  </si>
  <si>
    <t>hans välimäki tätä se haluaa kaikille myös lapsille #koronafi #koronapassi</t>
  </si>
  <si>
    <t>#koronapassi #hansvälimäki kutsuu rokottamattomia ääliöiksi ja vaatii heille lisäveroa sekä</t>
  </si>
  <si>
    <t>hans välimäki pyytää anteeksi koronapäivitystään poisti julkaisun somesta</t>
  </si>
  <si>
    <t>tätä se hans välimäki haluaa kaikille myös lapsille #koronafi #koronapassi</t>
  </si>
  <si>
    <t>mikaelgabriel pieroventura5 hans välimäki</t>
  </si>
  <si>
    <t>hans dimmu141 nythän välimäki jo pyysi anteeksi tota päivitystä oliko</t>
  </si>
  <si>
    <t>hans välimäki #uutiset #kannabis #hamppu teki yllätysratkaisun taustalla koronakommentti pyytää</t>
  </si>
  <si>
    <t>on jumppa hans välimäki kertoi että noi jalapenoja ni sit</t>
  </si>
  <si>
    <t>hans välimäki tervehtii asiakkaitaan</t>
  </si>
  <si>
    <t>hans välimäki suotta vittuilet #hansvälimäki on kybän jätkä pallit tallessa</t>
  </si>
  <si>
    <t>hans välimäki tervehtii asiakkaitaan yhteiskunta auki rokotepassilla vihollinen haetaan mahdollisimman</t>
  </si>
  <si>
    <t>cptheorist kuka hans välimäki</t>
  </si>
  <si>
    <t>olisi pankfrappa huuhtanenpanu hans välimäki sortui käyttämään sanaa ääliö se</t>
  </si>
  <si>
    <t>hans välimäki oli sitten poistanut arvostelut ravintolansa facebook sivuilta mutta</t>
  </si>
  <si>
    <t>chefvalimaki niin että jasmin_kyllonen nyt puolesta ja itkettää kun sai</t>
  </si>
  <si>
    <t>hans välimäki puoltaa natsipassin käyttöä kaikkialla nyt omat ravintolat lytätään</t>
  </si>
  <si>
    <t>hans välimäki tervehtii asiakkaitaan puoltaa natsipassin käyttöä kaikkialla nyt omat</t>
  </si>
  <si>
    <t>dimmu141 täytyy chefvalimaki tulla syömään kun ehtii</t>
  </si>
  <si>
    <t>jarijyrkankoski dimmu141 chefvalimaki laitoin just viiden tähden arvostelun menemään</t>
  </si>
  <si>
    <t>ja lindapauliinaq iltalehti_fi ole gorbilahti sukkola naurettavinta lienee että nämä</t>
  </si>
  <si>
    <t>suotta vittuilet #hansvälimäki on kybän jätkä pallit tallessa</t>
  </si>
  <si>
    <t>vain missä terveysfasisti hans välimäki tarjoileekin jatkossa varmaan vihanneksia höyrytettynä</t>
  </si>
  <si>
    <t>välimäki häns kun skeida osuu flektiin hans poisti kannanottonsa koronapassista</t>
  </si>
  <si>
    <t>hans välimäki ja yhteiskunta tervehtii asiakkaitaan puoltaa natsipassin käyttöä kaikkialla</t>
  </si>
  <si>
    <t>on hans välimäki täysin väärässä vaatiessaan natsipassia natsipassista ei ole</t>
  </si>
  <si>
    <t>akikivirinta hans välimäki oli ihan oikeassa meitä passillisia on valtaosa</t>
  </si>
  <si>
    <t>on töissä rautakansleri_ katoppakö hans välimäki ei ole ainut ravintoloitsija</t>
  </si>
  <si>
    <t>on tuija_niskanen suutari pysyköön lestissään ruokaa #hansvälimäki osaa laittaa siinä</t>
  </si>
  <si>
    <t>#hansvälimäki että #koronapassi on kutsuu rokottamattomia ääliöiksi ja vaatii heille</t>
  </si>
  <si>
    <t>#hansvälimäki kutsuu rokottamattomia ääliöiksi ja vaatii heille lisäveroa sekä liikkumisrajoituksia</t>
  </si>
  <si>
    <t>ja cptheorist osallistuiskohan villecantell tuohon se vois vaikka chefvalimaki kanssa</t>
  </si>
  <si>
    <t>ja hans välimäki #hansvälimäki kutsuu rokottamattomia ääliöiksi vaatii heille lisäveroa</t>
  </si>
  <si>
    <t>on hans välimäki rohkea mies hän sanoi niinkuin asia koirat</t>
  </si>
  <si>
    <t>itse valavuori hans välimäki on yrittänyt cäncelöidä tietyn ihmisrymän ja</t>
  </si>
  <si>
    <t>tommihermunen joko varataan jengillä priva juhlapaikka vaiks chefvalimaki ravintolasta</t>
  </si>
  <si>
    <t>chefvalimaki ajattelin ihan mielenkiinnosta että kerrotko vaikka puolen vuoden päästä</t>
  </si>
  <si>
    <t>hans välimäki annuliini_ on jotain jota ei halua nähdä kuulla</t>
  </si>
  <si>
    <t>valavuori hans välimäki on tässä tapauksessa se saatanan idiootti ihan</t>
  </si>
  <si>
    <t>rokottamattomia haukkunut ja ääliöiksi nimittänyt hans välimäki toivookin nyt kun</t>
  </si>
  <si>
    <t>ja #hansvälimäki kutsuu rokottamattomia ääliöiksi vaatii heille lisäveroa sekä liikkumisrajoituksia</t>
  </si>
  <si>
    <t>heippa hans välimäki ei enää tavata</t>
  </si>
  <si>
    <t>sirumustikkamaa hans välimäki saanut pfizeriltä vähän provikkaa kun ei ole</t>
  </si>
  <si>
    <t>hans välimäki cancel #hansvälimäki kutsuu rokottamattomia ääliöiksi ja vaatii heille</t>
  </si>
  <si>
    <t>hans välimäki cancel oli sitten poistanut arvostelut ravintolansa facebook sivuilta</t>
  </si>
  <si>
    <t>Top Words in Tweet by Salience</t>
  </si>
  <si>
    <t>välimäki auki rokotepassilla vihollinen haetaan mahdollisimman läheltä rokottamattomista meillä makailee</t>
  </si>
  <si>
    <t>janneknen niin mulkun näköinen että tekisi mieli vetää turpaan pelkästään</t>
  </si>
  <si>
    <t>#hansvälimäki avattaisiinkin kerralla kaikki siis ihan koko elettäisiin niinkuin ennenvanhaan</t>
  </si>
  <si>
    <t>ei myös on turnukkaparta mikäli tapaus aiheuttaa asioiden syvää pohdintaa</t>
  </si>
  <si>
    <t>on täysin sairas ajatus että esim 18 vuotiaan nuoren olisi</t>
  </si>
  <si>
    <t>ja toimi on jos niin kaukana todellisuudesta kuin matkustella passin</t>
  </si>
  <si>
    <t>välimäki puoltaa natsipassin käyttöä kaikkialla nyt omat ravintolat lytätään hän</t>
  </si>
  <si>
    <t>on sanonta joku mulla puolisolla jos täysi urpo vittu taas</t>
  </si>
  <si>
    <t>on ahaa 2 sää oot sitä väkee mihin ja parempi</t>
  </si>
  <si>
    <t>#pelle #sitäsaamitätulaa #boikottiin #välimäki hans jani_ketola chefvalimaki</t>
  </si>
  <si>
    <t>siitä kyllä sinulla oikeus kertoa mielipiteesi ihan omin sanoin kuin</t>
  </si>
  <si>
    <t>tätä se haluaa kaikille myös lapsille #koronafi #koronapassi #koronarajoitukset #koronarokote</t>
  </si>
  <si>
    <t>teki yllätysratkaisun taustalla koronakommentti pyytää anteeksi koronapäivitystään poisti julkaisun somesta</t>
  </si>
  <si>
    <t>suotta vittuilet #hansvälimäki on kybän jätkä pallit tallessa puoltaa natsipassin</t>
  </si>
  <si>
    <t>tervehtii asiakkaitaan yhteiskunta auki rokotepassilla vihollinen haetaan mahdollisimman läheltä rokottamattomista</t>
  </si>
  <si>
    <t>oli sitten poistanut arvostelut ravintolansa facebook sivuilta mutta aina on</t>
  </si>
  <si>
    <t>puolesta niin että itkettää kun sai takaisinpäin ylimielinen häismä kuvittelee</t>
  </si>
  <si>
    <t>puoltaa natsipassin käyttöä kaikkialla nyt omat ravintolat lytätään ja hän</t>
  </si>
  <si>
    <t>tervehtii asiakkaitaan puoltaa natsipassin käyttöä kaikkialla nyt omat ravintolat lytätään</t>
  </si>
  <si>
    <t>ole gorbilahti sukkola naurettavinta lienee että nämä huonoja arvosteluja jakavat</t>
  </si>
  <si>
    <t>ja yhteiskunta tervehtii asiakkaitaan puoltaa natsipassin käyttöä kaikkialla nyt omat</t>
  </si>
  <si>
    <t>on kutsuu rokottamattomia ääliöiksi ja vaatii heille lisäveroa sekä liikkumisrajoituksia</t>
  </si>
  <si>
    <t>cptheorist osallistuiskohan villecantell tuohon se vois vaikka chefvalimaki kanssa alkaa</t>
  </si>
  <si>
    <t>#hansvälimäki kutsuu rokottamattomia ääliöiksi vaatii heille lisäveroa sekä liikkumisrajoituksia toivoen</t>
  </si>
  <si>
    <t>annuliini_ on jotain jota ei halua nähdä kuulla eikä edes</t>
  </si>
  <si>
    <t>cancel #hansvälimäki kutsuu rokottamattomia ääliöiksi ja vaatii heille lisäveroa sekä</t>
  </si>
  <si>
    <t>cancel oli sitten poistanut arvostelut ravintolansa facebook sivuilta mutta aina</t>
  </si>
  <si>
    <t>Top Word Pairs in Tweet by Count</t>
  </si>
  <si>
    <t>#hansvälimäki,avattaisiinkin  avattaisiinkin,kerralla  kerralla,kaikki  kaikki,siis  siis,ihan  ihan,koko  koko,yhteiskunta  yhteiskunta,elettäisiin  elettäisiin,niinkuin  niinkuin,ennenvanhaan</t>
  </si>
  <si>
    <t>hans,välimäki  välimäki,yhteiskunta  yhteiskunta,auki  auki,rokotepassilla  rokotepassilla,vihollinen  vihollinen,haetaan  haetaan,mahdollisimman  mahdollisimman,läheltä  läheltä,rokottamattomista  rokottamattomista,meillä</t>
  </si>
  <si>
    <t>meetslight,jani_ketola  jani_ketola,#hansvälimäki  hans,välimäki  välimäki,yhteiskunta  yhteiskunta,auki  auki,rokotepassilla  rokotepassilla,vihollinen  vihollinen,haetaan  haetaan,mahdollisimman  mahdollisimman,läheltä</t>
  </si>
  <si>
    <t>hans,välimäki  välimäki,on  janneknen,hans  on,niin  niin,mulkun  mulkun,näköinen  näköinen,että  että,tekisi  tekisi,mieli  mieli,vetää</t>
  </si>
  <si>
    <t>timoheinonen,keskusta  keskusta,wwwmarafi  wwwmarafi,marinsanna  marinsanna,annikasaarikko  annikasaarikko,#hansvälimäki  #hansvälimäki,näistä  näistä,#viisikko  #viisikko,#tukitoimet  #tukitoimet,puhuikin  puhuikin,mut</t>
  </si>
  <si>
    <t>ladys,and  and,playboys  playboys,hans  hans,landa  landa,välimäki  välimäki,esittää</t>
  </si>
  <si>
    <t>chefvalimaki,kävi  kävi,aukomaan  aukomaan,ig  ig,ssä  ssä,päätään  päätään,rokottamattomille  rokottamattomille,ja  ja,fantasioi  fantasioi,kanadan  kanadan,natsimeininkistä</t>
  </si>
  <si>
    <t>annajrvinen7,ehaltmar  ehaltmar,hans  hans,välimäkikin  välimäkikin,siis  siis,osoittautui  osoittautui,yhdeksi  yhdeksi,vitun  vitun,kusipääksi  kusipääksi,plandemia  plandemia,on</t>
  </si>
  <si>
    <t>jani_ketola,vittu  vittu,mikä  mikä,ääliö  ääliö,toi  toi,hans  hans,välimäki</t>
  </si>
  <si>
    <t>jani_ketola,hans  hans,välimäki  välimäki,ei  ei,jatkoon  jatkoon,ei  ei,seurantaan  seurantaan,eikä  eikä,kannateta</t>
  </si>
  <si>
    <t>korona,leviää  jani_ketola,mikä  mikä,vitun  vitun,tiededenialisti  tiededenialisti,tää  tää,#hansvälimäki  #hansvälimäki,oikein  oikein,on  on,juurihan  juurihan,me</t>
  </si>
  <si>
    <t>suojelusprkl,olen  olen,aina  aina,tiennyt  tiennyt,että  että,välimäki  välimäki,on  on,kusipää  kusipää,mutta  mutta,nyt  nyt,tuo</t>
  </si>
  <si>
    <t>jani_ketola,laitanpa  laitanpa,vielä  vielä,tähänkin  tähänkin,koska  koska,#moraali  #moraali,#mara  #mara,#hansvälimäki  #hansvälimäki,henrialen</t>
  </si>
  <si>
    <t>turnukkaparta,mikäli  mikäli,tapaus  tapaus,aiheuttaa  aiheuttaa,asioiden  asioiden,syvää  syvää,pohdintaa  pohdintaa,ja  ja,jopa  jopa,mahdollisen  mahdollisen,muutoksen</t>
  </si>
  <si>
    <t>jani_ketola,yrittäjillä  yrittäjillä,on  on,tiukat  tiukat,paikat  paikat,vaan  vaan,ei  ei,silti  silti,pidä  pidä,ryhtyä  ryhtyä,perustuslain</t>
  </si>
  <si>
    <t>laineentatu,jriihijarvi  jriihijarvi,kuuluu  kuuluu,suunnitelmaan  suunnitelmaan,nyt  nyt,epätoivoiset  epätoivoiset,yrittäjät  yrittäjät,#hansvälimäki  #hansvälimäki,rukoilevat  rukoilevat,rokotepassia  rokotepassia,käyttöön</t>
  </si>
  <si>
    <t>omat,kuppilat  kuppilat,kumoon  kumoon,chefvalimaki  chefvalimaki,paras  paras,mahdollinen  mahdollinen,tapa  tapa,aiheuttaa  aiheuttaa,hallaa  hallaa,yritystoiminnalleen  yritystoiminnalleen,on</t>
  </si>
  <si>
    <t>jkallila,chefvalimaki  chefvalimaki,hyi  hyi,saatana  saatana,mikä  mikä,kusipää  kusipää,tuo  tuo,äijä  äijä,on  on,ja  ja,idiootti</t>
  </si>
  <si>
    <t>aivan,mahtavaa  mahtavaa,hans  hans,välimäki  välimäki,ei  ei,voi  voi,olla  olla,niin  niin,että  että,suomessa  suomessa,on</t>
  </si>
  <si>
    <t>sirumustikkamaa,chefvalimaki  chefvalimaki,on  on,täysin  täysin,sairas  sairas,ajatus  ajatus,että  että,esim  esim,18  18,vuotiaan  vuotiaan,nuoren</t>
  </si>
  <si>
    <t>kuttaperkka,totta  totta,olen  olen,pistänyt  pistänyt,merkille  merkille,samanlainen  samanlainen,hiustyyli  hiustyyli,mikko  mikko,kärnä  kärnä,teemu  teemu,laajasalo</t>
  </si>
  <si>
    <t>chefvalimaki,hansille  hansille,todellisuus  todellisuus,haltuun  haltuun,näillä  näillä,tilastoilla</t>
  </si>
  <si>
    <t>toivovalo,hans  hans,kuppilat  kuppilat,kumoon  kumoon,välimäki</t>
  </si>
  <si>
    <t>hansvalimaki,hans  hans,välimäki  välimäki,lausuntosi  lausuntosi,iltalehdessä  iltalehdessä,ei  ei,anna  anna,mairittelevaa  mairittelevaa,kuvaa  kuvaa,ajattelusi  ajattelusi,taustoista</t>
  </si>
  <si>
    <t>hans,välimäki  välimäki,nostatti  nostatti,myrskyn  myrskyn,esittämällä  esittämällä,rokotepassin  rokotepassin,käyttöönottoa  käyttöönottoa,pahoittelee  pahoittelee,ulostuloaan  ulostuloaan,il  il,lle</t>
  </si>
  <si>
    <t>iltasanomat,chefvalimaki  chefvalimaki,niin  niin,kaukana  kaukana,todellisuudesta  todellisuudesta,kuin  kuin,olla  olla,ja  ja,voi  voi,matkustella  matkustella,voi</t>
  </si>
  <si>
    <t>toivovalo,hans  hans,välimäki  välimäki,tuon  tuon,kansan  kansan,yhdistäjä  yhdistäjä,erikoisesti  erikoisesti,katkeruus  katkeruus,kanavoituu</t>
  </si>
  <si>
    <t>hyvä,hans  hans,välimäki  välimäki,joku  joku,uskaltaa  uskaltaa,sanoa  sanoa,mitä  mitä,olisi  olisi,pitänyt  pitänyt,sanoa  sanoa,jo</t>
  </si>
  <si>
    <t>chefvalimaki,joo  joo,ei  ei,tarvii  tarvii,odottaa  odottaa,mun  mun,turisti  turisti,porukkaa  porukkaa,ravintolaan</t>
  </si>
  <si>
    <t>tk6379055,ipiikki  ipiikki,petteriorpo  petteriorpo,chefvalimaki  olliposti,välimäki  välimäki,kertoo  kertoo,että  että,kyseessä  kyseessä,on  on,sarkastinen  sarkastinen,kirjoitus</t>
  </si>
  <si>
    <t>elämä,takaisin  takaisin,normaalille  normaalille,tasolle  tasolle,mahdollisimman  mahdollisimman,nopeasti  nopeasti,ja  ja,kokotteet  kokotteet,kaikille  kaikille,vaikka  vaikka,väkisin</t>
  </si>
  <si>
    <t>hans,välimäki  välimäki,puoltaa  puoltaa,natsipassin  natsipassin,käyttöä  käyttöä,kaikkialla  kaikkialla,nyt  nyt,omat  omat,ravintolat  ravintolat,lytätään  lytätään,ja</t>
  </si>
  <si>
    <t>timovir20213018,hans  hans,spede  spede,välimäki</t>
  </si>
  <si>
    <t>hans,välimäki  välimäki,on  on,kyllä  kyllä,säälittävä  säälittävä,tyyppi  tyyppi,yrittäjiä  yrittäjiä,on  on,kohdeltu  kohdeltu,kaltoin  kaltoin,mutta</t>
  </si>
  <si>
    <t>mulla,ja  ja,puolisolla  puolisolla,on  on,sanonta  sanonta,jos  jos,joku  joku,on  on,täysi  täysi,urpo  urpo,vittu</t>
  </si>
  <si>
    <t>turnukkaparta,#hansvälimäki  #hansvälimäki,ostan  ostan,sinulle  sinulle,hame  hame,kankaan  kankaan,olit  olit,yksi  yksi,suomalaisista  suomalaisista,esikuvista  esikuvista,u</t>
  </si>
  <si>
    <t>hans,välimäki  npc12471,ahaa  ahaa,on  on,2  2,sää  sää,oot  oot,sitä  sitä,väkee  väkee,mihin  mihin,hans</t>
  </si>
  <si>
    <t>lindapauliinaq,tää  tää,on  on,hauskin  hauskin,ketju  ketju,vähään  vähään,aikaan  aikaan,kun  kun,persaukiset  persaukiset,foliot  foliot,kyynelsilmässä</t>
  </si>
  <si>
    <t>sirumustikkamaa,chefvalimaki  chefvalimaki,suksi  suksi,vittuun</t>
  </si>
  <si>
    <t>huh,että  että,on  on,sairas  sairas,äijä  äijä,tämäkin  tämäkin,chefvalimaki</t>
  </si>
  <si>
    <t>sirumustikkamaa,mistä  mistä,näitä  näitä,valelääkäreitä  valelääkäreitä,oikein  oikein,sikiää  sikiää,ai  ai,niin  niin,äitiensä  äitiensä,persereikien  persereikien,suunnalta</t>
  </si>
  <si>
    <t>janneknen,olisiko  olisiko,hänen  hänen,aika  aika,pyörähtää  pyörähtää,ohjelmassa  ohjelmassa,pääkoppa  pääkoppa,kuntoon  kuntoon,#hansvälimäki</t>
  </si>
  <si>
    <t>chefvalimaki,#pelle  #pelle,#sitäsaamitätulaa  #sitäsaamitätulaa,#boikottiin  #boikottiin,#välimäki  #välimäki,hans  jani_ketola,chefvalimaki</t>
  </si>
  <si>
    <t>#hansvaelimaeki,oletko  oletko,kovemman  kovemman,luokan  luokan,rassisti  rassisti,sanoit  sanoit,meillä  meillä,makailee  makailee,sairaaloissa  sairaaloissa,huomattavasti  huomattavasti,fiksumman</t>
  </si>
  <si>
    <t>hans,välimäki  välimäki,tietää  tietää,kokin  kokin,papereilla  papereilla,että  että,pandemia  pandemia,loppuu  loppuu,rokottamalla  rokottamalla,sanonko  sanonko,että</t>
  </si>
  <si>
    <t>timovir20213018,se  se,että  että,tänä  tänä,aikana  aikana,nousee  nousee,esiin  esiin,esim  esim,mikko  mikko,kärnä  kärnä,tai</t>
  </si>
  <si>
    <t>siitä,että  että,et  chefvalimaki,kyllä  kyllä,sinulla  sinulla,on  on,oikeus  oikeus,kertoa  kertoa,mielipiteesi  mielipiteesi,ihan  ihan,omin</t>
  </si>
  <si>
    <t>hans,välimäki  tätä,se  se,hans  välimäki,haluaa  haluaa,kaikille  kaikille,myös  myös,lapsille  lapsille,#koronafi  #koronafi,#koronapassi  #koronapassi,#koronarajoitukset</t>
  </si>
  <si>
    <t>#hansvälimäki,kutsuu  kutsuu,rokottamattomia  rokottamattomia,ääliöiksi  ääliöiksi,ja  ja,vaatii  vaatii,heille  heille,lisäveroa  lisäveroa,sekä  sekä,liikkumisrajoituksia  liikkumisrajoituksia,toivoen</t>
  </si>
  <si>
    <t>hans,välimäki  välimäki,pyytää  pyytää,anteeksi  anteeksi,koronapäivitystään  koronapäivitystään,poisti  poisti,julkaisun  julkaisun,somesta</t>
  </si>
  <si>
    <t>tätä,se  se,hans  hans,välimäki  välimäki,haluaa  haluaa,kaikille  kaikille,myös  myös,lapsille  lapsille,#koronafi  #koronafi,#koronapassi  #koronapassi,#koronarajoitukset</t>
  </si>
  <si>
    <t>mikaelgabriel,pieroventura5  pieroventura5,hans  hans,välimäki</t>
  </si>
  <si>
    <t>dimmu141,nythän  nythän,hans  hans,välimäki  välimäki,jo  jo,pyysi  pyysi,anteeksi  anteeksi,tota  tota,päivitystä  päivitystä,oliko  oliko,sitten</t>
  </si>
  <si>
    <t>hans,välimäki  #uutiset,#kannabis  #kannabis,#hamppu  välimäki,teki  teki,yllätysratkaisun  yllätysratkaisun,taustalla  taustalla,koronakommentti  koronakommentti,#uutiset  välimäki,pyytää  pyytää,anteeksi</t>
  </si>
  <si>
    <t>jumppa,hans  hans,välimäki  välimäki,kertoi  kertoi,että  että,noi  noi,on  on,jalapenoja  jalapenoja,ni  ni,sit  sit,niiden</t>
  </si>
  <si>
    <t>hans,välimäki  välimäki,tervehtii  tervehtii,asiakkaitaan</t>
  </si>
  <si>
    <t>hans,välimäki  suotta,vittuilet  vittuilet,#hansvälimäki  #hansvälimäki,on  on,kybän  kybän,jätkä  jätkä,pallit  pallit,tallessa  välimäki,puoltaa  puoltaa,natsipassin</t>
  </si>
  <si>
    <t>hans,välimäki  välimäki,tervehtii  tervehtii,asiakkaitaan  välimäki,yhteiskunta  yhteiskunta,auki  auki,rokotepassilla  rokotepassilla,vihollinen  vihollinen,haetaan  haetaan,mahdollisimman  mahdollisimman,läheltä</t>
  </si>
  <si>
    <t>cptheorist,kuka  kuka,hans  hans,välimäki</t>
  </si>
  <si>
    <t>pankfrappa,huuhtanenpanu  huuhtanenpanu,hans  hans,välimäki  välimäki,sortui  sortui,käyttämään  käyttämään,sanaa  sanaa,ääliö  ääliö,se  se,oli  oli,yksi</t>
  </si>
  <si>
    <t>hans,välimäki  välimäki,oli  oli,sitten  sitten,poistanut  poistanut,arvostelut  arvostelut,ravintolansa  ravintolansa,facebook  facebook,sivuilta  sivuilta,mutta  mutta,aina</t>
  </si>
  <si>
    <t>jasmin_kyllonen,chefvalimaki  chefvalimaki,nyt  nyt,itkettää  itkettää,kun  kun,sai  sai,takaisinpäin  takaisinpäin,niin  niin,ylimielinen  ylimielinen,häismä  häismä,että</t>
  </si>
  <si>
    <t>hans,välimäki  välimäki,tervehtii  tervehtii,asiakkaitaan  välimäki,puoltaa  puoltaa,natsipassin  natsipassin,käyttöä  käyttöä,kaikkialla  kaikkialla,nyt  nyt,omat  omat,ravintolat</t>
  </si>
  <si>
    <t>dimmu141,täytyy  täytyy,chefvalimaki  chefvalimaki,tulla  tulla,syömään  syömään,kun  kun,ehtii</t>
  </si>
  <si>
    <t>jarijyrkankoski,dimmu141  dimmu141,chefvalimaki  chefvalimaki,laitoin  laitoin,just  just,viiden  viiden,tähden  tähden,arvostelun  arvostelun,menemään</t>
  </si>
  <si>
    <t>gorbilahti,lindapauliinaq  lindapauliinaq,iltalehti_fi  iltalehti_fi,sukkola  sukkola,naurettavinta  naurettavinta,lienee  lienee,että  että,nämä  nämä,huonoja  huonoja,arvosteluja  arvosteluja,jakavat</t>
  </si>
  <si>
    <t>suotta,vittuilet  vittuilet,#hansvälimäki  #hansvälimäki,on  on,kybän  kybän,jätkä  jätkä,pallit  pallit,tallessa</t>
  </si>
  <si>
    <t>terveysfasisti,hans  hans,välimäki  välimäki,tarjoileekin  tarjoileekin,jatkossa  jatkossa,varmaan  varmaan,vain  vain,vihanneksia  vihanneksia,höyrytettynä  höyrytettynä,ja  ja,sellaisia</t>
  </si>
  <si>
    <t>häns,välimäki  välimäki,kun  kun,skeida  skeida,osuu  osuu,flektiin  flektiin,hans  hans,välimäki  välimäki,poisti  poisti,kannanottonsa  kannanottonsa,koronapassista</t>
  </si>
  <si>
    <t>hans,välimäki  välimäki,on  on,täysin  täysin,väärässä  väärässä,vaatiessaan  vaatiessaan,natsipassia  natsipassia,natsipassista  natsipassista,ei  ei,ole  ole,tai</t>
  </si>
  <si>
    <t>akikivirinta,hans  hans,välimäki  välimäki,oli  oli,ihan  ihan,oikeassa  oikeassa,meitä  meitä,passillisia  passillisia,on  on,valtaosa  valtaosa,ja</t>
  </si>
  <si>
    <t>rautakansleri_,katoppakö  katoppakö,hans  hans,välimäki  välimäki,ei  ei,ole  ole,ainut  ainut,ravintoloitsija  ravintoloitsija,heitä  heitä,on  on,paljon</t>
  </si>
  <si>
    <t>tuija_niskanen,suutari  suutari,pysyköön  pysyköön,lestissään  lestissään,ruokaa  ruokaa,#hansvälimäki  #hansvälimäki,osaa  osaa,laittaa  laittaa,on  on,siinä  siinä,mestari</t>
  </si>
  <si>
    <t>cptheorist,osallistuiskohan  osallistuiskohan,villecantell  villecantell,tuohon  tuohon,se  se,vois  vois,vaikka  vaikka,chefvalimaki  chefvalimaki,kanssa  kanssa,alkaa  alkaa,jonossa</t>
  </si>
  <si>
    <t>hans,välimäki  #hansvälimäki,kutsuu  kutsuu,rokottamattomia  rokottamattomia,ääliöiksi  ääliöiksi,ja  ja,vaatii  vaatii,heille  heille,lisäveroa  lisäveroa,sekä  sekä,liikkumisrajoituksia</t>
  </si>
  <si>
    <t>hans,välimäki  välimäki,on  on,rohkea  rohkea,mies  mies,hän  hän,sanoi  sanoi,niinkuin  niinkuin,asia  asia,on  on,koirat</t>
  </si>
  <si>
    <t>valavuori,hans  hans,välimäki  välimäki,on  on,itse  itse,yrittänyt  yrittänyt,cäncelöidä  cäncelöidä,tietyn  tietyn,ihmisrymän  ihmisrymän,ja  ja,saa</t>
  </si>
  <si>
    <t>tommihermunen,joko  joko,varataan  varataan,jengillä  jengillä,priva  priva,juhlapaikka  juhlapaikka,vaiks  vaiks,chefvalimaki  chefvalimaki,ravintolasta</t>
  </si>
  <si>
    <t>chefvalimaki,ajattelin  ajattelin,ihan  ihan,mielenkiinnosta  mielenkiinnosta,että  että,kerrotko  kerrotko,vaikka  vaikka,puolen  puolen,vuoden  vuoden,päästä  päästä,toimiiko</t>
  </si>
  <si>
    <t>hans,välimäki  annuliini_,hans  välimäki,on  on,jotain  jotain,jota  jota,ei  ei,halua  halua,nähdä  nähdä,kuulla  kuulla,eikä</t>
  </si>
  <si>
    <t>valavuori,hans  hans,välimäki  välimäki,on  on,tässä  tässä,tapauksessa  tapauksessa,se  se,saatanan  saatanan,idiootti  idiootti,ihan  ihan,tahallinen</t>
  </si>
  <si>
    <t>rokottamattomia,haukkunut  haukkunut,ja  ja,ääliöiksi  ääliöiksi,nimittänyt  nimittänyt,hans  hans,välimäki  välimäki,toivookin  toivookin,nyt  nyt,kun  kun,ravintolansa</t>
  </si>
  <si>
    <t>heippa,hans  hans,välimäki  välimäki,ei  ei,enää  enää,tavata</t>
  </si>
  <si>
    <t>sirumustikkamaa,hans  hans,välimäki  välimäki,saanut  saanut,pfizeriltä  pfizeriltä,vähän  vähän,provikkaa  provikkaa,kun  kun,ei  ei,ole  ole,mennyt</t>
  </si>
  <si>
    <t>hans,välimäki  cancel,hans  #hansvälimäki,kutsuu  kutsuu,rokottamattomia  rokottamattomia,ääliöiksi  ääliöiksi,ja  ja,vaatii  vaatii,heille  heille,lisäveroa  lisäveroa,sekä</t>
  </si>
  <si>
    <t>hans,välimäki  cancel,hans  välimäki,oli  oli,sitten  sitten,poistanut  poistanut,arvostelut  arvostelut,ravintolansa  ravintolansa,facebook  facebook,sivuilta  sivuilta,mutta</t>
  </si>
  <si>
    <t>Top Word Pairs in Tweet by Salience</t>
  </si>
  <si>
    <t>janneknen,hans  on,niin  niin,mulkun  mulkun,näköinen  näköinen,että  että,tekisi  tekisi,mieli  mieli,vetää  vetää,turpaan  turpaan,pelkästään</t>
  </si>
  <si>
    <t>chefvalimaki,niin  niin,kaukana  kaukana,todellisuudesta  todellisuudesta,kuin  kuin,olla  olla,ja  ja,voi  voi,matkustella  matkustella,voi  voi,passin</t>
  </si>
  <si>
    <t>siitä,että  chefvalimaki,kyllä  kyllä,sinulla  sinulla,on  on,oikeus  oikeus,kertoa  kertoa,mielipiteesi  mielipiteesi,ihan  ihan,omin  omin,sanoin</t>
  </si>
  <si>
    <t>tätä,se  se,hans  välimäki,haluaa  haluaa,kaikille  kaikille,myös  myös,lapsille  lapsille,#koronafi  #koronafi,#koronapassi  #koronapassi,#koronarajoitukset  #koronarajoitukset,#koronarokote</t>
  </si>
  <si>
    <t>välimäki,teki  teki,yllätysratkaisun  yllätysratkaisun,taustalla  taustalla,koronakommentti  koronakommentti,#uutiset  välimäki,pyytää  pyytää,anteeksi  anteeksi,koronapäivitystään  koronapäivitystään,poisti  poisti,julkaisun</t>
  </si>
  <si>
    <t>suotta,vittuilet  vittuilet,#hansvälimäki  #hansvälimäki,on  on,kybän  kybän,jätkä  jätkä,pallit  pallit,tallessa  välimäki,puoltaa  puoltaa,natsipassin  natsipassin,käyttöä</t>
  </si>
  <si>
    <t>välimäki,tervehtii  tervehtii,asiakkaitaan  välimäki,yhteiskunta  yhteiskunta,auki  auki,rokotepassilla  rokotepassilla,vihollinen  vihollinen,haetaan  haetaan,mahdollisimman  mahdollisimman,läheltä  läheltä,rokottamattomista</t>
  </si>
  <si>
    <t>välimäki,oli  oli,sitten  sitten,poistanut  poistanut,arvostelut  arvostelut,ravintolansa  ravintolansa,facebook  facebook,sivuilta  sivuilta,mutta  mutta,aina  aina,on</t>
  </si>
  <si>
    <t>välimäki,puoltaa  puoltaa,natsipassin  natsipassin,käyttöä  käyttöä,kaikkialla  kaikkialla,nyt  nyt,omat  omat,ravintolat  ravintolat,lytätään  lytätään,ja  ja,hän</t>
  </si>
  <si>
    <t>välimäki,tervehtii  tervehtii,asiakkaitaan  välimäki,puoltaa  puoltaa,natsipassin  natsipassin,käyttöä  käyttöä,kaikkialla  kaikkialla,nyt  nyt,omat  omat,ravintolat  ravintolat,lytätään</t>
  </si>
  <si>
    <t>annuliini_,hans  välimäki,on  on,jotain  jotain,jota  jota,ei  ei,halua  halua,nähdä  nähdä,kuulla  kuulla,eikä  eikä,edes</t>
  </si>
  <si>
    <t>cancel,hans  #hansvälimäki,kutsuu  kutsuu,rokottamattomia  rokottamattomia,ääliöiksi  ääliöiksi,ja  ja,vaatii  vaatii,heille  heille,lisäveroa  lisäveroa,sekä  sekä,liikkumisrajoituksia</t>
  </si>
  <si>
    <t>cancel,hans  välimäki,oli  oli,sitten  sitten,poistanut  poistanut,arvostelut  arvostelut,ravintolansa  ravintolansa,facebook  facebook,sivuilta  sivuilta,mutta  mutta,aina</t>
  </si>
  <si>
    <t>192, 192, 192</t>
  </si>
  <si>
    <t>Red</t>
  </si>
  <si>
    <t>99, 79, 0</t>
  </si>
  <si>
    <t>196, 30, 0</t>
  </si>
  <si>
    <t>72, 92, 0</t>
  </si>
  <si>
    <t>85, 85, 0</t>
  </si>
  <si>
    <t>163, 46, 0</t>
  </si>
  <si>
    <t>20, 118, 0</t>
  </si>
  <si>
    <t>Green</t>
  </si>
  <si>
    <t>26, 115, 0</t>
  </si>
  <si>
    <t>118, 69, 0</t>
  </si>
  <si>
    <t>33, 112, 0</t>
  </si>
  <si>
    <t>137, 59, 0</t>
  </si>
  <si>
    <t>39, 108, 0</t>
  </si>
  <si>
    <t>7, 125, 0</t>
  </si>
  <si>
    <t>46, 105, 0</t>
  </si>
  <si>
    <t>53, 102, 0</t>
  </si>
  <si>
    <t>66, 95, 0</t>
  </si>
  <si>
    <t>13, 121, 0</t>
  </si>
  <si>
    <t>G1: hansvälimäki</t>
  </si>
  <si>
    <t>G2: hansvälimäki moraali mara koronafi</t>
  </si>
  <si>
    <t>G3: koronafi pelle sitäsaamitätulaa boikottiin välimäki piikkinatsi hansvälimäki tukholmasyndrooma governmeharder koronarokote</t>
  </si>
  <si>
    <t>G4: koronapassi hansvälimäki itsemääräämisoikeus koronafi koronarajoitukset koronarokote yhdenvertaisuus</t>
  </si>
  <si>
    <t>G5: hansvälimäki koronapassi itsemääräämisoikeus</t>
  </si>
  <si>
    <t>G6: hansvälimäki rokotepassi thegreatreset</t>
  </si>
  <si>
    <t>G7: uutiset kannabis hamppu koronarajoitukset rokottamattomat ravintolat hansvaelimaeki allergiapassi läskipassi röökipassi</t>
  </si>
  <si>
    <t>G8: hansvälimäki viisikko tukitoimet tradeka koronatuet</t>
  </si>
  <si>
    <t>G14: hansvälimäki</t>
  </si>
  <si>
    <t>Edge Weight▓1▓1▓0▓True▓Silver▓Red▓▓Edge Weight▓1▓1▓0▓1▓10▓True▓Edge Weight▓1▓1▓0▓32▓10▓False▓▓0▓0▓0▓True▓Black▓Black▓▓In-Degree▓1▓9▓0▓10▓1000▓True▓▓0▓0▓0▓0▓0▓False▓▓0▓0▓0▓0▓0▓False▓▓0▓0▓0▓0▓0▓False</t>
  </si>
  <si>
    <t>TwitterSearch</t>
  </si>
  <si>
    <t>(hans vaelimaeki) OR #HansVaelimaeki OR @chefvalimaki</t>
  </si>
  <si>
    <t>The graph represents a network of 231 Twitter users whose recent tweets contained "(hans vaelimaeki) OR #HansVaelimaeki OR @chefvalimaki", or who were replied to or mentioned in those tweets, taken from a data set limited to a maximum of 18 000 tweets.  The network was obtained from Twitter on Monday, 17 January 2022 at 15:58 UTC.
The tweets in the network were tweeted over the 3-day, 1-hour, 33-minute period from Friday, 14 January 2022 at 14:03 UTC to Monday, 17 January 2022 at 15:36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</si>
  <si>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</si>
  <si>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</si>
  <si>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https://nodexlgraphgallery.org/Pages/Graph.aspx?graphID=270190</t>
  </si>
  <si>
    <t>https://nodexlgraphgallery.org/Images/Image.ashx?graphID=270190&amp;type=f</t>
  </si>
  <si>
    <t>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</si>
</sst>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16962"/>
        <c:axId val="2890611"/>
      </c:barChart>
      <c:catAx>
        <c:axId val="525169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0611"/>
        <c:crosses val="autoZero"/>
        <c:auto val="1"/>
        <c:lblOffset val="100"/>
        <c:noMultiLvlLbl val="0"/>
      </c:catAx>
      <c:valAx>
        <c:axId val="28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15500"/>
        <c:axId val="32812909"/>
      </c:barChart>
      <c:catAx>
        <c:axId val="26015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12909"/>
        <c:crosses val="autoZero"/>
        <c:auto val="1"/>
        <c:lblOffset val="100"/>
        <c:noMultiLvlLbl val="0"/>
      </c:catAx>
      <c:valAx>
        <c:axId val="3281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80726"/>
        <c:axId val="40599943"/>
      </c:barChart>
      <c:catAx>
        <c:axId val="26880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99943"/>
        <c:crosses val="autoZero"/>
        <c:auto val="1"/>
        <c:lblOffset val="100"/>
        <c:noMultiLvlLbl val="0"/>
      </c:catAx>
      <c:valAx>
        <c:axId val="4059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55168"/>
        <c:axId val="261057"/>
      </c:barChart>
      <c:catAx>
        <c:axId val="298551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057"/>
        <c:crosses val="autoZero"/>
        <c:auto val="1"/>
        <c:lblOffset val="100"/>
        <c:noMultiLvlLbl val="0"/>
      </c:catAx>
      <c:valAx>
        <c:axId val="26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9514"/>
        <c:axId val="21145627"/>
      </c:barChart>
      <c:catAx>
        <c:axId val="23495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45627"/>
        <c:crosses val="autoZero"/>
        <c:auto val="1"/>
        <c:lblOffset val="100"/>
        <c:noMultiLvlLbl val="0"/>
      </c:catAx>
      <c:valAx>
        <c:axId val="21145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14130"/>
        <c:axId val="43873987"/>
      </c:barChart>
      <c:catAx>
        <c:axId val="49614130"/>
        <c:scaling>
          <c:orientation val="minMax"/>
        </c:scaling>
        <c:axPos val="b"/>
        <c:delete val="1"/>
        <c:majorTickMark val="out"/>
        <c:minorTickMark val="none"/>
        <c:tickLblPos val="none"/>
        <c:crossAx val="43873987"/>
        <c:crosses val="autoZero"/>
        <c:auto val="1"/>
        <c:lblOffset val="100"/>
        <c:noMultiLvlLbl val="0"/>
      </c:catAx>
      <c:valAx>
        <c:axId val="43873987"/>
        <c:scaling>
          <c:orientation val="minMax"/>
        </c:scaling>
        <c:axPos val="l"/>
        <c:delete val="1"/>
        <c:majorTickMark val="out"/>
        <c:minorTickMark val="none"/>
        <c:tickLblPos val="none"/>
        <c:crossAx val="49614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3" totalsRowShown="0" headerRowDxfId="443" dataDxfId="407">
  <autoFilter ref="A2:BN29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295" dataDxfId="294">
  <autoFilter ref="A1:G582"/>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9" totalsRowShown="0" headerRowDxfId="286" dataDxfId="285">
  <autoFilter ref="A1:L4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7" totalsRowShown="0" headerRowDxfId="244" dataDxfId="243">
  <autoFilter ref="A1:C428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235" dataDxfId="234">
  <autoFilter ref="A2:C3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1" totalsRowShown="0" headerRowDxfId="186" dataDxfId="185">
  <autoFilter ref="A14:V21"/>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3" totalsRowShown="0" headerRowDxfId="442" dataDxfId="393">
  <autoFilter ref="A2:BT233"/>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4:V34" totalsRowShown="0" headerRowDxfId="161" dataDxfId="160">
  <autoFilter ref="A24:V34"/>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7:V47" totalsRowShown="0" headerRowDxfId="136" dataDxfId="135">
  <autoFilter ref="A37:V47"/>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0:V60" totalsRowShown="0" headerRowDxfId="111" dataDxfId="110">
  <autoFilter ref="A50:V60"/>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3:V73" totalsRowShown="0" headerRowDxfId="86" dataDxfId="85">
  <autoFilter ref="A63: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1">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2" totalsRowShown="0" headerRowDxfId="438" dataDxfId="437">
  <autoFilter ref="A1:C232"/>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ipadvisor.com/Restaurant_Review-g189934-d21338840-Reviews-Bardot-Helsinki_Uusimaa.html" TargetMode="External" /><Relationship Id="rId2" Type="http://schemas.openxmlformats.org/officeDocument/2006/relationships/hyperlink" Target="https://www.iltalehti.fi/viihdeuutiset/a/0cdd8736-4e6e-4da0-924c-d5995c5878de" TargetMode="External" /><Relationship Id="rId3" Type="http://schemas.openxmlformats.org/officeDocument/2006/relationships/hyperlink" Target="https://www.iltalehti.fi/viihdeuutiset/a/2747483a-238e-45e8-9a81-cc9b338d1225" TargetMode="External" /><Relationship Id="rId4" Type="http://schemas.openxmlformats.org/officeDocument/2006/relationships/hyperlink" Target="https://twitter.com/CpTheorist/status/1482761602738839555" TargetMode="External" /><Relationship Id="rId5" Type="http://schemas.openxmlformats.org/officeDocument/2006/relationships/hyperlink" Target="https://www.seiska.fi/Kotimaa/Hans-Valimaki-teki-yllatysratkaisun-taustalla-koronakommentti/1166132" TargetMode="External" /><Relationship Id="rId6" Type="http://schemas.openxmlformats.org/officeDocument/2006/relationships/hyperlink" Target="https://www.seiska.fi/Kotimaa/Hans-Valimaki-teki-yllatysratkaisun-taustalla-koronakommentti/1166132?undefined" TargetMode="External" /><Relationship Id="rId7" Type="http://schemas.openxmlformats.org/officeDocument/2006/relationships/hyperlink" Target="https://www.seiska.fi/Kotimaa/Hans-Valimaki-teki-yllatysratkaisun-taustalla-koronakommentti/1166132?utm_source=twitter&amp;utm_medium=referral" TargetMode="External" /><Relationship Id="rId8" Type="http://schemas.openxmlformats.org/officeDocument/2006/relationships/hyperlink" Target="https://twitter.com/JacksonReima/status/1482382445974544388" TargetMode="External" /><Relationship Id="rId9" Type="http://schemas.openxmlformats.org/officeDocument/2006/relationships/hyperlink" Target="https://twitter.com/jani_ketola/status/1481993569539874819" TargetMode="External" /><Relationship Id="rId10" Type="http://schemas.openxmlformats.org/officeDocument/2006/relationships/hyperlink" Target="https://www.instagram.com/p/CYtIKCHNv7w/" TargetMode="External" /><Relationship Id="rId11" Type="http://schemas.openxmlformats.org/officeDocument/2006/relationships/hyperlink" Target="https://twitter.com/CpTheorist/status/1482761602738839555" TargetMode="External" /><Relationship Id="rId12" Type="http://schemas.openxmlformats.org/officeDocument/2006/relationships/hyperlink" Target="https://twitter.com/jani_ketola/status/1481993569539874819" TargetMode="External" /><Relationship Id="rId13" Type="http://schemas.openxmlformats.org/officeDocument/2006/relationships/hyperlink" Target="https://twitter.com/JacksonReima/status/1482382445974544388" TargetMode="External" /><Relationship Id="rId14" Type="http://schemas.openxmlformats.org/officeDocument/2006/relationships/hyperlink" Target="https://www.instagram.com/p/CYtIKCHNv7w/" TargetMode="External" /><Relationship Id="rId15" Type="http://schemas.openxmlformats.org/officeDocument/2006/relationships/hyperlink" Target="https://www.is.fi/viihde/art-2000008542896.html" TargetMode="External" /><Relationship Id="rId16" Type="http://schemas.openxmlformats.org/officeDocument/2006/relationships/hyperlink" Target="http://www.kotipetripaavola.com/englanninkoronatilastotsairastumisetjakuolemat.html" TargetMode="External" /><Relationship Id="rId17" Type="http://schemas.openxmlformats.org/officeDocument/2006/relationships/hyperlink" Target="https://www.instagram.com/p/CYtIKCHNv7w/?utm_medium=copy_link" TargetMode="External" /><Relationship Id="rId18" Type="http://schemas.openxmlformats.org/officeDocument/2006/relationships/hyperlink" Target="https://www.iltalehti.fi/viihdeuutiset/a/2747483a-238e-45e8-9a81-cc9b338d1225" TargetMode="External" /><Relationship Id="rId19" Type="http://schemas.openxmlformats.org/officeDocument/2006/relationships/hyperlink" Target="https://www.tripadvisor.com/Restaurant_Review-g189934-d21338840-Reviews-Bardot-Helsinki_Uusimaa.html" TargetMode="External" /><Relationship Id="rId20" Type="http://schemas.openxmlformats.org/officeDocument/2006/relationships/hyperlink" Target="https://www.iltalehti.fi/viihdeuutiset/a/2747483a-238e-45e8-9a81-cc9b338d1225" TargetMode="External" /><Relationship Id="rId21" Type="http://schemas.openxmlformats.org/officeDocument/2006/relationships/hyperlink" Target="https://www.seiska.fi/Kotimaa/Hans-Valimaki-teki-yllatysratkaisun-taustalla-koronakommentti/1166132?utm_source=twitter&amp;utm_medium=referral" TargetMode="External" /><Relationship Id="rId22" Type="http://schemas.openxmlformats.org/officeDocument/2006/relationships/hyperlink" Target="https://www.seiska.fi/Kotimaa/Hans-Valimaki-teki-yllatysratkaisun-taustalla-koronakommentti/1166132" TargetMode="External" /><Relationship Id="rId23" Type="http://schemas.openxmlformats.org/officeDocument/2006/relationships/hyperlink" Target="https://www.seiska.fi/Kotimaa/Hans-Valimaki-teki-yllatysratkaisun-taustalla-koronakommentti/1166132?undefined" TargetMode="External" /><Relationship Id="rId24" Type="http://schemas.openxmlformats.org/officeDocument/2006/relationships/hyperlink" Target="https://www.iltalehti.fi/viihdeuutiset/a/0cdd8736-4e6e-4da0-924c-d5995c5878d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2060</v>
      </c>
      <c r="BD2" s="13" t="s">
        <v>2093</v>
      </c>
      <c r="BE2" s="13" t="s">
        <v>2094</v>
      </c>
      <c r="BF2" s="54" t="s">
        <v>2348</v>
      </c>
      <c r="BG2" s="54" t="s">
        <v>2349</v>
      </c>
      <c r="BH2" s="54" t="s">
        <v>2350</v>
      </c>
      <c r="BI2" s="54" t="s">
        <v>2351</v>
      </c>
      <c r="BJ2" s="54" t="s">
        <v>2352</v>
      </c>
      <c r="BK2" s="54" t="s">
        <v>2353</v>
      </c>
      <c r="BL2" s="54" t="s">
        <v>2354</v>
      </c>
      <c r="BM2" s="54" t="s">
        <v>2355</v>
      </c>
      <c r="BN2" s="54" t="s">
        <v>2356</v>
      </c>
    </row>
    <row r="3" spans="1:66" ht="15" customHeight="1">
      <c r="A3" s="65" t="s">
        <v>405</v>
      </c>
      <c r="B3" s="65" t="s">
        <v>349</v>
      </c>
      <c r="C3" s="66" t="s">
        <v>4405</v>
      </c>
      <c r="D3" s="67">
        <v>1</v>
      </c>
      <c r="E3" s="68" t="s">
        <v>132</v>
      </c>
      <c r="F3" s="69">
        <v>32</v>
      </c>
      <c r="G3" s="66" t="s">
        <v>51</v>
      </c>
      <c r="H3" s="70"/>
      <c r="I3" s="71"/>
      <c r="J3" s="71"/>
      <c r="K3" s="35" t="s">
        <v>65</v>
      </c>
      <c r="L3" s="72">
        <v>3</v>
      </c>
      <c r="M3" s="72"/>
      <c r="N3" s="73"/>
      <c r="O3" s="89" t="s">
        <v>447</v>
      </c>
      <c r="P3" s="92">
        <v>44575.58703703704</v>
      </c>
      <c r="Q3" s="89" t="s">
        <v>451</v>
      </c>
      <c r="R3" s="89"/>
      <c r="S3" s="89"/>
      <c r="T3" s="96" t="s">
        <v>555</v>
      </c>
      <c r="U3" s="99" t="str">
        <f>HYPERLINK("https://pbs.twimg.com/media/FJEWU11XwAUKZay.jpg")</f>
        <v>https://pbs.twimg.com/media/FJEWU11XwAUKZay.jpg</v>
      </c>
      <c r="V3" s="99" t="str">
        <f>HYPERLINK("https://pbs.twimg.com/media/FJEWU11XwAUKZay.jpg")</f>
        <v>https://pbs.twimg.com/media/FJEWU11XwAUKZay.jpg</v>
      </c>
      <c r="W3" s="92">
        <v>44575.58703703704</v>
      </c>
      <c r="X3" s="101">
        <v>44575</v>
      </c>
      <c r="Y3" s="96" t="s">
        <v>812</v>
      </c>
      <c r="Z3" s="99" t="str">
        <f>HYPERLINK("https://twitter.com/pauli_laakso/status/1481990819892629505")</f>
        <v>https://twitter.com/pauli_laakso/status/1481990819892629505</v>
      </c>
      <c r="AA3" s="89"/>
      <c r="AB3" s="89"/>
      <c r="AC3" s="96" t="s">
        <v>1053</v>
      </c>
      <c r="AD3" s="89"/>
      <c r="AE3" s="89" t="b">
        <v>0</v>
      </c>
      <c r="AF3" s="89">
        <v>0</v>
      </c>
      <c r="AG3" s="96" t="s">
        <v>1087</v>
      </c>
      <c r="AH3" s="89" t="b">
        <v>0</v>
      </c>
      <c r="AI3" s="89" t="s">
        <v>1127</v>
      </c>
      <c r="AJ3" s="89"/>
      <c r="AK3" s="96" t="s">
        <v>1087</v>
      </c>
      <c r="AL3" s="89" t="b">
        <v>0</v>
      </c>
      <c r="AM3" s="89">
        <v>11</v>
      </c>
      <c r="AN3" s="96" t="s">
        <v>975</v>
      </c>
      <c r="AO3" s="96" t="s">
        <v>1132</v>
      </c>
      <c r="AP3" s="89" t="b">
        <v>0</v>
      </c>
      <c r="AQ3" s="96" t="s">
        <v>975</v>
      </c>
      <c r="AR3" s="89" t="s">
        <v>178</v>
      </c>
      <c r="AS3" s="89">
        <v>0</v>
      </c>
      <c r="AT3" s="89">
        <v>0</v>
      </c>
      <c r="AU3" s="89"/>
      <c r="AV3" s="89"/>
      <c r="AW3" s="89"/>
      <c r="AX3" s="89"/>
      <c r="AY3" s="89"/>
      <c r="AZ3" s="89"/>
      <c r="BA3" s="89"/>
      <c r="BB3" s="89"/>
      <c r="BC3">
        <v>1</v>
      </c>
      <c r="BD3" s="89" t="str">
        <f>REPLACE(INDEX(GroupVertices[Group],MATCH(Edges[[#This Row],[Vertex 1]],GroupVertices[Vertex],0)),1,1,"")</f>
        <v>6</v>
      </c>
      <c r="BE3" s="89" t="str">
        <f>REPLACE(INDEX(GroupVertices[Group],MATCH(Edges[[#This Row],[Vertex 2]],GroupVertices[Vertex],0)),1,1,"")</f>
        <v>6</v>
      </c>
      <c r="BF3" s="49">
        <v>0</v>
      </c>
      <c r="BG3" s="50">
        <v>0</v>
      </c>
      <c r="BH3" s="49">
        <v>0</v>
      </c>
      <c r="BI3" s="50">
        <v>0</v>
      </c>
      <c r="BJ3" s="49">
        <v>0</v>
      </c>
      <c r="BK3" s="50">
        <v>0</v>
      </c>
      <c r="BL3" s="49">
        <v>29</v>
      </c>
      <c r="BM3" s="50">
        <v>100</v>
      </c>
      <c r="BN3" s="49">
        <v>29</v>
      </c>
    </row>
    <row r="4" spans="1:66" ht="15" customHeight="1">
      <c r="A4" s="65" t="s">
        <v>216</v>
      </c>
      <c r="B4" s="65" t="s">
        <v>349</v>
      </c>
      <c r="C4" s="66" t="s">
        <v>4405</v>
      </c>
      <c r="D4" s="67">
        <v>1</v>
      </c>
      <c r="E4" s="68" t="s">
        <v>132</v>
      </c>
      <c r="F4" s="69">
        <v>32</v>
      </c>
      <c r="G4" s="66" t="s">
        <v>51</v>
      </c>
      <c r="H4" s="70"/>
      <c r="I4" s="71"/>
      <c r="J4" s="71"/>
      <c r="K4" s="35" t="s">
        <v>65</v>
      </c>
      <c r="L4" s="79">
        <v>4</v>
      </c>
      <c r="M4" s="79"/>
      <c r="N4" s="73"/>
      <c r="O4" s="90" t="s">
        <v>447</v>
      </c>
      <c r="P4" s="93">
        <v>44575.587013888886</v>
      </c>
      <c r="Q4" s="90" t="s">
        <v>451</v>
      </c>
      <c r="R4" s="90"/>
      <c r="S4" s="90"/>
      <c r="T4" s="97" t="s">
        <v>555</v>
      </c>
      <c r="U4" s="95" t="str">
        <f>HYPERLINK("https://pbs.twimg.com/media/FJEWU11XwAUKZay.jpg")</f>
        <v>https://pbs.twimg.com/media/FJEWU11XwAUKZay.jpg</v>
      </c>
      <c r="V4" s="95" t="str">
        <f>HYPERLINK("https://pbs.twimg.com/media/FJEWU11XwAUKZay.jpg")</f>
        <v>https://pbs.twimg.com/media/FJEWU11XwAUKZay.jpg</v>
      </c>
      <c r="W4" s="93">
        <v>44575.587013888886</v>
      </c>
      <c r="X4" s="102">
        <v>44575</v>
      </c>
      <c r="Y4" s="97" t="s">
        <v>572</v>
      </c>
      <c r="Z4" s="95" t="str">
        <f>HYPERLINK("https://twitter.com/theredpill4u/status/1481990814498754563")</f>
        <v>https://twitter.com/theredpill4u/status/1481990814498754563</v>
      </c>
      <c r="AA4" s="90"/>
      <c r="AB4" s="90"/>
      <c r="AC4" s="97" t="s">
        <v>813</v>
      </c>
      <c r="AD4" s="90"/>
      <c r="AE4" s="90" t="b">
        <v>0</v>
      </c>
      <c r="AF4" s="90">
        <v>0</v>
      </c>
      <c r="AG4" s="97" t="s">
        <v>1087</v>
      </c>
      <c r="AH4" s="90" t="b">
        <v>0</v>
      </c>
      <c r="AI4" s="90" t="s">
        <v>1127</v>
      </c>
      <c r="AJ4" s="90"/>
      <c r="AK4" s="97" t="s">
        <v>1087</v>
      </c>
      <c r="AL4" s="90" t="b">
        <v>0</v>
      </c>
      <c r="AM4" s="90">
        <v>11</v>
      </c>
      <c r="AN4" s="97" t="s">
        <v>975</v>
      </c>
      <c r="AO4" s="97" t="s">
        <v>1132</v>
      </c>
      <c r="AP4" s="90" t="b">
        <v>0</v>
      </c>
      <c r="AQ4" s="97" t="s">
        <v>975</v>
      </c>
      <c r="AR4" s="90" t="s">
        <v>178</v>
      </c>
      <c r="AS4" s="90">
        <v>0</v>
      </c>
      <c r="AT4" s="90">
        <v>0</v>
      </c>
      <c r="AU4" s="90"/>
      <c r="AV4" s="90"/>
      <c r="AW4" s="90"/>
      <c r="AX4" s="90"/>
      <c r="AY4" s="90"/>
      <c r="AZ4" s="90"/>
      <c r="BA4" s="90"/>
      <c r="BB4" s="90"/>
      <c r="BC4">
        <v>1</v>
      </c>
      <c r="BD4" s="89" t="str">
        <f>REPLACE(INDEX(GroupVertices[Group],MATCH(Edges[[#This Row],[Vertex 1]],GroupVertices[Vertex],0)),1,1,"")</f>
        <v>6</v>
      </c>
      <c r="BE4" s="89" t="str">
        <f>REPLACE(INDEX(GroupVertices[Group],MATCH(Edges[[#This Row],[Vertex 2]],GroupVertices[Vertex],0)),1,1,"")</f>
        <v>6</v>
      </c>
      <c r="BF4" s="49">
        <v>0</v>
      </c>
      <c r="BG4" s="50">
        <v>0</v>
      </c>
      <c r="BH4" s="49">
        <v>0</v>
      </c>
      <c r="BI4" s="50">
        <v>0</v>
      </c>
      <c r="BJ4" s="49">
        <v>0</v>
      </c>
      <c r="BK4" s="50">
        <v>0</v>
      </c>
      <c r="BL4" s="49">
        <v>29</v>
      </c>
      <c r="BM4" s="50">
        <v>100</v>
      </c>
      <c r="BN4" s="49">
        <v>29</v>
      </c>
    </row>
    <row r="5" spans="1:66" ht="15">
      <c r="A5" s="65" t="s">
        <v>216</v>
      </c>
      <c r="B5" s="65" t="s">
        <v>384</v>
      </c>
      <c r="C5" s="66" t="s">
        <v>4405</v>
      </c>
      <c r="D5" s="67">
        <v>1</v>
      </c>
      <c r="E5" s="68" t="s">
        <v>132</v>
      </c>
      <c r="F5" s="69">
        <v>32</v>
      </c>
      <c r="G5" s="66" t="s">
        <v>51</v>
      </c>
      <c r="H5" s="70"/>
      <c r="I5" s="71"/>
      <c r="J5" s="71"/>
      <c r="K5" s="35" t="s">
        <v>65</v>
      </c>
      <c r="L5" s="79">
        <v>5</v>
      </c>
      <c r="M5" s="79"/>
      <c r="N5" s="73"/>
      <c r="O5" s="90" t="s">
        <v>447</v>
      </c>
      <c r="P5" s="93">
        <v>44575.60123842592</v>
      </c>
      <c r="Q5" s="90" t="s">
        <v>452</v>
      </c>
      <c r="R5" s="90"/>
      <c r="S5" s="90"/>
      <c r="T5" s="90"/>
      <c r="U5" s="95" t="str">
        <f>HYPERLINK("https://pbs.twimg.com/media/FJEZSt6WYAQW_i_.jpg")</f>
        <v>https://pbs.twimg.com/media/FJEZSt6WYAQW_i_.jpg</v>
      </c>
      <c r="V5" s="95" t="str">
        <f>HYPERLINK("https://pbs.twimg.com/media/FJEZSt6WYAQW_i_.jpg")</f>
        <v>https://pbs.twimg.com/media/FJEZSt6WYAQW_i_.jpg</v>
      </c>
      <c r="W5" s="93">
        <v>44575.60123842592</v>
      </c>
      <c r="X5" s="102">
        <v>44575</v>
      </c>
      <c r="Y5" s="97" t="s">
        <v>573</v>
      </c>
      <c r="Z5" s="95" t="str">
        <f>HYPERLINK("https://twitter.com/theredpill4u/status/1481995969294176258")</f>
        <v>https://twitter.com/theredpill4u/status/1481995969294176258</v>
      </c>
      <c r="AA5" s="90"/>
      <c r="AB5" s="90"/>
      <c r="AC5" s="97" t="s">
        <v>814</v>
      </c>
      <c r="AD5" s="90"/>
      <c r="AE5" s="90" t="b">
        <v>0</v>
      </c>
      <c r="AF5" s="90">
        <v>0</v>
      </c>
      <c r="AG5" s="97" t="s">
        <v>1087</v>
      </c>
      <c r="AH5" s="90" t="b">
        <v>0</v>
      </c>
      <c r="AI5" s="90" t="s">
        <v>1127</v>
      </c>
      <c r="AJ5" s="90"/>
      <c r="AK5" s="97" t="s">
        <v>1087</v>
      </c>
      <c r="AL5" s="90" t="b">
        <v>0</v>
      </c>
      <c r="AM5" s="90">
        <v>33</v>
      </c>
      <c r="AN5" s="97" t="s">
        <v>1022</v>
      </c>
      <c r="AO5" s="97" t="s">
        <v>1132</v>
      </c>
      <c r="AP5" s="90" t="b">
        <v>0</v>
      </c>
      <c r="AQ5" s="97" t="s">
        <v>1022</v>
      </c>
      <c r="AR5" s="90" t="s">
        <v>178</v>
      </c>
      <c r="AS5" s="90">
        <v>0</v>
      </c>
      <c r="AT5" s="90">
        <v>0</v>
      </c>
      <c r="AU5" s="90"/>
      <c r="AV5" s="90"/>
      <c r="AW5" s="90"/>
      <c r="AX5" s="90"/>
      <c r="AY5" s="90"/>
      <c r="AZ5" s="90"/>
      <c r="BA5" s="90"/>
      <c r="BB5" s="90"/>
      <c r="BC5">
        <v>1</v>
      </c>
      <c r="BD5" s="89" t="str">
        <f>REPLACE(INDEX(GroupVertices[Group],MATCH(Edges[[#This Row],[Vertex 1]],GroupVertices[Vertex],0)),1,1,"")</f>
        <v>6</v>
      </c>
      <c r="BE5" s="89" t="str">
        <f>REPLACE(INDEX(GroupVertices[Group],MATCH(Edges[[#This Row],[Vertex 2]],GroupVertices[Vertex],0)),1,1,"")</f>
        <v>2</v>
      </c>
      <c r="BF5" s="49">
        <v>0</v>
      </c>
      <c r="BG5" s="50">
        <v>0</v>
      </c>
      <c r="BH5" s="49">
        <v>0</v>
      </c>
      <c r="BI5" s="50">
        <v>0</v>
      </c>
      <c r="BJ5" s="49">
        <v>0</v>
      </c>
      <c r="BK5" s="50">
        <v>0</v>
      </c>
      <c r="BL5" s="49">
        <v>24</v>
      </c>
      <c r="BM5" s="50">
        <v>100</v>
      </c>
      <c r="BN5" s="49">
        <v>24</v>
      </c>
    </row>
    <row r="6" spans="1:66" ht="15">
      <c r="A6" s="65" t="s">
        <v>217</v>
      </c>
      <c r="B6" s="65" t="s">
        <v>349</v>
      </c>
      <c r="C6" s="66" t="s">
        <v>4405</v>
      </c>
      <c r="D6" s="67">
        <v>1</v>
      </c>
      <c r="E6" s="68" t="s">
        <v>132</v>
      </c>
      <c r="F6" s="69">
        <v>32</v>
      </c>
      <c r="G6" s="66" t="s">
        <v>51</v>
      </c>
      <c r="H6" s="70"/>
      <c r="I6" s="71"/>
      <c r="J6" s="71"/>
      <c r="K6" s="35" t="s">
        <v>65</v>
      </c>
      <c r="L6" s="79">
        <v>6</v>
      </c>
      <c r="M6" s="79"/>
      <c r="N6" s="73"/>
      <c r="O6" s="90" t="s">
        <v>447</v>
      </c>
      <c r="P6" s="93">
        <v>44575.602314814816</v>
      </c>
      <c r="Q6" s="90" t="s">
        <v>451</v>
      </c>
      <c r="R6" s="90"/>
      <c r="S6" s="90"/>
      <c r="T6" s="97" t="s">
        <v>555</v>
      </c>
      <c r="U6" s="95" t="str">
        <f>HYPERLINK("https://pbs.twimg.com/media/FJEWU11XwAUKZay.jpg")</f>
        <v>https://pbs.twimg.com/media/FJEWU11XwAUKZay.jpg</v>
      </c>
      <c r="V6" s="95" t="str">
        <f>HYPERLINK("https://pbs.twimg.com/media/FJEWU11XwAUKZay.jpg")</f>
        <v>https://pbs.twimg.com/media/FJEWU11XwAUKZay.jpg</v>
      </c>
      <c r="W6" s="93">
        <v>44575.602314814816</v>
      </c>
      <c r="X6" s="102">
        <v>44575</v>
      </c>
      <c r="Y6" s="97" t="s">
        <v>574</v>
      </c>
      <c r="Z6" s="95" t="str">
        <f>HYPERLINK("https://twitter.com/jacksonreima/status/1481996356642394112")</f>
        <v>https://twitter.com/jacksonreima/status/1481996356642394112</v>
      </c>
      <c r="AA6" s="90"/>
      <c r="AB6" s="90"/>
      <c r="AC6" s="97" t="s">
        <v>815</v>
      </c>
      <c r="AD6" s="90"/>
      <c r="AE6" s="90" t="b">
        <v>0</v>
      </c>
      <c r="AF6" s="90">
        <v>0</v>
      </c>
      <c r="AG6" s="97" t="s">
        <v>1087</v>
      </c>
      <c r="AH6" s="90" t="b">
        <v>0</v>
      </c>
      <c r="AI6" s="90" t="s">
        <v>1127</v>
      </c>
      <c r="AJ6" s="90"/>
      <c r="AK6" s="97" t="s">
        <v>1087</v>
      </c>
      <c r="AL6" s="90" t="b">
        <v>0</v>
      </c>
      <c r="AM6" s="90">
        <v>11</v>
      </c>
      <c r="AN6" s="97" t="s">
        <v>975</v>
      </c>
      <c r="AO6" s="97" t="s">
        <v>1133</v>
      </c>
      <c r="AP6" s="90" t="b">
        <v>0</v>
      </c>
      <c r="AQ6" s="97" t="s">
        <v>975</v>
      </c>
      <c r="AR6" s="90" t="s">
        <v>178</v>
      </c>
      <c r="AS6" s="90">
        <v>0</v>
      </c>
      <c r="AT6" s="90">
        <v>0</v>
      </c>
      <c r="AU6" s="90"/>
      <c r="AV6" s="90"/>
      <c r="AW6" s="90"/>
      <c r="AX6" s="90"/>
      <c r="AY6" s="90"/>
      <c r="AZ6" s="90"/>
      <c r="BA6" s="90"/>
      <c r="BB6" s="90"/>
      <c r="BC6">
        <v>1</v>
      </c>
      <c r="BD6" s="89" t="str">
        <f>REPLACE(INDEX(GroupVertices[Group],MATCH(Edges[[#This Row],[Vertex 1]],GroupVertices[Vertex],0)),1,1,"")</f>
        <v>6</v>
      </c>
      <c r="BE6" s="89" t="str">
        <f>REPLACE(INDEX(GroupVertices[Group],MATCH(Edges[[#This Row],[Vertex 2]],GroupVertices[Vertex],0)),1,1,"")</f>
        <v>6</v>
      </c>
      <c r="BF6" s="49">
        <v>0</v>
      </c>
      <c r="BG6" s="50">
        <v>0</v>
      </c>
      <c r="BH6" s="49">
        <v>0</v>
      </c>
      <c r="BI6" s="50">
        <v>0</v>
      </c>
      <c r="BJ6" s="49">
        <v>0</v>
      </c>
      <c r="BK6" s="50">
        <v>0</v>
      </c>
      <c r="BL6" s="49">
        <v>29</v>
      </c>
      <c r="BM6" s="50">
        <v>100</v>
      </c>
      <c r="BN6" s="49">
        <v>29</v>
      </c>
    </row>
    <row r="7" spans="1:66" ht="15">
      <c r="A7" s="65" t="s">
        <v>218</v>
      </c>
      <c r="B7" s="65" t="s">
        <v>384</v>
      </c>
      <c r="C7" s="66" t="s">
        <v>4405</v>
      </c>
      <c r="D7" s="67">
        <v>1</v>
      </c>
      <c r="E7" s="68" t="s">
        <v>132</v>
      </c>
      <c r="F7" s="69">
        <v>32</v>
      </c>
      <c r="G7" s="66" t="s">
        <v>51</v>
      </c>
      <c r="H7" s="70"/>
      <c r="I7" s="71"/>
      <c r="J7" s="71"/>
      <c r="K7" s="35" t="s">
        <v>65</v>
      </c>
      <c r="L7" s="79">
        <v>7</v>
      </c>
      <c r="M7" s="79"/>
      <c r="N7" s="73"/>
      <c r="O7" s="90" t="s">
        <v>447</v>
      </c>
      <c r="P7" s="93">
        <v>44575.60428240741</v>
      </c>
      <c r="Q7" s="90" t="s">
        <v>452</v>
      </c>
      <c r="R7" s="90"/>
      <c r="S7" s="90"/>
      <c r="T7" s="90"/>
      <c r="U7" s="95" t="str">
        <f>HYPERLINK("https://pbs.twimg.com/media/FJEZSt6WYAQW_i_.jpg")</f>
        <v>https://pbs.twimg.com/media/FJEZSt6WYAQW_i_.jpg</v>
      </c>
      <c r="V7" s="95" t="str">
        <f>HYPERLINK("https://pbs.twimg.com/media/FJEZSt6WYAQW_i_.jpg")</f>
        <v>https://pbs.twimg.com/media/FJEZSt6WYAQW_i_.jpg</v>
      </c>
      <c r="W7" s="93">
        <v>44575.60428240741</v>
      </c>
      <c r="X7" s="102">
        <v>44575</v>
      </c>
      <c r="Y7" s="97" t="s">
        <v>575</v>
      </c>
      <c r="Z7" s="95" t="str">
        <f>HYPERLINK("https://twitter.com/kaleviniko/status/1481997071972544516")</f>
        <v>https://twitter.com/kaleviniko/status/1481997071972544516</v>
      </c>
      <c r="AA7" s="90"/>
      <c r="AB7" s="90"/>
      <c r="AC7" s="97" t="s">
        <v>816</v>
      </c>
      <c r="AD7" s="90"/>
      <c r="AE7" s="90" t="b">
        <v>0</v>
      </c>
      <c r="AF7" s="90">
        <v>0</v>
      </c>
      <c r="AG7" s="97" t="s">
        <v>1087</v>
      </c>
      <c r="AH7" s="90" t="b">
        <v>0</v>
      </c>
      <c r="AI7" s="90" t="s">
        <v>1127</v>
      </c>
      <c r="AJ7" s="90"/>
      <c r="AK7" s="97" t="s">
        <v>1087</v>
      </c>
      <c r="AL7" s="90" t="b">
        <v>0</v>
      </c>
      <c r="AM7" s="90">
        <v>33</v>
      </c>
      <c r="AN7" s="97" t="s">
        <v>1022</v>
      </c>
      <c r="AO7" s="97" t="s">
        <v>1132</v>
      </c>
      <c r="AP7" s="90" t="b">
        <v>0</v>
      </c>
      <c r="AQ7" s="97" t="s">
        <v>1022</v>
      </c>
      <c r="AR7" s="90" t="s">
        <v>178</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v>0</v>
      </c>
      <c r="BG7" s="50">
        <v>0</v>
      </c>
      <c r="BH7" s="49">
        <v>0</v>
      </c>
      <c r="BI7" s="50">
        <v>0</v>
      </c>
      <c r="BJ7" s="49">
        <v>0</v>
      </c>
      <c r="BK7" s="50">
        <v>0</v>
      </c>
      <c r="BL7" s="49">
        <v>24</v>
      </c>
      <c r="BM7" s="50">
        <v>100</v>
      </c>
      <c r="BN7" s="49">
        <v>24</v>
      </c>
    </row>
    <row r="8" spans="1:66" ht="15">
      <c r="A8" s="65" t="s">
        <v>219</v>
      </c>
      <c r="B8" s="65" t="s">
        <v>384</v>
      </c>
      <c r="C8" s="66" t="s">
        <v>4405</v>
      </c>
      <c r="D8" s="67">
        <v>1</v>
      </c>
      <c r="E8" s="68" t="s">
        <v>132</v>
      </c>
      <c r="F8" s="69">
        <v>32</v>
      </c>
      <c r="G8" s="66" t="s">
        <v>51</v>
      </c>
      <c r="H8" s="70"/>
      <c r="I8" s="71"/>
      <c r="J8" s="71"/>
      <c r="K8" s="35" t="s">
        <v>65</v>
      </c>
      <c r="L8" s="79">
        <v>8</v>
      </c>
      <c r="M8" s="79"/>
      <c r="N8" s="73"/>
      <c r="O8" s="90" t="s">
        <v>447</v>
      </c>
      <c r="P8" s="93">
        <v>44575.609606481485</v>
      </c>
      <c r="Q8" s="90" t="s">
        <v>452</v>
      </c>
      <c r="R8" s="90"/>
      <c r="S8" s="90"/>
      <c r="T8" s="90"/>
      <c r="U8" s="95" t="str">
        <f>HYPERLINK("https://pbs.twimg.com/media/FJEZSt6WYAQW_i_.jpg")</f>
        <v>https://pbs.twimg.com/media/FJEZSt6WYAQW_i_.jpg</v>
      </c>
      <c r="V8" s="95" t="str">
        <f>HYPERLINK("https://pbs.twimg.com/media/FJEZSt6WYAQW_i_.jpg")</f>
        <v>https://pbs.twimg.com/media/FJEZSt6WYAQW_i_.jpg</v>
      </c>
      <c r="W8" s="93">
        <v>44575.609606481485</v>
      </c>
      <c r="X8" s="102">
        <v>44575</v>
      </c>
      <c r="Y8" s="97" t="s">
        <v>576</v>
      </c>
      <c r="Z8" s="95" t="str">
        <f>HYPERLINK("https://twitter.com/ez_matti/status/1481999001486569478")</f>
        <v>https://twitter.com/ez_matti/status/1481999001486569478</v>
      </c>
      <c r="AA8" s="90"/>
      <c r="AB8" s="90"/>
      <c r="AC8" s="97" t="s">
        <v>817</v>
      </c>
      <c r="AD8" s="90"/>
      <c r="AE8" s="90" t="b">
        <v>0</v>
      </c>
      <c r="AF8" s="90">
        <v>0</v>
      </c>
      <c r="AG8" s="97" t="s">
        <v>1087</v>
      </c>
      <c r="AH8" s="90" t="b">
        <v>0</v>
      </c>
      <c r="AI8" s="90" t="s">
        <v>1127</v>
      </c>
      <c r="AJ8" s="90"/>
      <c r="AK8" s="97" t="s">
        <v>1087</v>
      </c>
      <c r="AL8" s="90" t="b">
        <v>0</v>
      </c>
      <c r="AM8" s="90">
        <v>33</v>
      </c>
      <c r="AN8" s="97" t="s">
        <v>1022</v>
      </c>
      <c r="AO8" s="97" t="s">
        <v>1132</v>
      </c>
      <c r="AP8" s="90" t="b">
        <v>0</v>
      </c>
      <c r="AQ8" s="97" t="s">
        <v>1022</v>
      </c>
      <c r="AR8" s="90" t="s">
        <v>178</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0</v>
      </c>
      <c r="BG8" s="50">
        <v>0</v>
      </c>
      <c r="BH8" s="49">
        <v>0</v>
      </c>
      <c r="BI8" s="50">
        <v>0</v>
      </c>
      <c r="BJ8" s="49">
        <v>0</v>
      </c>
      <c r="BK8" s="50">
        <v>0</v>
      </c>
      <c r="BL8" s="49">
        <v>24</v>
      </c>
      <c r="BM8" s="50">
        <v>100</v>
      </c>
      <c r="BN8" s="49">
        <v>24</v>
      </c>
    </row>
    <row r="9" spans="1:66" ht="15">
      <c r="A9" s="65" t="s">
        <v>220</v>
      </c>
      <c r="B9" s="65" t="s">
        <v>384</v>
      </c>
      <c r="C9" s="66" t="s">
        <v>4405</v>
      </c>
      <c r="D9" s="67">
        <v>1</v>
      </c>
      <c r="E9" s="68" t="s">
        <v>132</v>
      </c>
      <c r="F9" s="69">
        <v>32</v>
      </c>
      <c r="G9" s="66" t="s">
        <v>51</v>
      </c>
      <c r="H9" s="70"/>
      <c r="I9" s="71"/>
      <c r="J9" s="71"/>
      <c r="K9" s="35" t="s">
        <v>65</v>
      </c>
      <c r="L9" s="79">
        <v>9</v>
      </c>
      <c r="M9" s="79"/>
      <c r="N9" s="73"/>
      <c r="O9" s="90" t="s">
        <v>447</v>
      </c>
      <c r="P9" s="93">
        <v>44575.614328703705</v>
      </c>
      <c r="Q9" s="90" t="s">
        <v>452</v>
      </c>
      <c r="R9" s="90"/>
      <c r="S9" s="90"/>
      <c r="T9" s="90"/>
      <c r="U9" s="95" t="str">
        <f>HYPERLINK("https://pbs.twimg.com/media/FJEZSt6WYAQW_i_.jpg")</f>
        <v>https://pbs.twimg.com/media/FJEZSt6WYAQW_i_.jpg</v>
      </c>
      <c r="V9" s="95" t="str">
        <f>HYPERLINK("https://pbs.twimg.com/media/FJEZSt6WYAQW_i_.jpg")</f>
        <v>https://pbs.twimg.com/media/FJEZSt6WYAQW_i_.jpg</v>
      </c>
      <c r="W9" s="93">
        <v>44575.614328703705</v>
      </c>
      <c r="X9" s="102">
        <v>44575</v>
      </c>
      <c r="Y9" s="97" t="s">
        <v>577</v>
      </c>
      <c r="Z9" s="95" t="str">
        <f>HYPERLINK("https://twitter.com/j_djaerf/status/1482000713148477451")</f>
        <v>https://twitter.com/j_djaerf/status/1482000713148477451</v>
      </c>
      <c r="AA9" s="90"/>
      <c r="AB9" s="90"/>
      <c r="AC9" s="97" t="s">
        <v>818</v>
      </c>
      <c r="AD9" s="90"/>
      <c r="AE9" s="90" t="b">
        <v>0</v>
      </c>
      <c r="AF9" s="90">
        <v>0</v>
      </c>
      <c r="AG9" s="97" t="s">
        <v>1087</v>
      </c>
      <c r="AH9" s="90" t="b">
        <v>0</v>
      </c>
      <c r="AI9" s="90" t="s">
        <v>1127</v>
      </c>
      <c r="AJ9" s="90"/>
      <c r="AK9" s="97" t="s">
        <v>1087</v>
      </c>
      <c r="AL9" s="90" t="b">
        <v>0</v>
      </c>
      <c r="AM9" s="90">
        <v>33</v>
      </c>
      <c r="AN9" s="97" t="s">
        <v>1022</v>
      </c>
      <c r="AO9" s="97" t="s">
        <v>1134</v>
      </c>
      <c r="AP9" s="90" t="b">
        <v>0</v>
      </c>
      <c r="AQ9" s="97" t="s">
        <v>1022</v>
      </c>
      <c r="AR9" s="90" t="s">
        <v>178</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24</v>
      </c>
      <c r="BM9" s="50">
        <v>100</v>
      </c>
      <c r="BN9" s="49">
        <v>24</v>
      </c>
    </row>
    <row r="10" spans="1:66" ht="15">
      <c r="A10" s="65" t="s">
        <v>221</v>
      </c>
      <c r="B10" s="65" t="s">
        <v>384</v>
      </c>
      <c r="C10" s="66" t="s">
        <v>4405</v>
      </c>
      <c r="D10" s="67">
        <v>1</v>
      </c>
      <c r="E10" s="68" t="s">
        <v>132</v>
      </c>
      <c r="F10" s="69">
        <v>32</v>
      </c>
      <c r="G10" s="66" t="s">
        <v>51</v>
      </c>
      <c r="H10" s="70"/>
      <c r="I10" s="71"/>
      <c r="J10" s="71"/>
      <c r="K10" s="35" t="s">
        <v>65</v>
      </c>
      <c r="L10" s="79">
        <v>10</v>
      </c>
      <c r="M10" s="79"/>
      <c r="N10" s="73"/>
      <c r="O10" s="90" t="s">
        <v>447</v>
      </c>
      <c r="P10" s="93">
        <v>44575.62100694444</v>
      </c>
      <c r="Q10" s="90" t="s">
        <v>452</v>
      </c>
      <c r="R10" s="90"/>
      <c r="S10" s="90"/>
      <c r="T10" s="90"/>
      <c r="U10" s="95" t="str">
        <f>HYPERLINK("https://pbs.twimg.com/media/FJEZSt6WYAQW_i_.jpg")</f>
        <v>https://pbs.twimg.com/media/FJEZSt6WYAQW_i_.jpg</v>
      </c>
      <c r="V10" s="95" t="str">
        <f>HYPERLINK("https://pbs.twimg.com/media/FJEZSt6WYAQW_i_.jpg")</f>
        <v>https://pbs.twimg.com/media/FJEZSt6WYAQW_i_.jpg</v>
      </c>
      <c r="W10" s="93">
        <v>44575.62100694444</v>
      </c>
      <c r="X10" s="102">
        <v>44575</v>
      </c>
      <c r="Y10" s="97" t="s">
        <v>578</v>
      </c>
      <c r="Z10" s="95" t="str">
        <f>HYPERLINK("https://twitter.com/troijanhevonen/status/1482003129910575109")</f>
        <v>https://twitter.com/troijanhevonen/status/1482003129910575109</v>
      </c>
      <c r="AA10" s="90"/>
      <c r="AB10" s="90"/>
      <c r="AC10" s="97" t="s">
        <v>819</v>
      </c>
      <c r="AD10" s="90"/>
      <c r="AE10" s="90" t="b">
        <v>0</v>
      </c>
      <c r="AF10" s="90">
        <v>0</v>
      </c>
      <c r="AG10" s="97" t="s">
        <v>1087</v>
      </c>
      <c r="AH10" s="90" t="b">
        <v>0</v>
      </c>
      <c r="AI10" s="90" t="s">
        <v>1127</v>
      </c>
      <c r="AJ10" s="90"/>
      <c r="AK10" s="97" t="s">
        <v>1087</v>
      </c>
      <c r="AL10" s="90" t="b">
        <v>0</v>
      </c>
      <c r="AM10" s="90">
        <v>33</v>
      </c>
      <c r="AN10" s="97" t="s">
        <v>1022</v>
      </c>
      <c r="AO10" s="97" t="s">
        <v>1134</v>
      </c>
      <c r="AP10" s="90" t="b">
        <v>0</v>
      </c>
      <c r="AQ10" s="97" t="s">
        <v>1022</v>
      </c>
      <c r="AR10" s="90" t="s">
        <v>178</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24</v>
      </c>
      <c r="BM10" s="50">
        <v>100</v>
      </c>
      <c r="BN10" s="49">
        <v>24</v>
      </c>
    </row>
    <row r="11" spans="1:66" ht="15">
      <c r="A11" s="65" t="s">
        <v>222</v>
      </c>
      <c r="B11" s="65" t="s">
        <v>384</v>
      </c>
      <c r="C11" s="66" t="s">
        <v>4405</v>
      </c>
      <c r="D11" s="67">
        <v>1</v>
      </c>
      <c r="E11" s="68" t="s">
        <v>132</v>
      </c>
      <c r="F11" s="69">
        <v>32</v>
      </c>
      <c r="G11" s="66" t="s">
        <v>51</v>
      </c>
      <c r="H11" s="70"/>
      <c r="I11" s="71"/>
      <c r="J11" s="71"/>
      <c r="K11" s="35" t="s">
        <v>65</v>
      </c>
      <c r="L11" s="79">
        <v>11</v>
      </c>
      <c r="M11" s="79"/>
      <c r="N11" s="73"/>
      <c r="O11" s="90" t="s">
        <v>447</v>
      </c>
      <c r="P11" s="93">
        <v>44575.62199074074</v>
      </c>
      <c r="Q11" s="90" t="s">
        <v>452</v>
      </c>
      <c r="R11" s="90"/>
      <c r="S11" s="90"/>
      <c r="T11" s="90"/>
      <c r="U11" s="95" t="str">
        <f>HYPERLINK("https://pbs.twimg.com/media/FJEZSt6WYAQW_i_.jpg")</f>
        <v>https://pbs.twimg.com/media/FJEZSt6WYAQW_i_.jpg</v>
      </c>
      <c r="V11" s="95" t="str">
        <f>HYPERLINK("https://pbs.twimg.com/media/FJEZSt6WYAQW_i_.jpg")</f>
        <v>https://pbs.twimg.com/media/FJEZSt6WYAQW_i_.jpg</v>
      </c>
      <c r="W11" s="93">
        <v>44575.62199074074</v>
      </c>
      <c r="X11" s="102">
        <v>44575</v>
      </c>
      <c r="Y11" s="97" t="s">
        <v>579</v>
      </c>
      <c r="Z11" s="95" t="str">
        <f>HYPERLINK("https://twitter.com/geejopu/status/1482003488590680065")</f>
        <v>https://twitter.com/geejopu/status/1482003488590680065</v>
      </c>
      <c r="AA11" s="90"/>
      <c r="AB11" s="90"/>
      <c r="AC11" s="97" t="s">
        <v>820</v>
      </c>
      <c r="AD11" s="90"/>
      <c r="AE11" s="90" t="b">
        <v>0</v>
      </c>
      <c r="AF11" s="90">
        <v>0</v>
      </c>
      <c r="AG11" s="97" t="s">
        <v>1087</v>
      </c>
      <c r="AH11" s="90" t="b">
        <v>0</v>
      </c>
      <c r="AI11" s="90" t="s">
        <v>1127</v>
      </c>
      <c r="AJ11" s="90"/>
      <c r="AK11" s="97" t="s">
        <v>1087</v>
      </c>
      <c r="AL11" s="90" t="b">
        <v>0</v>
      </c>
      <c r="AM11" s="90">
        <v>33</v>
      </c>
      <c r="AN11" s="97" t="s">
        <v>1022</v>
      </c>
      <c r="AO11" s="97" t="s">
        <v>1133</v>
      </c>
      <c r="AP11" s="90" t="b">
        <v>0</v>
      </c>
      <c r="AQ11" s="97" t="s">
        <v>1022</v>
      </c>
      <c r="AR11" s="90" t="s">
        <v>178</v>
      </c>
      <c r="AS11" s="90">
        <v>0</v>
      </c>
      <c r="AT11" s="90">
        <v>0</v>
      </c>
      <c r="AU11" s="90"/>
      <c r="AV11" s="90"/>
      <c r="AW11" s="90"/>
      <c r="AX11" s="90"/>
      <c r="AY11" s="90"/>
      <c r="AZ11" s="90"/>
      <c r="BA11" s="90"/>
      <c r="BB11" s="90"/>
      <c r="BC11">
        <v>1</v>
      </c>
      <c r="BD11" s="89" t="str">
        <f>REPLACE(INDEX(GroupVertices[Group],MATCH(Edges[[#This Row],[Vertex 1]],GroupVertices[Vertex],0)),1,1,"")</f>
        <v>2</v>
      </c>
      <c r="BE11" s="89"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5" t="s">
        <v>223</v>
      </c>
      <c r="B12" s="65" t="s">
        <v>384</v>
      </c>
      <c r="C12" s="66" t="s">
        <v>4405</v>
      </c>
      <c r="D12" s="67">
        <v>1</v>
      </c>
      <c r="E12" s="68" t="s">
        <v>132</v>
      </c>
      <c r="F12" s="69">
        <v>32</v>
      </c>
      <c r="G12" s="66" t="s">
        <v>51</v>
      </c>
      <c r="H12" s="70"/>
      <c r="I12" s="71"/>
      <c r="J12" s="71"/>
      <c r="K12" s="35" t="s">
        <v>65</v>
      </c>
      <c r="L12" s="79">
        <v>12</v>
      </c>
      <c r="M12" s="79"/>
      <c r="N12" s="73"/>
      <c r="O12" s="90" t="s">
        <v>447</v>
      </c>
      <c r="P12" s="93">
        <v>44575.629895833335</v>
      </c>
      <c r="Q12" s="90" t="s">
        <v>452</v>
      </c>
      <c r="R12" s="90"/>
      <c r="S12" s="90"/>
      <c r="T12" s="90"/>
      <c r="U12" s="95" t="str">
        <f>HYPERLINK("https://pbs.twimg.com/media/FJEZSt6WYAQW_i_.jpg")</f>
        <v>https://pbs.twimg.com/media/FJEZSt6WYAQW_i_.jpg</v>
      </c>
      <c r="V12" s="95" t="str">
        <f>HYPERLINK("https://pbs.twimg.com/media/FJEZSt6WYAQW_i_.jpg")</f>
        <v>https://pbs.twimg.com/media/FJEZSt6WYAQW_i_.jpg</v>
      </c>
      <c r="W12" s="93">
        <v>44575.629895833335</v>
      </c>
      <c r="X12" s="102">
        <v>44575</v>
      </c>
      <c r="Y12" s="97" t="s">
        <v>580</v>
      </c>
      <c r="Z12" s="95" t="str">
        <f>HYPERLINK("https://twitter.com/airioleena/status/1482006353400979456")</f>
        <v>https://twitter.com/airioleena/status/1482006353400979456</v>
      </c>
      <c r="AA12" s="90"/>
      <c r="AB12" s="90"/>
      <c r="AC12" s="97" t="s">
        <v>821</v>
      </c>
      <c r="AD12" s="90"/>
      <c r="AE12" s="90" t="b">
        <v>0</v>
      </c>
      <c r="AF12" s="90">
        <v>0</v>
      </c>
      <c r="AG12" s="97" t="s">
        <v>1087</v>
      </c>
      <c r="AH12" s="90" t="b">
        <v>0</v>
      </c>
      <c r="AI12" s="90" t="s">
        <v>1127</v>
      </c>
      <c r="AJ12" s="90"/>
      <c r="AK12" s="97" t="s">
        <v>1087</v>
      </c>
      <c r="AL12" s="90" t="b">
        <v>0</v>
      </c>
      <c r="AM12" s="90">
        <v>33</v>
      </c>
      <c r="AN12" s="97" t="s">
        <v>1022</v>
      </c>
      <c r="AO12" s="97" t="s">
        <v>1133</v>
      </c>
      <c r="AP12" s="90" t="b">
        <v>0</v>
      </c>
      <c r="AQ12" s="97" t="s">
        <v>1022</v>
      </c>
      <c r="AR12" s="90" t="s">
        <v>178</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v>0</v>
      </c>
      <c r="BG12" s="50">
        <v>0</v>
      </c>
      <c r="BH12" s="49">
        <v>0</v>
      </c>
      <c r="BI12" s="50">
        <v>0</v>
      </c>
      <c r="BJ12" s="49">
        <v>0</v>
      </c>
      <c r="BK12" s="50">
        <v>0</v>
      </c>
      <c r="BL12" s="49">
        <v>24</v>
      </c>
      <c r="BM12" s="50">
        <v>100</v>
      </c>
      <c r="BN12" s="49">
        <v>24</v>
      </c>
    </row>
    <row r="13" spans="1:66" ht="15">
      <c r="A13" s="65" t="s">
        <v>224</v>
      </c>
      <c r="B13" s="65" t="s">
        <v>406</v>
      </c>
      <c r="C13" s="66" t="s">
        <v>4405</v>
      </c>
      <c r="D13" s="67">
        <v>1</v>
      </c>
      <c r="E13" s="68" t="s">
        <v>132</v>
      </c>
      <c r="F13" s="69">
        <v>32</v>
      </c>
      <c r="G13" s="66" t="s">
        <v>51</v>
      </c>
      <c r="H13" s="70"/>
      <c r="I13" s="71"/>
      <c r="J13" s="71"/>
      <c r="K13" s="35" t="s">
        <v>65</v>
      </c>
      <c r="L13" s="79">
        <v>13</v>
      </c>
      <c r="M13" s="79"/>
      <c r="N13" s="73"/>
      <c r="O13" s="90" t="s">
        <v>448</v>
      </c>
      <c r="P13" s="93">
        <v>44575.632106481484</v>
      </c>
      <c r="Q13" s="90" t="s">
        <v>453</v>
      </c>
      <c r="R13" s="90"/>
      <c r="S13" s="90"/>
      <c r="T13" s="97" t="s">
        <v>556</v>
      </c>
      <c r="U13" s="90"/>
      <c r="V13" s="95" t="str">
        <f>HYPERLINK("https://pbs.twimg.com/profile_images/1440051233096536066/51BXwESC_normal.jpg")</f>
        <v>https://pbs.twimg.com/profile_images/1440051233096536066/51BXwESC_normal.jpg</v>
      </c>
      <c r="W13" s="93">
        <v>44575.632106481484</v>
      </c>
      <c r="X13" s="102">
        <v>44575</v>
      </c>
      <c r="Y13" s="97" t="s">
        <v>581</v>
      </c>
      <c r="Z13" s="95" t="str">
        <f>HYPERLINK("https://twitter.com/rane72646372/status/1482007154844389378")</f>
        <v>https://twitter.com/rane72646372/status/1482007154844389378</v>
      </c>
      <c r="AA13" s="90"/>
      <c r="AB13" s="90"/>
      <c r="AC13" s="97" t="s">
        <v>822</v>
      </c>
      <c r="AD13" s="97" t="s">
        <v>1054</v>
      </c>
      <c r="AE13" s="90" t="b">
        <v>0</v>
      </c>
      <c r="AF13" s="90">
        <v>1</v>
      </c>
      <c r="AG13" s="97" t="s">
        <v>1088</v>
      </c>
      <c r="AH13" s="90" t="b">
        <v>0</v>
      </c>
      <c r="AI13" s="90" t="s">
        <v>1128</v>
      </c>
      <c r="AJ13" s="90"/>
      <c r="AK13" s="97" t="s">
        <v>1087</v>
      </c>
      <c r="AL13" s="90" t="b">
        <v>0</v>
      </c>
      <c r="AM13" s="90">
        <v>0</v>
      </c>
      <c r="AN13" s="97" t="s">
        <v>1087</v>
      </c>
      <c r="AO13" s="97" t="s">
        <v>1133</v>
      </c>
      <c r="AP13" s="90" t="b">
        <v>0</v>
      </c>
      <c r="AQ13" s="97" t="s">
        <v>1054</v>
      </c>
      <c r="AR13" s="90" t="s">
        <v>178</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v>0</v>
      </c>
      <c r="BG13" s="50">
        <v>0</v>
      </c>
      <c r="BH13" s="49">
        <v>0</v>
      </c>
      <c r="BI13" s="50">
        <v>0</v>
      </c>
      <c r="BJ13" s="49">
        <v>0</v>
      </c>
      <c r="BK13" s="50">
        <v>0</v>
      </c>
      <c r="BL13" s="49">
        <v>3</v>
      </c>
      <c r="BM13" s="50">
        <v>100</v>
      </c>
      <c r="BN13" s="49">
        <v>3</v>
      </c>
    </row>
    <row r="14" spans="1:66" ht="15">
      <c r="A14" s="65" t="s">
        <v>224</v>
      </c>
      <c r="B14" s="65" t="s">
        <v>384</v>
      </c>
      <c r="C14" s="66" t="s">
        <v>4405</v>
      </c>
      <c r="D14" s="67">
        <v>1</v>
      </c>
      <c r="E14" s="68" t="s">
        <v>132</v>
      </c>
      <c r="F14" s="69">
        <v>32</v>
      </c>
      <c r="G14" s="66" t="s">
        <v>51</v>
      </c>
      <c r="H14" s="70"/>
      <c r="I14" s="71"/>
      <c r="J14" s="71"/>
      <c r="K14" s="35" t="s">
        <v>65</v>
      </c>
      <c r="L14" s="79">
        <v>14</v>
      </c>
      <c r="M14" s="79"/>
      <c r="N14" s="73"/>
      <c r="O14" s="90" t="s">
        <v>447</v>
      </c>
      <c r="P14" s="93">
        <v>44575.628645833334</v>
      </c>
      <c r="Q14" s="90" t="s">
        <v>452</v>
      </c>
      <c r="R14" s="90"/>
      <c r="S14" s="90"/>
      <c r="T14" s="90"/>
      <c r="U14" s="95" t="str">
        <f>HYPERLINK("https://pbs.twimg.com/media/FJEZSt6WYAQW_i_.jpg")</f>
        <v>https://pbs.twimg.com/media/FJEZSt6WYAQW_i_.jpg</v>
      </c>
      <c r="V14" s="95" t="str">
        <f>HYPERLINK("https://pbs.twimg.com/media/FJEZSt6WYAQW_i_.jpg")</f>
        <v>https://pbs.twimg.com/media/FJEZSt6WYAQW_i_.jpg</v>
      </c>
      <c r="W14" s="93">
        <v>44575.628645833334</v>
      </c>
      <c r="X14" s="102">
        <v>44575</v>
      </c>
      <c r="Y14" s="97" t="s">
        <v>582</v>
      </c>
      <c r="Z14" s="95" t="str">
        <f>HYPERLINK("https://twitter.com/rane72646372/status/1482005899770310659")</f>
        <v>https://twitter.com/rane72646372/status/1482005899770310659</v>
      </c>
      <c r="AA14" s="90"/>
      <c r="AB14" s="90"/>
      <c r="AC14" s="97" t="s">
        <v>823</v>
      </c>
      <c r="AD14" s="90"/>
      <c r="AE14" s="90" t="b">
        <v>0</v>
      </c>
      <c r="AF14" s="90">
        <v>0</v>
      </c>
      <c r="AG14" s="97" t="s">
        <v>1087</v>
      </c>
      <c r="AH14" s="90" t="b">
        <v>0</v>
      </c>
      <c r="AI14" s="90" t="s">
        <v>1127</v>
      </c>
      <c r="AJ14" s="90"/>
      <c r="AK14" s="97" t="s">
        <v>1087</v>
      </c>
      <c r="AL14" s="90" t="b">
        <v>0</v>
      </c>
      <c r="AM14" s="90">
        <v>33</v>
      </c>
      <c r="AN14" s="97" t="s">
        <v>1022</v>
      </c>
      <c r="AO14" s="97" t="s">
        <v>1133</v>
      </c>
      <c r="AP14" s="90" t="b">
        <v>0</v>
      </c>
      <c r="AQ14" s="97" t="s">
        <v>1022</v>
      </c>
      <c r="AR14" s="90" t="s">
        <v>178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0</v>
      </c>
      <c r="BG14" s="50">
        <v>0</v>
      </c>
      <c r="BH14" s="49">
        <v>0</v>
      </c>
      <c r="BI14" s="50">
        <v>0</v>
      </c>
      <c r="BJ14" s="49">
        <v>0</v>
      </c>
      <c r="BK14" s="50">
        <v>0</v>
      </c>
      <c r="BL14" s="49">
        <v>24</v>
      </c>
      <c r="BM14" s="50">
        <v>100</v>
      </c>
      <c r="BN14" s="49">
        <v>24</v>
      </c>
    </row>
    <row r="15" spans="1:66" ht="15">
      <c r="A15" s="65" t="s">
        <v>224</v>
      </c>
      <c r="B15" s="65" t="s">
        <v>384</v>
      </c>
      <c r="C15" s="66" t="s">
        <v>4405</v>
      </c>
      <c r="D15" s="67">
        <v>1</v>
      </c>
      <c r="E15" s="68" t="s">
        <v>132</v>
      </c>
      <c r="F15" s="69">
        <v>32</v>
      </c>
      <c r="G15" s="66" t="s">
        <v>51</v>
      </c>
      <c r="H15" s="70"/>
      <c r="I15" s="71"/>
      <c r="J15" s="71"/>
      <c r="K15" s="35" t="s">
        <v>65</v>
      </c>
      <c r="L15" s="79">
        <v>15</v>
      </c>
      <c r="M15" s="79"/>
      <c r="N15" s="73"/>
      <c r="O15" s="90" t="s">
        <v>449</v>
      </c>
      <c r="P15" s="93">
        <v>44575.632106481484</v>
      </c>
      <c r="Q15" s="90" t="s">
        <v>453</v>
      </c>
      <c r="R15" s="90"/>
      <c r="S15" s="90"/>
      <c r="T15" s="97" t="s">
        <v>556</v>
      </c>
      <c r="U15" s="90"/>
      <c r="V15" s="95" t="str">
        <f>HYPERLINK("https://pbs.twimg.com/profile_images/1440051233096536066/51BXwESC_normal.jpg")</f>
        <v>https://pbs.twimg.com/profile_images/1440051233096536066/51BXwESC_normal.jpg</v>
      </c>
      <c r="W15" s="93">
        <v>44575.632106481484</v>
      </c>
      <c r="X15" s="102">
        <v>44575</v>
      </c>
      <c r="Y15" s="97" t="s">
        <v>581</v>
      </c>
      <c r="Z15" s="95" t="str">
        <f>HYPERLINK("https://twitter.com/rane72646372/status/1482007154844389378")</f>
        <v>https://twitter.com/rane72646372/status/1482007154844389378</v>
      </c>
      <c r="AA15" s="90"/>
      <c r="AB15" s="90"/>
      <c r="AC15" s="97" t="s">
        <v>822</v>
      </c>
      <c r="AD15" s="97" t="s">
        <v>1054</v>
      </c>
      <c r="AE15" s="90" t="b">
        <v>0</v>
      </c>
      <c r="AF15" s="90">
        <v>1</v>
      </c>
      <c r="AG15" s="97" t="s">
        <v>1088</v>
      </c>
      <c r="AH15" s="90" t="b">
        <v>0</v>
      </c>
      <c r="AI15" s="90" t="s">
        <v>1128</v>
      </c>
      <c r="AJ15" s="90"/>
      <c r="AK15" s="97" t="s">
        <v>1087</v>
      </c>
      <c r="AL15" s="90" t="b">
        <v>0</v>
      </c>
      <c r="AM15" s="90">
        <v>0</v>
      </c>
      <c r="AN15" s="97" t="s">
        <v>1087</v>
      </c>
      <c r="AO15" s="97" t="s">
        <v>1133</v>
      </c>
      <c r="AP15" s="90" t="b">
        <v>0</v>
      </c>
      <c r="AQ15" s="97" t="s">
        <v>1054</v>
      </c>
      <c r="AR15" s="90" t="s">
        <v>178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225</v>
      </c>
      <c r="B16" s="65" t="s">
        <v>384</v>
      </c>
      <c r="C16" s="66" t="s">
        <v>4405</v>
      </c>
      <c r="D16" s="67">
        <v>1</v>
      </c>
      <c r="E16" s="68" t="s">
        <v>132</v>
      </c>
      <c r="F16" s="69">
        <v>32</v>
      </c>
      <c r="G16" s="66" t="s">
        <v>51</v>
      </c>
      <c r="H16" s="70"/>
      <c r="I16" s="71"/>
      <c r="J16" s="71"/>
      <c r="K16" s="35" t="s">
        <v>65</v>
      </c>
      <c r="L16" s="79">
        <v>16</v>
      </c>
      <c r="M16" s="79"/>
      <c r="N16" s="73"/>
      <c r="O16" s="90" t="s">
        <v>447</v>
      </c>
      <c r="P16" s="93">
        <v>44575.63594907407</v>
      </c>
      <c r="Q16" s="90" t="s">
        <v>452</v>
      </c>
      <c r="R16" s="90"/>
      <c r="S16" s="90"/>
      <c r="T16" s="90"/>
      <c r="U16" s="95" t="str">
        <f>HYPERLINK("https://pbs.twimg.com/media/FJEZSt6WYAQW_i_.jpg")</f>
        <v>https://pbs.twimg.com/media/FJEZSt6WYAQW_i_.jpg</v>
      </c>
      <c r="V16" s="95" t="str">
        <f>HYPERLINK("https://pbs.twimg.com/media/FJEZSt6WYAQW_i_.jpg")</f>
        <v>https://pbs.twimg.com/media/FJEZSt6WYAQW_i_.jpg</v>
      </c>
      <c r="W16" s="93">
        <v>44575.63594907407</v>
      </c>
      <c r="X16" s="102">
        <v>44575</v>
      </c>
      <c r="Y16" s="97" t="s">
        <v>583</v>
      </c>
      <c r="Z16" s="95" t="str">
        <f>HYPERLINK("https://twitter.com/tatianadesancti/status/1482008546367705088")</f>
        <v>https://twitter.com/tatianadesancti/status/1482008546367705088</v>
      </c>
      <c r="AA16" s="90"/>
      <c r="AB16" s="90"/>
      <c r="AC16" s="97" t="s">
        <v>824</v>
      </c>
      <c r="AD16" s="90"/>
      <c r="AE16" s="90" t="b">
        <v>0</v>
      </c>
      <c r="AF16" s="90">
        <v>0</v>
      </c>
      <c r="AG16" s="97" t="s">
        <v>1087</v>
      </c>
      <c r="AH16" s="90" t="b">
        <v>0</v>
      </c>
      <c r="AI16" s="90" t="s">
        <v>1127</v>
      </c>
      <c r="AJ16" s="90"/>
      <c r="AK16" s="97" t="s">
        <v>1087</v>
      </c>
      <c r="AL16" s="90" t="b">
        <v>0</v>
      </c>
      <c r="AM16" s="90">
        <v>33</v>
      </c>
      <c r="AN16" s="97" t="s">
        <v>1022</v>
      </c>
      <c r="AO16" s="97" t="s">
        <v>1134</v>
      </c>
      <c r="AP16" s="90" t="b">
        <v>0</v>
      </c>
      <c r="AQ16" s="97" t="s">
        <v>1022</v>
      </c>
      <c r="AR16" s="90" t="s">
        <v>178</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0</v>
      </c>
      <c r="BG16" s="50">
        <v>0</v>
      </c>
      <c r="BH16" s="49">
        <v>0</v>
      </c>
      <c r="BI16" s="50">
        <v>0</v>
      </c>
      <c r="BJ16" s="49">
        <v>0</v>
      </c>
      <c r="BK16" s="50">
        <v>0</v>
      </c>
      <c r="BL16" s="49">
        <v>24</v>
      </c>
      <c r="BM16" s="50">
        <v>100</v>
      </c>
      <c r="BN16" s="49">
        <v>24</v>
      </c>
    </row>
    <row r="17" spans="1:66" ht="15">
      <c r="A17" s="65" t="s">
        <v>226</v>
      </c>
      <c r="B17" s="65" t="s">
        <v>384</v>
      </c>
      <c r="C17" s="66" t="s">
        <v>4405</v>
      </c>
      <c r="D17" s="67">
        <v>1</v>
      </c>
      <c r="E17" s="68" t="s">
        <v>132</v>
      </c>
      <c r="F17" s="69">
        <v>32</v>
      </c>
      <c r="G17" s="66" t="s">
        <v>51</v>
      </c>
      <c r="H17" s="70"/>
      <c r="I17" s="71"/>
      <c r="J17" s="71"/>
      <c r="K17" s="35" t="s">
        <v>65</v>
      </c>
      <c r="L17" s="79">
        <v>17</v>
      </c>
      <c r="M17" s="79"/>
      <c r="N17" s="73"/>
      <c r="O17" s="90" t="s">
        <v>447</v>
      </c>
      <c r="P17" s="93">
        <v>44575.64884259259</v>
      </c>
      <c r="Q17" s="90" t="s">
        <v>452</v>
      </c>
      <c r="R17" s="90"/>
      <c r="S17" s="90"/>
      <c r="T17" s="90"/>
      <c r="U17" s="95" t="str">
        <f>HYPERLINK("https://pbs.twimg.com/media/FJEZSt6WYAQW_i_.jpg")</f>
        <v>https://pbs.twimg.com/media/FJEZSt6WYAQW_i_.jpg</v>
      </c>
      <c r="V17" s="95" t="str">
        <f>HYPERLINK("https://pbs.twimg.com/media/FJEZSt6WYAQW_i_.jpg")</f>
        <v>https://pbs.twimg.com/media/FJEZSt6WYAQW_i_.jpg</v>
      </c>
      <c r="W17" s="93">
        <v>44575.64884259259</v>
      </c>
      <c r="X17" s="102">
        <v>44575</v>
      </c>
      <c r="Y17" s="97" t="s">
        <v>584</v>
      </c>
      <c r="Z17" s="95" t="str">
        <f>HYPERLINK("https://twitter.com/outis1917/status/1482013219564797955")</f>
        <v>https://twitter.com/outis1917/status/1482013219564797955</v>
      </c>
      <c r="AA17" s="90"/>
      <c r="AB17" s="90"/>
      <c r="AC17" s="97" t="s">
        <v>825</v>
      </c>
      <c r="AD17" s="90"/>
      <c r="AE17" s="90" t="b">
        <v>0</v>
      </c>
      <c r="AF17" s="90">
        <v>0</v>
      </c>
      <c r="AG17" s="97" t="s">
        <v>1087</v>
      </c>
      <c r="AH17" s="90" t="b">
        <v>0</v>
      </c>
      <c r="AI17" s="90" t="s">
        <v>1127</v>
      </c>
      <c r="AJ17" s="90"/>
      <c r="AK17" s="97" t="s">
        <v>1087</v>
      </c>
      <c r="AL17" s="90" t="b">
        <v>0</v>
      </c>
      <c r="AM17" s="90">
        <v>33</v>
      </c>
      <c r="AN17" s="97" t="s">
        <v>1022</v>
      </c>
      <c r="AO17" s="97" t="s">
        <v>1133</v>
      </c>
      <c r="AP17" s="90" t="b">
        <v>0</v>
      </c>
      <c r="AQ17" s="97" t="s">
        <v>1022</v>
      </c>
      <c r="AR17" s="90" t="s">
        <v>178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v>0</v>
      </c>
      <c r="BG17" s="50">
        <v>0</v>
      </c>
      <c r="BH17" s="49">
        <v>0</v>
      </c>
      <c r="BI17" s="50">
        <v>0</v>
      </c>
      <c r="BJ17" s="49">
        <v>0</v>
      </c>
      <c r="BK17" s="50">
        <v>0</v>
      </c>
      <c r="BL17" s="49">
        <v>24</v>
      </c>
      <c r="BM17" s="50">
        <v>100</v>
      </c>
      <c r="BN17" s="49">
        <v>24</v>
      </c>
    </row>
    <row r="18" spans="1:66" ht="15">
      <c r="A18" s="65" t="s">
        <v>227</v>
      </c>
      <c r="B18" s="65" t="s">
        <v>384</v>
      </c>
      <c r="C18" s="66" t="s">
        <v>4405</v>
      </c>
      <c r="D18" s="67">
        <v>1</v>
      </c>
      <c r="E18" s="68" t="s">
        <v>132</v>
      </c>
      <c r="F18" s="69">
        <v>32</v>
      </c>
      <c r="G18" s="66" t="s">
        <v>51</v>
      </c>
      <c r="H18" s="70"/>
      <c r="I18" s="71"/>
      <c r="J18" s="71"/>
      <c r="K18" s="35" t="s">
        <v>65</v>
      </c>
      <c r="L18" s="79">
        <v>18</v>
      </c>
      <c r="M18" s="79"/>
      <c r="N18" s="73"/>
      <c r="O18" s="90" t="s">
        <v>447</v>
      </c>
      <c r="P18" s="93">
        <v>44575.64965277778</v>
      </c>
      <c r="Q18" s="90" t="s">
        <v>452</v>
      </c>
      <c r="R18" s="90"/>
      <c r="S18" s="90"/>
      <c r="T18" s="90"/>
      <c r="U18" s="95" t="str">
        <f>HYPERLINK("https://pbs.twimg.com/media/FJEZSt6WYAQW_i_.jpg")</f>
        <v>https://pbs.twimg.com/media/FJEZSt6WYAQW_i_.jpg</v>
      </c>
      <c r="V18" s="95" t="str">
        <f>HYPERLINK("https://pbs.twimg.com/media/FJEZSt6WYAQW_i_.jpg")</f>
        <v>https://pbs.twimg.com/media/FJEZSt6WYAQW_i_.jpg</v>
      </c>
      <c r="W18" s="93">
        <v>44575.64965277778</v>
      </c>
      <c r="X18" s="102">
        <v>44575</v>
      </c>
      <c r="Y18" s="97" t="s">
        <v>585</v>
      </c>
      <c r="Z18" s="95" t="str">
        <f>HYPERLINK("https://twitter.com/disgustbird/status/1482013510406131714")</f>
        <v>https://twitter.com/disgustbird/status/1482013510406131714</v>
      </c>
      <c r="AA18" s="90"/>
      <c r="AB18" s="90"/>
      <c r="AC18" s="97" t="s">
        <v>826</v>
      </c>
      <c r="AD18" s="90"/>
      <c r="AE18" s="90" t="b">
        <v>0</v>
      </c>
      <c r="AF18" s="90">
        <v>0</v>
      </c>
      <c r="AG18" s="97" t="s">
        <v>1087</v>
      </c>
      <c r="AH18" s="90" t="b">
        <v>0</v>
      </c>
      <c r="AI18" s="90" t="s">
        <v>1127</v>
      </c>
      <c r="AJ18" s="90"/>
      <c r="AK18" s="97" t="s">
        <v>1087</v>
      </c>
      <c r="AL18" s="90" t="b">
        <v>0</v>
      </c>
      <c r="AM18" s="90">
        <v>33</v>
      </c>
      <c r="AN18" s="97" t="s">
        <v>1022</v>
      </c>
      <c r="AO18" s="97" t="s">
        <v>1134</v>
      </c>
      <c r="AP18" s="90" t="b">
        <v>0</v>
      </c>
      <c r="AQ18" s="97" t="s">
        <v>1022</v>
      </c>
      <c r="AR18" s="90" t="s">
        <v>178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0</v>
      </c>
      <c r="BG18" s="50">
        <v>0</v>
      </c>
      <c r="BH18" s="49">
        <v>0</v>
      </c>
      <c r="BI18" s="50">
        <v>0</v>
      </c>
      <c r="BJ18" s="49">
        <v>0</v>
      </c>
      <c r="BK18" s="50">
        <v>0</v>
      </c>
      <c r="BL18" s="49">
        <v>24</v>
      </c>
      <c r="BM18" s="50">
        <v>100</v>
      </c>
      <c r="BN18" s="49">
        <v>24</v>
      </c>
    </row>
    <row r="19" spans="1:66" ht="15">
      <c r="A19" s="65" t="s">
        <v>228</v>
      </c>
      <c r="B19" s="65" t="s">
        <v>384</v>
      </c>
      <c r="C19" s="66" t="s">
        <v>4405</v>
      </c>
      <c r="D19" s="67">
        <v>1</v>
      </c>
      <c r="E19" s="68" t="s">
        <v>132</v>
      </c>
      <c r="F19" s="69">
        <v>32</v>
      </c>
      <c r="G19" s="66" t="s">
        <v>51</v>
      </c>
      <c r="H19" s="70"/>
      <c r="I19" s="71"/>
      <c r="J19" s="71"/>
      <c r="K19" s="35" t="s">
        <v>65</v>
      </c>
      <c r="L19" s="79">
        <v>19</v>
      </c>
      <c r="M19" s="79"/>
      <c r="N19" s="73"/>
      <c r="O19" s="90" t="s">
        <v>447</v>
      </c>
      <c r="P19" s="93">
        <v>44575.65775462963</v>
      </c>
      <c r="Q19" s="90" t="s">
        <v>452</v>
      </c>
      <c r="R19" s="90"/>
      <c r="S19" s="90"/>
      <c r="T19" s="90"/>
      <c r="U19" s="95" t="str">
        <f>HYPERLINK("https://pbs.twimg.com/media/FJEZSt6WYAQW_i_.jpg")</f>
        <v>https://pbs.twimg.com/media/FJEZSt6WYAQW_i_.jpg</v>
      </c>
      <c r="V19" s="95" t="str">
        <f>HYPERLINK("https://pbs.twimg.com/media/FJEZSt6WYAQW_i_.jpg")</f>
        <v>https://pbs.twimg.com/media/FJEZSt6WYAQW_i_.jpg</v>
      </c>
      <c r="W19" s="93">
        <v>44575.65775462963</v>
      </c>
      <c r="X19" s="102">
        <v>44575</v>
      </c>
      <c r="Y19" s="97" t="s">
        <v>586</v>
      </c>
      <c r="Z19" s="95" t="str">
        <f>HYPERLINK("https://twitter.com/_flashman_harry/status/1482016448923021319")</f>
        <v>https://twitter.com/_flashman_harry/status/1482016448923021319</v>
      </c>
      <c r="AA19" s="90"/>
      <c r="AB19" s="90"/>
      <c r="AC19" s="97" t="s">
        <v>827</v>
      </c>
      <c r="AD19" s="90"/>
      <c r="AE19" s="90" t="b">
        <v>0</v>
      </c>
      <c r="AF19" s="90">
        <v>0</v>
      </c>
      <c r="AG19" s="97" t="s">
        <v>1087</v>
      </c>
      <c r="AH19" s="90" t="b">
        <v>0</v>
      </c>
      <c r="AI19" s="90" t="s">
        <v>1127</v>
      </c>
      <c r="AJ19" s="90"/>
      <c r="AK19" s="97" t="s">
        <v>1087</v>
      </c>
      <c r="AL19" s="90" t="b">
        <v>0</v>
      </c>
      <c r="AM19" s="90">
        <v>33</v>
      </c>
      <c r="AN19" s="97" t="s">
        <v>1022</v>
      </c>
      <c r="AO19" s="97" t="s">
        <v>1132</v>
      </c>
      <c r="AP19" s="90" t="b">
        <v>0</v>
      </c>
      <c r="AQ19" s="97" t="s">
        <v>1022</v>
      </c>
      <c r="AR19" s="90" t="s">
        <v>178</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0</v>
      </c>
      <c r="BG19" s="50">
        <v>0</v>
      </c>
      <c r="BH19" s="49">
        <v>0</v>
      </c>
      <c r="BI19" s="50">
        <v>0</v>
      </c>
      <c r="BJ19" s="49">
        <v>0</v>
      </c>
      <c r="BK19" s="50">
        <v>0</v>
      </c>
      <c r="BL19" s="49">
        <v>24</v>
      </c>
      <c r="BM19" s="50">
        <v>100</v>
      </c>
      <c r="BN19" s="49">
        <v>24</v>
      </c>
    </row>
    <row r="20" spans="1:66" ht="15">
      <c r="A20" s="65" t="s">
        <v>229</v>
      </c>
      <c r="B20" s="65" t="s">
        <v>349</v>
      </c>
      <c r="C20" s="66" t="s">
        <v>4405</v>
      </c>
      <c r="D20" s="67">
        <v>1</v>
      </c>
      <c r="E20" s="68" t="s">
        <v>132</v>
      </c>
      <c r="F20" s="69">
        <v>32</v>
      </c>
      <c r="G20" s="66" t="s">
        <v>51</v>
      </c>
      <c r="H20" s="70"/>
      <c r="I20" s="71"/>
      <c r="J20" s="71"/>
      <c r="K20" s="35" t="s">
        <v>65</v>
      </c>
      <c r="L20" s="79">
        <v>20</v>
      </c>
      <c r="M20" s="79"/>
      <c r="N20" s="73"/>
      <c r="O20" s="90" t="s">
        <v>447</v>
      </c>
      <c r="P20" s="93">
        <v>44575.66337962963</v>
      </c>
      <c r="Q20" s="90" t="s">
        <v>451</v>
      </c>
      <c r="R20" s="90"/>
      <c r="S20" s="90"/>
      <c r="T20" s="97" t="s">
        <v>555</v>
      </c>
      <c r="U20" s="95" t="str">
        <f>HYPERLINK("https://pbs.twimg.com/media/FJEWU11XwAUKZay.jpg")</f>
        <v>https://pbs.twimg.com/media/FJEWU11XwAUKZay.jpg</v>
      </c>
      <c r="V20" s="95" t="str">
        <f>HYPERLINK("https://pbs.twimg.com/media/FJEWU11XwAUKZay.jpg")</f>
        <v>https://pbs.twimg.com/media/FJEWU11XwAUKZay.jpg</v>
      </c>
      <c r="W20" s="93">
        <v>44575.66337962963</v>
      </c>
      <c r="X20" s="102">
        <v>44575</v>
      </c>
      <c r="Y20" s="97" t="s">
        <v>587</v>
      </c>
      <c r="Z20" s="95" t="str">
        <f>HYPERLINK("https://twitter.com/karvonen_v/status/1482018488852131843")</f>
        <v>https://twitter.com/karvonen_v/status/1482018488852131843</v>
      </c>
      <c r="AA20" s="90"/>
      <c r="AB20" s="90"/>
      <c r="AC20" s="97" t="s">
        <v>828</v>
      </c>
      <c r="AD20" s="90"/>
      <c r="AE20" s="90" t="b">
        <v>0</v>
      </c>
      <c r="AF20" s="90">
        <v>0</v>
      </c>
      <c r="AG20" s="97" t="s">
        <v>1087</v>
      </c>
      <c r="AH20" s="90" t="b">
        <v>0</v>
      </c>
      <c r="AI20" s="90" t="s">
        <v>1127</v>
      </c>
      <c r="AJ20" s="90"/>
      <c r="AK20" s="97" t="s">
        <v>1087</v>
      </c>
      <c r="AL20" s="90" t="b">
        <v>0</v>
      </c>
      <c r="AM20" s="90">
        <v>11</v>
      </c>
      <c r="AN20" s="97" t="s">
        <v>975</v>
      </c>
      <c r="AO20" s="97" t="s">
        <v>1133</v>
      </c>
      <c r="AP20" s="90" t="b">
        <v>0</v>
      </c>
      <c r="AQ20" s="97" t="s">
        <v>975</v>
      </c>
      <c r="AR20" s="90" t="s">
        <v>178</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29</v>
      </c>
      <c r="BM20" s="50">
        <v>100</v>
      </c>
      <c r="BN20" s="49">
        <v>29</v>
      </c>
    </row>
    <row r="21" spans="1:66" ht="15">
      <c r="A21" s="65" t="s">
        <v>230</v>
      </c>
      <c r="B21" s="65" t="s">
        <v>384</v>
      </c>
      <c r="C21" s="66" t="s">
        <v>4405</v>
      </c>
      <c r="D21" s="67">
        <v>1</v>
      </c>
      <c r="E21" s="68" t="s">
        <v>132</v>
      </c>
      <c r="F21" s="69">
        <v>32</v>
      </c>
      <c r="G21" s="66" t="s">
        <v>51</v>
      </c>
      <c r="H21" s="70"/>
      <c r="I21" s="71"/>
      <c r="J21" s="71"/>
      <c r="K21" s="35" t="s">
        <v>65</v>
      </c>
      <c r="L21" s="79">
        <v>21</v>
      </c>
      <c r="M21" s="79"/>
      <c r="N21" s="73"/>
      <c r="O21" s="90" t="s">
        <v>447</v>
      </c>
      <c r="P21" s="93">
        <v>44575.66674768519</v>
      </c>
      <c r="Q21" s="90" t="s">
        <v>452</v>
      </c>
      <c r="R21" s="90"/>
      <c r="S21" s="90"/>
      <c r="T21" s="90"/>
      <c r="U21" s="95" t="str">
        <f>HYPERLINK("https://pbs.twimg.com/media/FJEZSt6WYAQW_i_.jpg")</f>
        <v>https://pbs.twimg.com/media/FJEZSt6WYAQW_i_.jpg</v>
      </c>
      <c r="V21" s="95" t="str">
        <f>HYPERLINK("https://pbs.twimg.com/media/FJEZSt6WYAQW_i_.jpg")</f>
        <v>https://pbs.twimg.com/media/FJEZSt6WYAQW_i_.jpg</v>
      </c>
      <c r="W21" s="93">
        <v>44575.66674768519</v>
      </c>
      <c r="X21" s="102">
        <v>44575</v>
      </c>
      <c r="Y21" s="97" t="s">
        <v>588</v>
      </c>
      <c r="Z21" s="95" t="str">
        <f>HYPERLINK("https://twitter.com/crypto_viserion/status/1482019709319057409")</f>
        <v>https://twitter.com/crypto_viserion/status/1482019709319057409</v>
      </c>
      <c r="AA21" s="90"/>
      <c r="AB21" s="90"/>
      <c r="AC21" s="97" t="s">
        <v>829</v>
      </c>
      <c r="AD21" s="90"/>
      <c r="AE21" s="90" t="b">
        <v>0</v>
      </c>
      <c r="AF21" s="90">
        <v>0</v>
      </c>
      <c r="AG21" s="97" t="s">
        <v>1087</v>
      </c>
      <c r="AH21" s="90" t="b">
        <v>0</v>
      </c>
      <c r="AI21" s="90" t="s">
        <v>1127</v>
      </c>
      <c r="AJ21" s="90"/>
      <c r="AK21" s="97" t="s">
        <v>1087</v>
      </c>
      <c r="AL21" s="90" t="b">
        <v>0</v>
      </c>
      <c r="AM21" s="90">
        <v>33</v>
      </c>
      <c r="AN21" s="97" t="s">
        <v>1022</v>
      </c>
      <c r="AO21" s="97" t="s">
        <v>1133</v>
      </c>
      <c r="AP21" s="90" t="b">
        <v>0</v>
      </c>
      <c r="AQ21" s="97" t="s">
        <v>1022</v>
      </c>
      <c r="AR21" s="90" t="s">
        <v>178</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5" t="s">
        <v>231</v>
      </c>
      <c r="B22" s="65" t="s">
        <v>384</v>
      </c>
      <c r="C22" s="66" t="s">
        <v>4405</v>
      </c>
      <c r="D22" s="67">
        <v>1</v>
      </c>
      <c r="E22" s="68" t="s">
        <v>132</v>
      </c>
      <c r="F22" s="69">
        <v>32</v>
      </c>
      <c r="G22" s="66" t="s">
        <v>51</v>
      </c>
      <c r="H22" s="70"/>
      <c r="I22" s="71"/>
      <c r="J22" s="71"/>
      <c r="K22" s="35" t="s">
        <v>65</v>
      </c>
      <c r="L22" s="79">
        <v>22</v>
      </c>
      <c r="M22" s="79"/>
      <c r="N22" s="73"/>
      <c r="O22" s="90" t="s">
        <v>447</v>
      </c>
      <c r="P22" s="93">
        <v>44575.68019675926</v>
      </c>
      <c r="Q22" s="90" t="s">
        <v>452</v>
      </c>
      <c r="R22" s="90"/>
      <c r="S22" s="90"/>
      <c r="T22" s="90"/>
      <c r="U22" s="95" t="str">
        <f>HYPERLINK("https://pbs.twimg.com/media/FJEZSt6WYAQW_i_.jpg")</f>
        <v>https://pbs.twimg.com/media/FJEZSt6WYAQW_i_.jpg</v>
      </c>
      <c r="V22" s="95" t="str">
        <f>HYPERLINK("https://pbs.twimg.com/media/FJEZSt6WYAQW_i_.jpg")</f>
        <v>https://pbs.twimg.com/media/FJEZSt6WYAQW_i_.jpg</v>
      </c>
      <c r="W22" s="93">
        <v>44575.68019675926</v>
      </c>
      <c r="X22" s="102">
        <v>44575</v>
      </c>
      <c r="Y22" s="97" t="s">
        <v>589</v>
      </c>
      <c r="Z22" s="95" t="str">
        <f>HYPERLINK("https://twitter.com/tapiokarja/status/1482024582634737666")</f>
        <v>https://twitter.com/tapiokarja/status/1482024582634737666</v>
      </c>
      <c r="AA22" s="90"/>
      <c r="AB22" s="90"/>
      <c r="AC22" s="97" t="s">
        <v>830</v>
      </c>
      <c r="AD22" s="90"/>
      <c r="AE22" s="90" t="b">
        <v>0</v>
      </c>
      <c r="AF22" s="90">
        <v>0</v>
      </c>
      <c r="AG22" s="97" t="s">
        <v>1087</v>
      </c>
      <c r="AH22" s="90" t="b">
        <v>0</v>
      </c>
      <c r="AI22" s="90" t="s">
        <v>1127</v>
      </c>
      <c r="AJ22" s="90"/>
      <c r="AK22" s="97" t="s">
        <v>1087</v>
      </c>
      <c r="AL22" s="90" t="b">
        <v>0</v>
      </c>
      <c r="AM22" s="90">
        <v>33</v>
      </c>
      <c r="AN22" s="97" t="s">
        <v>1022</v>
      </c>
      <c r="AO22" s="97" t="s">
        <v>1132</v>
      </c>
      <c r="AP22" s="90" t="b">
        <v>0</v>
      </c>
      <c r="AQ22" s="97" t="s">
        <v>1022</v>
      </c>
      <c r="AR22" s="90" t="s">
        <v>178</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v>0</v>
      </c>
      <c r="BG22" s="50">
        <v>0</v>
      </c>
      <c r="BH22" s="49">
        <v>0</v>
      </c>
      <c r="BI22" s="50">
        <v>0</v>
      </c>
      <c r="BJ22" s="49">
        <v>0</v>
      </c>
      <c r="BK22" s="50">
        <v>0</v>
      </c>
      <c r="BL22" s="49">
        <v>24</v>
      </c>
      <c r="BM22" s="50">
        <v>100</v>
      </c>
      <c r="BN22" s="49">
        <v>24</v>
      </c>
    </row>
    <row r="23" spans="1:66" ht="15">
      <c r="A23" s="65" t="s">
        <v>232</v>
      </c>
      <c r="B23" s="65" t="s">
        <v>384</v>
      </c>
      <c r="C23" s="66" t="s">
        <v>4405</v>
      </c>
      <c r="D23" s="67">
        <v>1</v>
      </c>
      <c r="E23" s="68" t="s">
        <v>132</v>
      </c>
      <c r="F23" s="69">
        <v>32</v>
      </c>
      <c r="G23" s="66" t="s">
        <v>51</v>
      </c>
      <c r="H23" s="70"/>
      <c r="I23" s="71"/>
      <c r="J23" s="71"/>
      <c r="K23" s="35" t="s">
        <v>65</v>
      </c>
      <c r="L23" s="79">
        <v>23</v>
      </c>
      <c r="M23" s="79"/>
      <c r="N23" s="73"/>
      <c r="O23" s="90" t="s">
        <v>448</v>
      </c>
      <c r="P23" s="93">
        <v>44575.67157407408</v>
      </c>
      <c r="Q23" s="90" t="s">
        <v>454</v>
      </c>
      <c r="R23" s="90"/>
      <c r="S23" s="90"/>
      <c r="T23" s="90"/>
      <c r="U23" s="90"/>
      <c r="V23" s="95" t="str">
        <f>HYPERLINK("https://pbs.twimg.com/profile_images/1336658010178002945/grzHrjTt_normal.jpg")</f>
        <v>https://pbs.twimg.com/profile_images/1336658010178002945/grzHrjTt_normal.jpg</v>
      </c>
      <c r="W23" s="93">
        <v>44575.67157407408</v>
      </c>
      <c r="X23" s="102">
        <v>44575</v>
      </c>
      <c r="Y23" s="97" t="s">
        <v>590</v>
      </c>
      <c r="Z23" s="95" t="str">
        <f>HYPERLINK("https://twitter.com/mikael7110/status/1482021456649277443")</f>
        <v>https://twitter.com/mikael7110/status/1482021456649277443</v>
      </c>
      <c r="AA23" s="90"/>
      <c r="AB23" s="90"/>
      <c r="AC23" s="97" t="s">
        <v>831</v>
      </c>
      <c r="AD23" s="97" t="s">
        <v>1022</v>
      </c>
      <c r="AE23" s="90" t="b">
        <v>0</v>
      </c>
      <c r="AF23" s="90">
        <v>4</v>
      </c>
      <c r="AG23" s="97" t="s">
        <v>1089</v>
      </c>
      <c r="AH23" s="90" t="b">
        <v>0</v>
      </c>
      <c r="AI23" s="90" t="s">
        <v>1127</v>
      </c>
      <c r="AJ23" s="90"/>
      <c r="AK23" s="97" t="s">
        <v>1087</v>
      </c>
      <c r="AL23" s="90" t="b">
        <v>0</v>
      </c>
      <c r="AM23" s="90">
        <v>0</v>
      </c>
      <c r="AN23" s="97" t="s">
        <v>1087</v>
      </c>
      <c r="AO23" s="97" t="s">
        <v>1132</v>
      </c>
      <c r="AP23" s="90" t="b">
        <v>0</v>
      </c>
      <c r="AQ23" s="97" t="s">
        <v>1022</v>
      </c>
      <c r="AR23" s="90" t="s">
        <v>178</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2</v>
      </c>
      <c r="BF23" s="49">
        <v>0</v>
      </c>
      <c r="BG23" s="50">
        <v>0</v>
      </c>
      <c r="BH23" s="49">
        <v>0</v>
      </c>
      <c r="BI23" s="50">
        <v>0</v>
      </c>
      <c r="BJ23" s="49">
        <v>0</v>
      </c>
      <c r="BK23" s="50">
        <v>0</v>
      </c>
      <c r="BL23" s="49">
        <v>15</v>
      </c>
      <c r="BM23" s="50">
        <v>100</v>
      </c>
      <c r="BN23" s="49">
        <v>15</v>
      </c>
    </row>
    <row r="24" spans="1:66" ht="15">
      <c r="A24" s="65" t="s">
        <v>232</v>
      </c>
      <c r="B24" s="65" t="s">
        <v>349</v>
      </c>
      <c r="C24" s="66" t="s">
        <v>4405</v>
      </c>
      <c r="D24" s="67">
        <v>1</v>
      </c>
      <c r="E24" s="68" t="s">
        <v>132</v>
      </c>
      <c r="F24" s="69">
        <v>32</v>
      </c>
      <c r="G24" s="66" t="s">
        <v>51</v>
      </c>
      <c r="H24" s="70"/>
      <c r="I24" s="71"/>
      <c r="J24" s="71"/>
      <c r="K24" s="35" t="s">
        <v>65</v>
      </c>
      <c r="L24" s="79">
        <v>24</v>
      </c>
      <c r="M24" s="79"/>
      <c r="N24" s="73"/>
      <c r="O24" s="90" t="s">
        <v>448</v>
      </c>
      <c r="P24" s="93">
        <v>44575.68300925926</v>
      </c>
      <c r="Q24" s="90" t="s">
        <v>455</v>
      </c>
      <c r="R24" s="90"/>
      <c r="S24" s="90"/>
      <c r="T24" s="90"/>
      <c r="U24" s="90"/>
      <c r="V24" s="95" t="str">
        <f>HYPERLINK("https://pbs.twimg.com/profile_images/1336658010178002945/grzHrjTt_normal.jpg")</f>
        <v>https://pbs.twimg.com/profile_images/1336658010178002945/grzHrjTt_normal.jpg</v>
      </c>
      <c r="W24" s="93">
        <v>44575.68300925926</v>
      </c>
      <c r="X24" s="102">
        <v>44575</v>
      </c>
      <c r="Y24" s="97" t="s">
        <v>591</v>
      </c>
      <c r="Z24" s="95" t="str">
        <f>HYPERLINK("https://twitter.com/mikael7110/status/1482025601661870082")</f>
        <v>https://twitter.com/mikael7110/status/1482025601661870082</v>
      </c>
      <c r="AA24" s="90"/>
      <c r="AB24" s="90"/>
      <c r="AC24" s="97" t="s">
        <v>832</v>
      </c>
      <c r="AD24" s="97" t="s">
        <v>975</v>
      </c>
      <c r="AE24" s="90" t="b">
        <v>0</v>
      </c>
      <c r="AF24" s="90">
        <v>1</v>
      </c>
      <c r="AG24" s="97" t="s">
        <v>1090</v>
      </c>
      <c r="AH24" s="90" t="b">
        <v>0</v>
      </c>
      <c r="AI24" s="90" t="s">
        <v>1127</v>
      </c>
      <c r="AJ24" s="90"/>
      <c r="AK24" s="97" t="s">
        <v>1087</v>
      </c>
      <c r="AL24" s="90" t="b">
        <v>0</v>
      </c>
      <c r="AM24" s="90">
        <v>0</v>
      </c>
      <c r="AN24" s="97" t="s">
        <v>1087</v>
      </c>
      <c r="AO24" s="97" t="s">
        <v>1132</v>
      </c>
      <c r="AP24" s="90" t="b">
        <v>0</v>
      </c>
      <c r="AQ24" s="97" t="s">
        <v>975</v>
      </c>
      <c r="AR24" s="90" t="s">
        <v>178</v>
      </c>
      <c r="AS24" s="90">
        <v>0</v>
      </c>
      <c r="AT24" s="90">
        <v>0</v>
      </c>
      <c r="AU24" s="90"/>
      <c r="AV24" s="90"/>
      <c r="AW24" s="90"/>
      <c r="AX24" s="90"/>
      <c r="AY24" s="90"/>
      <c r="AZ24" s="90"/>
      <c r="BA24" s="90"/>
      <c r="BB24" s="90"/>
      <c r="BC24">
        <v>1</v>
      </c>
      <c r="BD24" s="89" t="str">
        <f>REPLACE(INDEX(GroupVertices[Group],MATCH(Edges[[#This Row],[Vertex 1]],GroupVertices[Vertex],0)),1,1,"")</f>
        <v>6</v>
      </c>
      <c r="BE24" s="89" t="str">
        <f>REPLACE(INDEX(GroupVertices[Group],MATCH(Edges[[#This Row],[Vertex 2]],GroupVertices[Vertex],0)),1,1,"")</f>
        <v>6</v>
      </c>
      <c r="BF24" s="49">
        <v>0</v>
      </c>
      <c r="BG24" s="50">
        <v>0</v>
      </c>
      <c r="BH24" s="49">
        <v>0</v>
      </c>
      <c r="BI24" s="50">
        <v>0</v>
      </c>
      <c r="BJ24" s="49">
        <v>0</v>
      </c>
      <c r="BK24" s="50">
        <v>0</v>
      </c>
      <c r="BL24" s="49">
        <v>15</v>
      </c>
      <c r="BM24" s="50">
        <v>100</v>
      </c>
      <c r="BN24" s="49">
        <v>15</v>
      </c>
    </row>
    <row r="25" spans="1:66" ht="15">
      <c r="A25" s="65" t="s">
        <v>233</v>
      </c>
      <c r="B25" s="65" t="s">
        <v>407</v>
      </c>
      <c r="C25" s="66" t="s">
        <v>4405</v>
      </c>
      <c r="D25" s="67">
        <v>1</v>
      </c>
      <c r="E25" s="68" t="s">
        <v>132</v>
      </c>
      <c r="F25" s="69">
        <v>32</v>
      </c>
      <c r="G25" s="66" t="s">
        <v>51</v>
      </c>
      <c r="H25" s="70"/>
      <c r="I25" s="71"/>
      <c r="J25" s="71"/>
      <c r="K25" s="35" t="s">
        <v>65</v>
      </c>
      <c r="L25" s="79">
        <v>25</v>
      </c>
      <c r="M25" s="79"/>
      <c r="N25" s="73"/>
      <c r="O25" s="90" t="s">
        <v>449</v>
      </c>
      <c r="P25" s="93">
        <v>44575.68837962963</v>
      </c>
      <c r="Q25" s="90" t="s">
        <v>456</v>
      </c>
      <c r="R25" s="90"/>
      <c r="S25" s="90"/>
      <c r="T25" s="97" t="s">
        <v>557</v>
      </c>
      <c r="U25" s="95" t="str">
        <f>HYPERLINK("https://pbs.twimg.com/media/FJE4Mp5XEAQDCl6.jpg")</f>
        <v>https://pbs.twimg.com/media/FJE4Mp5XEAQDCl6.jpg</v>
      </c>
      <c r="V25" s="95" t="str">
        <f>HYPERLINK("https://pbs.twimg.com/media/FJE4Mp5XEAQDCl6.jpg")</f>
        <v>https://pbs.twimg.com/media/FJE4Mp5XEAQDCl6.jpg</v>
      </c>
      <c r="W25" s="93">
        <v>44575.68837962963</v>
      </c>
      <c r="X25" s="102">
        <v>44575</v>
      </c>
      <c r="Y25" s="97" t="s">
        <v>592</v>
      </c>
      <c r="Z25" s="95" t="str">
        <f>HYPERLINK("https://twitter.com/santeri__/status/1482027547676315650")</f>
        <v>https://twitter.com/santeri__/status/1482027547676315650</v>
      </c>
      <c r="AA25" s="90"/>
      <c r="AB25" s="90"/>
      <c r="AC25" s="97" t="s">
        <v>833</v>
      </c>
      <c r="AD25" s="97" t="s">
        <v>1055</v>
      </c>
      <c r="AE25" s="90" t="b">
        <v>0</v>
      </c>
      <c r="AF25" s="90">
        <v>0</v>
      </c>
      <c r="AG25" s="97" t="s">
        <v>1091</v>
      </c>
      <c r="AH25" s="90" t="b">
        <v>0</v>
      </c>
      <c r="AI25" s="90" t="s">
        <v>1127</v>
      </c>
      <c r="AJ25" s="90"/>
      <c r="AK25" s="97" t="s">
        <v>1087</v>
      </c>
      <c r="AL25" s="90" t="b">
        <v>0</v>
      </c>
      <c r="AM25" s="90">
        <v>0</v>
      </c>
      <c r="AN25" s="97" t="s">
        <v>1087</v>
      </c>
      <c r="AO25" s="97" t="s">
        <v>1134</v>
      </c>
      <c r="AP25" s="90" t="b">
        <v>0</v>
      </c>
      <c r="AQ25" s="97" t="s">
        <v>1055</v>
      </c>
      <c r="AR25" s="90" t="s">
        <v>178</v>
      </c>
      <c r="AS25" s="90">
        <v>0</v>
      </c>
      <c r="AT25" s="90">
        <v>0</v>
      </c>
      <c r="AU25" s="90"/>
      <c r="AV25" s="90"/>
      <c r="AW25" s="90"/>
      <c r="AX25" s="90"/>
      <c r="AY25" s="90"/>
      <c r="AZ25" s="90"/>
      <c r="BA25" s="90"/>
      <c r="BB25" s="90"/>
      <c r="BC25">
        <v>1</v>
      </c>
      <c r="BD25" s="89" t="str">
        <f>REPLACE(INDEX(GroupVertices[Group],MATCH(Edges[[#This Row],[Vertex 1]],GroupVertices[Vertex],0)),1,1,"")</f>
        <v>8</v>
      </c>
      <c r="BE25" s="89" t="str">
        <f>REPLACE(INDEX(GroupVertices[Group],MATCH(Edges[[#This Row],[Vertex 2]],GroupVertices[Vertex],0)),1,1,"")</f>
        <v>8</v>
      </c>
      <c r="BF25" s="49"/>
      <c r="BG25" s="50"/>
      <c r="BH25" s="49"/>
      <c r="BI25" s="50"/>
      <c r="BJ25" s="49"/>
      <c r="BK25" s="50"/>
      <c r="BL25" s="49"/>
      <c r="BM25" s="50"/>
      <c r="BN25" s="49"/>
    </row>
    <row r="26" spans="1:66" ht="15">
      <c r="A26" s="65" t="s">
        <v>233</v>
      </c>
      <c r="B26" s="65" t="s">
        <v>408</v>
      </c>
      <c r="C26" s="66" t="s">
        <v>4405</v>
      </c>
      <c r="D26" s="67">
        <v>1</v>
      </c>
      <c r="E26" s="68" t="s">
        <v>132</v>
      </c>
      <c r="F26" s="69">
        <v>32</v>
      </c>
      <c r="G26" s="66" t="s">
        <v>51</v>
      </c>
      <c r="H26" s="70"/>
      <c r="I26" s="71"/>
      <c r="J26" s="71"/>
      <c r="K26" s="35" t="s">
        <v>65</v>
      </c>
      <c r="L26" s="79">
        <v>26</v>
      </c>
      <c r="M26" s="79"/>
      <c r="N26" s="73"/>
      <c r="O26" s="90" t="s">
        <v>449</v>
      </c>
      <c r="P26" s="93">
        <v>44575.68837962963</v>
      </c>
      <c r="Q26" s="90" t="s">
        <v>456</v>
      </c>
      <c r="R26" s="90"/>
      <c r="S26" s="90"/>
      <c r="T26" s="97" t="s">
        <v>557</v>
      </c>
      <c r="U26" s="95" t="str">
        <f>HYPERLINK("https://pbs.twimg.com/media/FJE4Mp5XEAQDCl6.jpg")</f>
        <v>https://pbs.twimg.com/media/FJE4Mp5XEAQDCl6.jpg</v>
      </c>
      <c r="V26" s="95" t="str">
        <f>HYPERLINK("https://pbs.twimg.com/media/FJE4Mp5XEAQDCl6.jpg")</f>
        <v>https://pbs.twimg.com/media/FJE4Mp5XEAQDCl6.jpg</v>
      </c>
      <c r="W26" s="93">
        <v>44575.68837962963</v>
      </c>
      <c r="X26" s="102">
        <v>44575</v>
      </c>
      <c r="Y26" s="97" t="s">
        <v>592</v>
      </c>
      <c r="Z26" s="95" t="str">
        <f>HYPERLINK("https://twitter.com/santeri__/status/1482027547676315650")</f>
        <v>https://twitter.com/santeri__/status/1482027547676315650</v>
      </c>
      <c r="AA26" s="90"/>
      <c r="AB26" s="90"/>
      <c r="AC26" s="97" t="s">
        <v>833</v>
      </c>
      <c r="AD26" s="97" t="s">
        <v>1055</v>
      </c>
      <c r="AE26" s="90" t="b">
        <v>0</v>
      </c>
      <c r="AF26" s="90">
        <v>0</v>
      </c>
      <c r="AG26" s="97" t="s">
        <v>1091</v>
      </c>
      <c r="AH26" s="90" t="b">
        <v>0</v>
      </c>
      <c r="AI26" s="90" t="s">
        <v>1127</v>
      </c>
      <c r="AJ26" s="90"/>
      <c r="AK26" s="97" t="s">
        <v>1087</v>
      </c>
      <c r="AL26" s="90" t="b">
        <v>0</v>
      </c>
      <c r="AM26" s="90">
        <v>0</v>
      </c>
      <c r="AN26" s="97" t="s">
        <v>1087</v>
      </c>
      <c r="AO26" s="97" t="s">
        <v>1134</v>
      </c>
      <c r="AP26" s="90" t="b">
        <v>0</v>
      </c>
      <c r="AQ26" s="97" t="s">
        <v>1055</v>
      </c>
      <c r="AR26" s="90" t="s">
        <v>178</v>
      </c>
      <c r="AS26" s="90">
        <v>0</v>
      </c>
      <c r="AT26" s="90">
        <v>0</v>
      </c>
      <c r="AU26" s="90"/>
      <c r="AV26" s="90"/>
      <c r="AW26" s="90"/>
      <c r="AX26" s="90"/>
      <c r="AY26" s="90"/>
      <c r="AZ26" s="90"/>
      <c r="BA26" s="90"/>
      <c r="BB26" s="90"/>
      <c r="BC26">
        <v>1</v>
      </c>
      <c r="BD26" s="89" t="str">
        <f>REPLACE(INDEX(GroupVertices[Group],MATCH(Edges[[#This Row],[Vertex 1]],GroupVertices[Vertex],0)),1,1,"")</f>
        <v>8</v>
      </c>
      <c r="BE26" s="89" t="str">
        <f>REPLACE(INDEX(GroupVertices[Group],MATCH(Edges[[#This Row],[Vertex 2]],GroupVertices[Vertex],0)),1,1,"")</f>
        <v>8</v>
      </c>
      <c r="BF26" s="49"/>
      <c r="BG26" s="50"/>
      <c r="BH26" s="49"/>
      <c r="BI26" s="50"/>
      <c r="BJ26" s="49"/>
      <c r="BK26" s="50"/>
      <c r="BL26" s="49"/>
      <c r="BM26" s="50"/>
      <c r="BN26" s="49"/>
    </row>
    <row r="27" spans="1:66" ht="15">
      <c r="A27" s="65" t="s">
        <v>233</v>
      </c>
      <c r="B27" s="65" t="s">
        <v>409</v>
      </c>
      <c r="C27" s="66" t="s">
        <v>4405</v>
      </c>
      <c r="D27" s="67">
        <v>1</v>
      </c>
      <c r="E27" s="68" t="s">
        <v>132</v>
      </c>
      <c r="F27" s="69">
        <v>32</v>
      </c>
      <c r="G27" s="66" t="s">
        <v>51</v>
      </c>
      <c r="H27" s="70"/>
      <c r="I27" s="71"/>
      <c r="J27" s="71"/>
      <c r="K27" s="35" t="s">
        <v>65</v>
      </c>
      <c r="L27" s="79">
        <v>27</v>
      </c>
      <c r="M27" s="79"/>
      <c r="N27" s="73"/>
      <c r="O27" s="90" t="s">
        <v>449</v>
      </c>
      <c r="P27" s="93">
        <v>44575.68837962963</v>
      </c>
      <c r="Q27" s="90" t="s">
        <v>456</v>
      </c>
      <c r="R27" s="90"/>
      <c r="S27" s="90"/>
      <c r="T27" s="97" t="s">
        <v>557</v>
      </c>
      <c r="U27" s="95" t="str">
        <f>HYPERLINK("https://pbs.twimg.com/media/FJE4Mp5XEAQDCl6.jpg")</f>
        <v>https://pbs.twimg.com/media/FJE4Mp5XEAQDCl6.jpg</v>
      </c>
      <c r="V27" s="95" t="str">
        <f>HYPERLINK("https://pbs.twimg.com/media/FJE4Mp5XEAQDCl6.jpg")</f>
        <v>https://pbs.twimg.com/media/FJE4Mp5XEAQDCl6.jpg</v>
      </c>
      <c r="W27" s="93">
        <v>44575.68837962963</v>
      </c>
      <c r="X27" s="102">
        <v>44575</v>
      </c>
      <c r="Y27" s="97" t="s">
        <v>592</v>
      </c>
      <c r="Z27" s="95" t="str">
        <f>HYPERLINK("https://twitter.com/santeri__/status/1482027547676315650")</f>
        <v>https://twitter.com/santeri__/status/1482027547676315650</v>
      </c>
      <c r="AA27" s="90"/>
      <c r="AB27" s="90"/>
      <c r="AC27" s="97" t="s">
        <v>833</v>
      </c>
      <c r="AD27" s="97" t="s">
        <v>1055</v>
      </c>
      <c r="AE27" s="90" t="b">
        <v>0</v>
      </c>
      <c r="AF27" s="90">
        <v>0</v>
      </c>
      <c r="AG27" s="97" t="s">
        <v>1091</v>
      </c>
      <c r="AH27" s="90" t="b">
        <v>0</v>
      </c>
      <c r="AI27" s="90" t="s">
        <v>1127</v>
      </c>
      <c r="AJ27" s="90"/>
      <c r="AK27" s="97" t="s">
        <v>1087</v>
      </c>
      <c r="AL27" s="90" t="b">
        <v>0</v>
      </c>
      <c r="AM27" s="90">
        <v>0</v>
      </c>
      <c r="AN27" s="97" t="s">
        <v>1087</v>
      </c>
      <c r="AO27" s="97" t="s">
        <v>1134</v>
      </c>
      <c r="AP27" s="90" t="b">
        <v>0</v>
      </c>
      <c r="AQ27" s="97" t="s">
        <v>1055</v>
      </c>
      <c r="AR27" s="90" t="s">
        <v>178</v>
      </c>
      <c r="AS27" s="90">
        <v>0</v>
      </c>
      <c r="AT27" s="90">
        <v>0</v>
      </c>
      <c r="AU27" s="90"/>
      <c r="AV27" s="90"/>
      <c r="AW27" s="90"/>
      <c r="AX27" s="90"/>
      <c r="AY27" s="90"/>
      <c r="AZ27" s="90"/>
      <c r="BA27" s="90"/>
      <c r="BB27" s="90"/>
      <c r="BC27">
        <v>1</v>
      </c>
      <c r="BD27" s="89" t="str">
        <f>REPLACE(INDEX(GroupVertices[Group],MATCH(Edges[[#This Row],[Vertex 1]],GroupVertices[Vertex],0)),1,1,"")</f>
        <v>8</v>
      </c>
      <c r="BE27" s="89" t="str">
        <f>REPLACE(INDEX(GroupVertices[Group],MATCH(Edges[[#This Row],[Vertex 2]],GroupVertices[Vertex],0)),1,1,"")</f>
        <v>8</v>
      </c>
      <c r="BF27" s="49"/>
      <c r="BG27" s="50"/>
      <c r="BH27" s="49"/>
      <c r="BI27" s="50"/>
      <c r="BJ27" s="49"/>
      <c r="BK27" s="50"/>
      <c r="BL27" s="49"/>
      <c r="BM27" s="50"/>
      <c r="BN27" s="49"/>
    </row>
    <row r="28" spans="1:66" ht="15">
      <c r="A28" s="65" t="s">
        <v>233</v>
      </c>
      <c r="B28" s="65" t="s">
        <v>410</v>
      </c>
      <c r="C28" s="66" t="s">
        <v>4405</v>
      </c>
      <c r="D28" s="67">
        <v>1</v>
      </c>
      <c r="E28" s="68" t="s">
        <v>132</v>
      </c>
      <c r="F28" s="69">
        <v>32</v>
      </c>
      <c r="G28" s="66" t="s">
        <v>51</v>
      </c>
      <c r="H28" s="70"/>
      <c r="I28" s="71"/>
      <c r="J28" s="71"/>
      <c r="K28" s="35" t="s">
        <v>65</v>
      </c>
      <c r="L28" s="79">
        <v>28</v>
      </c>
      <c r="M28" s="79"/>
      <c r="N28" s="73"/>
      <c r="O28" s="90" t="s">
        <v>449</v>
      </c>
      <c r="P28" s="93">
        <v>44575.68837962963</v>
      </c>
      <c r="Q28" s="90" t="s">
        <v>456</v>
      </c>
      <c r="R28" s="90"/>
      <c r="S28" s="90"/>
      <c r="T28" s="97" t="s">
        <v>557</v>
      </c>
      <c r="U28" s="95" t="str">
        <f>HYPERLINK("https://pbs.twimg.com/media/FJE4Mp5XEAQDCl6.jpg")</f>
        <v>https://pbs.twimg.com/media/FJE4Mp5XEAQDCl6.jpg</v>
      </c>
      <c r="V28" s="95" t="str">
        <f>HYPERLINK("https://pbs.twimg.com/media/FJE4Mp5XEAQDCl6.jpg")</f>
        <v>https://pbs.twimg.com/media/FJE4Mp5XEAQDCl6.jpg</v>
      </c>
      <c r="W28" s="93">
        <v>44575.68837962963</v>
      </c>
      <c r="X28" s="102">
        <v>44575</v>
      </c>
      <c r="Y28" s="97" t="s">
        <v>592</v>
      </c>
      <c r="Z28" s="95" t="str">
        <f>HYPERLINK("https://twitter.com/santeri__/status/1482027547676315650")</f>
        <v>https://twitter.com/santeri__/status/1482027547676315650</v>
      </c>
      <c r="AA28" s="90"/>
      <c r="AB28" s="90"/>
      <c r="AC28" s="97" t="s">
        <v>833</v>
      </c>
      <c r="AD28" s="97" t="s">
        <v>1055</v>
      </c>
      <c r="AE28" s="90" t="b">
        <v>0</v>
      </c>
      <c r="AF28" s="90">
        <v>0</v>
      </c>
      <c r="AG28" s="97" t="s">
        <v>1091</v>
      </c>
      <c r="AH28" s="90" t="b">
        <v>0</v>
      </c>
      <c r="AI28" s="90" t="s">
        <v>1127</v>
      </c>
      <c r="AJ28" s="90"/>
      <c r="AK28" s="97" t="s">
        <v>1087</v>
      </c>
      <c r="AL28" s="90" t="b">
        <v>0</v>
      </c>
      <c r="AM28" s="90">
        <v>0</v>
      </c>
      <c r="AN28" s="97" t="s">
        <v>1087</v>
      </c>
      <c r="AO28" s="97" t="s">
        <v>1134</v>
      </c>
      <c r="AP28" s="90" t="b">
        <v>0</v>
      </c>
      <c r="AQ28" s="97" t="s">
        <v>1055</v>
      </c>
      <c r="AR28" s="90" t="s">
        <v>178</v>
      </c>
      <c r="AS28" s="90">
        <v>0</v>
      </c>
      <c r="AT28" s="90">
        <v>0</v>
      </c>
      <c r="AU28" s="90"/>
      <c r="AV28" s="90"/>
      <c r="AW28" s="90"/>
      <c r="AX28" s="90"/>
      <c r="AY28" s="90"/>
      <c r="AZ28" s="90"/>
      <c r="BA28" s="90"/>
      <c r="BB28" s="90"/>
      <c r="BC28">
        <v>1</v>
      </c>
      <c r="BD28" s="89" t="str">
        <f>REPLACE(INDEX(GroupVertices[Group],MATCH(Edges[[#This Row],[Vertex 1]],GroupVertices[Vertex],0)),1,1,"")</f>
        <v>8</v>
      </c>
      <c r="BE28" s="89" t="str">
        <f>REPLACE(INDEX(GroupVertices[Group],MATCH(Edges[[#This Row],[Vertex 2]],GroupVertices[Vertex],0)),1,1,"")</f>
        <v>8</v>
      </c>
      <c r="BF28" s="49"/>
      <c r="BG28" s="50"/>
      <c r="BH28" s="49"/>
      <c r="BI28" s="50"/>
      <c r="BJ28" s="49"/>
      <c r="BK28" s="50"/>
      <c r="BL28" s="49"/>
      <c r="BM28" s="50"/>
      <c r="BN28" s="49"/>
    </row>
    <row r="29" spans="1:66" ht="15">
      <c r="A29" s="65" t="s">
        <v>233</v>
      </c>
      <c r="B29" s="65" t="s">
        <v>411</v>
      </c>
      <c r="C29" s="66" t="s">
        <v>4405</v>
      </c>
      <c r="D29" s="67">
        <v>1</v>
      </c>
      <c r="E29" s="68" t="s">
        <v>132</v>
      </c>
      <c r="F29" s="69">
        <v>32</v>
      </c>
      <c r="G29" s="66" t="s">
        <v>51</v>
      </c>
      <c r="H29" s="70"/>
      <c r="I29" s="71"/>
      <c r="J29" s="71"/>
      <c r="K29" s="35" t="s">
        <v>65</v>
      </c>
      <c r="L29" s="79">
        <v>29</v>
      </c>
      <c r="M29" s="79"/>
      <c r="N29" s="73"/>
      <c r="O29" s="90" t="s">
        <v>449</v>
      </c>
      <c r="P29" s="93">
        <v>44575.68837962963</v>
      </c>
      <c r="Q29" s="90" t="s">
        <v>456</v>
      </c>
      <c r="R29" s="90"/>
      <c r="S29" s="90"/>
      <c r="T29" s="97" t="s">
        <v>557</v>
      </c>
      <c r="U29" s="95" t="str">
        <f>HYPERLINK("https://pbs.twimg.com/media/FJE4Mp5XEAQDCl6.jpg")</f>
        <v>https://pbs.twimg.com/media/FJE4Mp5XEAQDCl6.jpg</v>
      </c>
      <c r="V29" s="95" t="str">
        <f>HYPERLINK("https://pbs.twimg.com/media/FJE4Mp5XEAQDCl6.jpg")</f>
        <v>https://pbs.twimg.com/media/FJE4Mp5XEAQDCl6.jpg</v>
      </c>
      <c r="W29" s="93">
        <v>44575.68837962963</v>
      </c>
      <c r="X29" s="102">
        <v>44575</v>
      </c>
      <c r="Y29" s="97" t="s">
        <v>592</v>
      </c>
      <c r="Z29" s="95" t="str">
        <f>HYPERLINK("https://twitter.com/santeri__/status/1482027547676315650")</f>
        <v>https://twitter.com/santeri__/status/1482027547676315650</v>
      </c>
      <c r="AA29" s="90"/>
      <c r="AB29" s="90"/>
      <c r="AC29" s="97" t="s">
        <v>833</v>
      </c>
      <c r="AD29" s="97" t="s">
        <v>1055</v>
      </c>
      <c r="AE29" s="90" t="b">
        <v>0</v>
      </c>
      <c r="AF29" s="90">
        <v>0</v>
      </c>
      <c r="AG29" s="97" t="s">
        <v>1091</v>
      </c>
      <c r="AH29" s="90" t="b">
        <v>0</v>
      </c>
      <c r="AI29" s="90" t="s">
        <v>1127</v>
      </c>
      <c r="AJ29" s="90"/>
      <c r="AK29" s="97" t="s">
        <v>1087</v>
      </c>
      <c r="AL29" s="90" t="b">
        <v>0</v>
      </c>
      <c r="AM29" s="90">
        <v>0</v>
      </c>
      <c r="AN29" s="97" t="s">
        <v>1087</v>
      </c>
      <c r="AO29" s="97" t="s">
        <v>1134</v>
      </c>
      <c r="AP29" s="90" t="b">
        <v>0</v>
      </c>
      <c r="AQ29" s="97" t="s">
        <v>1055</v>
      </c>
      <c r="AR29" s="90" t="s">
        <v>178</v>
      </c>
      <c r="AS29" s="90">
        <v>0</v>
      </c>
      <c r="AT29" s="90">
        <v>0</v>
      </c>
      <c r="AU29" s="90"/>
      <c r="AV29" s="90"/>
      <c r="AW29" s="90"/>
      <c r="AX29" s="90"/>
      <c r="AY29" s="90"/>
      <c r="AZ29" s="90"/>
      <c r="BA29" s="90"/>
      <c r="BB29" s="90"/>
      <c r="BC29">
        <v>1</v>
      </c>
      <c r="BD29" s="89" t="str">
        <f>REPLACE(INDEX(GroupVertices[Group],MATCH(Edges[[#This Row],[Vertex 1]],GroupVertices[Vertex],0)),1,1,"")</f>
        <v>8</v>
      </c>
      <c r="BE29" s="89" t="str">
        <f>REPLACE(INDEX(GroupVertices[Group],MATCH(Edges[[#This Row],[Vertex 2]],GroupVertices[Vertex],0)),1,1,"")</f>
        <v>8</v>
      </c>
      <c r="BF29" s="49"/>
      <c r="BG29" s="50"/>
      <c r="BH29" s="49"/>
      <c r="BI29" s="50"/>
      <c r="BJ29" s="49"/>
      <c r="BK29" s="50"/>
      <c r="BL29" s="49"/>
      <c r="BM29" s="50"/>
      <c r="BN29" s="49"/>
    </row>
    <row r="30" spans="1:66" ht="15">
      <c r="A30" s="65" t="s">
        <v>233</v>
      </c>
      <c r="B30" s="65" t="s">
        <v>412</v>
      </c>
      <c r="C30" s="66" t="s">
        <v>4405</v>
      </c>
      <c r="D30" s="67">
        <v>1</v>
      </c>
      <c r="E30" s="68" t="s">
        <v>132</v>
      </c>
      <c r="F30" s="69">
        <v>32</v>
      </c>
      <c r="G30" s="66" t="s">
        <v>51</v>
      </c>
      <c r="H30" s="70"/>
      <c r="I30" s="71"/>
      <c r="J30" s="71"/>
      <c r="K30" s="35" t="s">
        <v>65</v>
      </c>
      <c r="L30" s="79">
        <v>30</v>
      </c>
      <c r="M30" s="79"/>
      <c r="N30" s="73"/>
      <c r="O30" s="90" t="s">
        <v>449</v>
      </c>
      <c r="P30" s="93">
        <v>44575.68837962963</v>
      </c>
      <c r="Q30" s="90" t="s">
        <v>456</v>
      </c>
      <c r="R30" s="90"/>
      <c r="S30" s="90"/>
      <c r="T30" s="97" t="s">
        <v>557</v>
      </c>
      <c r="U30" s="95" t="str">
        <f>HYPERLINK("https://pbs.twimg.com/media/FJE4Mp5XEAQDCl6.jpg")</f>
        <v>https://pbs.twimg.com/media/FJE4Mp5XEAQDCl6.jpg</v>
      </c>
      <c r="V30" s="95" t="str">
        <f>HYPERLINK("https://pbs.twimg.com/media/FJE4Mp5XEAQDCl6.jpg")</f>
        <v>https://pbs.twimg.com/media/FJE4Mp5XEAQDCl6.jpg</v>
      </c>
      <c r="W30" s="93">
        <v>44575.68837962963</v>
      </c>
      <c r="X30" s="102">
        <v>44575</v>
      </c>
      <c r="Y30" s="97" t="s">
        <v>592</v>
      </c>
      <c r="Z30" s="95" t="str">
        <f>HYPERLINK("https://twitter.com/santeri__/status/1482027547676315650")</f>
        <v>https://twitter.com/santeri__/status/1482027547676315650</v>
      </c>
      <c r="AA30" s="90"/>
      <c r="AB30" s="90"/>
      <c r="AC30" s="97" t="s">
        <v>833</v>
      </c>
      <c r="AD30" s="97" t="s">
        <v>1055</v>
      </c>
      <c r="AE30" s="90" t="b">
        <v>0</v>
      </c>
      <c r="AF30" s="90">
        <v>0</v>
      </c>
      <c r="AG30" s="97" t="s">
        <v>1091</v>
      </c>
      <c r="AH30" s="90" t="b">
        <v>0</v>
      </c>
      <c r="AI30" s="90" t="s">
        <v>1127</v>
      </c>
      <c r="AJ30" s="90"/>
      <c r="AK30" s="97" t="s">
        <v>1087</v>
      </c>
      <c r="AL30" s="90" t="b">
        <v>0</v>
      </c>
      <c r="AM30" s="90">
        <v>0</v>
      </c>
      <c r="AN30" s="97" t="s">
        <v>1087</v>
      </c>
      <c r="AO30" s="97" t="s">
        <v>1134</v>
      </c>
      <c r="AP30" s="90" t="b">
        <v>0</v>
      </c>
      <c r="AQ30" s="97" t="s">
        <v>1055</v>
      </c>
      <c r="AR30" s="90" t="s">
        <v>178</v>
      </c>
      <c r="AS30" s="90">
        <v>0</v>
      </c>
      <c r="AT30" s="90">
        <v>0</v>
      </c>
      <c r="AU30" s="90"/>
      <c r="AV30" s="90"/>
      <c r="AW30" s="90"/>
      <c r="AX30" s="90"/>
      <c r="AY30" s="90"/>
      <c r="AZ30" s="90"/>
      <c r="BA30" s="90"/>
      <c r="BB30" s="90"/>
      <c r="BC30">
        <v>1</v>
      </c>
      <c r="BD30" s="89" t="str">
        <f>REPLACE(INDEX(GroupVertices[Group],MATCH(Edges[[#This Row],[Vertex 1]],GroupVertices[Vertex],0)),1,1,"")</f>
        <v>8</v>
      </c>
      <c r="BE30" s="89" t="str">
        <f>REPLACE(INDEX(GroupVertices[Group],MATCH(Edges[[#This Row],[Vertex 2]],GroupVertices[Vertex],0)),1,1,"")</f>
        <v>8</v>
      </c>
      <c r="BF30" s="49"/>
      <c r="BG30" s="50"/>
      <c r="BH30" s="49"/>
      <c r="BI30" s="50"/>
      <c r="BJ30" s="49"/>
      <c r="BK30" s="50"/>
      <c r="BL30" s="49"/>
      <c r="BM30" s="50"/>
      <c r="BN30" s="49"/>
    </row>
    <row r="31" spans="1:66" ht="15">
      <c r="A31" s="65" t="s">
        <v>233</v>
      </c>
      <c r="B31" s="65" t="s">
        <v>413</v>
      </c>
      <c r="C31" s="66" t="s">
        <v>4405</v>
      </c>
      <c r="D31" s="67">
        <v>1</v>
      </c>
      <c r="E31" s="68" t="s">
        <v>132</v>
      </c>
      <c r="F31" s="69">
        <v>32</v>
      </c>
      <c r="G31" s="66" t="s">
        <v>51</v>
      </c>
      <c r="H31" s="70"/>
      <c r="I31" s="71"/>
      <c r="J31" s="71"/>
      <c r="K31" s="35" t="s">
        <v>65</v>
      </c>
      <c r="L31" s="79">
        <v>31</v>
      </c>
      <c r="M31" s="79"/>
      <c r="N31" s="73"/>
      <c r="O31" s="90" t="s">
        <v>449</v>
      </c>
      <c r="P31" s="93">
        <v>44575.68837962963</v>
      </c>
      <c r="Q31" s="90" t="s">
        <v>456</v>
      </c>
      <c r="R31" s="90"/>
      <c r="S31" s="90"/>
      <c r="T31" s="97" t="s">
        <v>557</v>
      </c>
      <c r="U31" s="95" t="str">
        <f>HYPERLINK("https://pbs.twimg.com/media/FJE4Mp5XEAQDCl6.jpg")</f>
        <v>https://pbs.twimg.com/media/FJE4Mp5XEAQDCl6.jpg</v>
      </c>
      <c r="V31" s="95" t="str">
        <f>HYPERLINK("https://pbs.twimg.com/media/FJE4Mp5XEAQDCl6.jpg")</f>
        <v>https://pbs.twimg.com/media/FJE4Mp5XEAQDCl6.jpg</v>
      </c>
      <c r="W31" s="93">
        <v>44575.68837962963</v>
      </c>
      <c r="X31" s="102">
        <v>44575</v>
      </c>
      <c r="Y31" s="97" t="s">
        <v>592</v>
      </c>
      <c r="Z31" s="95" t="str">
        <f>HYPERLINK("https://twitter.com/santeri__/status/1482027547676315650")</f>
        <v>https://twitter.com/santeri__/status/1482027547676315650</v>
      </c>
      <c r="AA31" s="90"/>
      <c r="AB31" s="90"/>
      <c r="AC31" s="97" t="s">
        <v>833</v>
      </c>
      <c r="AD31" s="97" t="s">
        <v>1055</v>
      </c>
      <c r="AE31" s="90" t="b">
        <v>0</v>
      </c>
      <c r="AF31" s="90">
        <v>0</v>
      </c>
      <c r="AG31" s="97" t="s">
        <v>1091</v>
      </c>
      <c r="AH31" s="90" t="b">
        <v>0</v>
      </c>
      <c r="AI31" s="90" t="s">
        <v>1127</v>
      </c>
      <c r="AJ31" s="90"/>
      <c r="AK31" s="97" t="s">
        <v>1087</v>
      </c>
      <c r="AL31" s="90" t="b">
        <v>0</v>
      </c>
      <c r="AM31" s="90">
        <v>0</v>
      </c>
      <c r="AN31" s="97" t="s">
        <v>1087</v>
      </c>
      <c r="AO31" s="97" t="s">
        <v>1134</v>
      </c>
      <c r="AP31" s="90" t="b">
        <v>0</v>
      </c>
      <c r="AQ31" s="97" t="s">
        <v>1055</v>
      </c>
      <c r="AR31" s="90" t="s">
        <v>178</v>
      </c>
      <c r="AS31" s="90">
        <v>0</v>
      </c>
      <c r="AT31" s="90">
        <v>0</v>
      </c>
      <c r="AU31" s="90"/>
      <c r="AV31" s="90"/>
      <c r="AW31" s="90"/>
      <c r="AX31" s="90"/>
      <c r="AY31" s="90"/>
      <c r="AZ31" s="90"/>
      <c r="BA31" s="90"/>
      <c r="BB31" s="90"/>
      <c r="BC31">
        <v>1</v>
      </c>
      <c r="BD31" s="89" t="str">
        <f>REPLACE(INDEX(GroupVertices[Group],MATCH(Edges[[#This Row],[Vertex 1]],GroupVertices[Vertex],0)),1,1,"")</f>
        <v>8</v>
      </c>
      <c r="BE31" s="89" t="str">
        <f>REPLACE(INDEX(GroupVertices[Group],MATCH(Edges[[#This Row],[Vertex 2]],GroupVertices[Vertex],0)),1,1,"")</f>
        <v>8</v>
      </c>
      <c r="BF31" s="49"/>
      <c r="BG31" s="50"/>
      <c r="BH31" s="49"/>
      <c r="BI31" s="50"/>
      <c r="BJ31" s="49"/>
      <c r="BK31" s="50"/>
      <c r="BL31" s="49"/>
      <c r="BM31" s="50"/>
      <c r="BN31" s="49"/>
    </row>
    <row r="32" spans="1:66" ht="15">
      <c r="A32" s="65" t="s">
        <v>233</v>
      </c>
      <c r="B32" s="65" t="s">
        <v>414</v>
      </c>
      <c r="C32" s="66" t="s">
        <v>4405</v>
      </c>
      <c r="D32" s="67">
        <v>1</v>
      </c>
      <c r="E32" s="68" t="s">
        <v>132</v>
      </c>
      <c r="F32" s="69">
        <v>32</v>
      </c>
      <c r="G32" s="66" t="s">
        <v>51</v>
      </c>
      <c r="H32" s="70"/>
      <c r="I32" s="71"/>
      <c r="J32" s="71"/>
      <c r="K32" s="35" t="s">
        <v>65</v>
      </c>
      <c r="L32" s="79">
        <v>32</v>
      </c>
      <c r="M32" s="79"/>
      <c r="N32" s="73"/>
      <c r="O32" s="90" t="s">
        <v>449</v>
      </c>
      <c r="P32" s="93">
        <v>44575.68837962963</v>
      </c>
      <c r="Q32" s="90" t="s">
        <v>456</v>
      </c>
      <c r="R32" s="90"/>
      <c r="S32" s="90"/>
      <c r="T32" s="97" t="s">
        <v>557</v>
      </c>
      <c r="U32" s="95" t="str">
        <f>HYPERLINK("https://pbs.twimg.com/media/FJE4Mp5XEAQDCl6.jpg")</f>
        <v>https://pbs.twimg.com/media/FJE4Mp5XEAQDCl6.jpg</v>
      </c>
      <c r="V32" s="95" t="str">
        <f>HYPERLINK("https://pbs.twimg.com/media/FJE4Mp5XEAQDCl6.jpg")</f>
        <v>https://pbs.twimg.com/media/FJE4Mp5XEAQDCl6.jpg</v>
      </c>
      <c r="W32" s="93">
        <v>44575.68837962963</v>
      </c>
      <c r="X32" s="102">
        <v>44575</v>
      </c>
      <c r="Y32" s="97" t="s">
        <v>592</v>
      </c>
      <c r="Z32" s="95" t="str">
        <f>HYPERLINK("https://twitter.com/santeri__/status/1482027547676315650")</f>
        <v>https://twitter.com/santeri__/status/1482027547676315650</v>
      </c>
      <c r="AA32" s="90"/>
      <c r="AB32" s="90"/>
      <c r="AC32" s="97" t="s">
        <v>833</v>
      </c>
      <c r="AD32" s="97" t="s">
        <v>1055</v>
      </c>
      <c r="AE32" s="90" t="b">
        <v>0</v>
      </c>
      <c r="AF32" s="90">
        <v>0</v>
      </c>
      <c r="AG32" s="97" t="s">
        <v>1091</v>
      </c>
      <c r="AH32" s="90" t="b">
        <v>0</v>
      </c>
      <c r="AI32" s="90" t="s">
        <v>1127</v>
      </c>
      <c r="AJ32" s="90"/>
      <c r="AK32" s="97" t="s">
        <v>1087</v>
      </c>
      <c r="AL32" s="90" t="b">
        <v>0</v>
      </c>
      <c r="AM32" s="90">
        <v>0</v>
      </c>
      <c r="AN32" s="97" t="s">
        <v>1087</v>
      </c>
      <c r="AO32" s="97" t="s">
        <v>1134</v>
      </c>
      <c r="AP32" s="90" t="b">
        <v>0</v>
      </c>
      <c r="AQ32" s="97" t="s">
        <v>1055</v>
      </c>
      <c r="AR32" s="90" t="s">
        <v>178</v>
      </c>
      <c r="AS32" s="90">
        <v>0</v>
      </c>
      <c r="AT32" s="90">
        <v>0</v>
      </c>
      <c r="AU32" s="90"/>
      <c r="AV32" s="90"/>
      <c r="AW32" s="90"/>
      <c r="AX32" s="90"/>
      <c r="AY32" s="90"/>
      <c r="AZ32" s="90"/>
      <c r="BA32" s="90"/>
      <c r="BB32" s="90"/>
      <c r="BC32">
        <v>1</v>
      </c>
      <c r="BD32" s="89" t="str">
        <f>REPLACE(INDEX(GroupVertices[Group],MATCH(Edges[[#This Row],[Vertex 1]],GroupVertices[Vertex],0)),1,1,"")</f>
        <v>8</v>
      </c>
      <c r="BE32" s="89" t="str">
        <f>REPLACE(INDEX(GroupVertices[Group],MATCH(Edges[[#This Row],[Vertex 2]],GroupVertices[Vertex],0)),1,1,"")</f>
        <v>8</v>
      </c>
      <c r="BF32" s="49"/>
      <c r="BG32" s="50"/>
      <c r="BH32" s="49"/>
      <c r="BI32" s="50"/>
      <c r="BJ32" s="49"/>
      <c r="BK32" s="50"/>
      <c r="BL32" s="49"/>
      <c r="BM32" s="50"/>
      <c r="BN32" s="49"/>
    </row>
    <row r="33" spans="1:66" ht="15">
      <c r="A33" s="65" t="s">
        <v>233</v>
      </c>
      <c r="B33" s="65" t="s">
        <v>415</v>
      </c>
      <c r="C33" s="66" t="s">
        <v>4405</v>
      </c>
      <c r="D33" s="67">
        <v>1</v>
      </c>
      <c r="E33" s="68" t="s">
        <v>132</v>
      </c>
      <c r="F33" s="69">
        <v>32</v>
      </c>
      <c r="G33" s="66" t="s">
        <v>51</v>
      </c>
      <c r="H33" s="70"/>
      <c r="I33" s="71"/>
      <c r="J33" s="71"/>
      <c r="K33" s="35" t="s">
        <v>65</v>
      </c>
      <c r="L33" s="79">
        <v>33</v>
      </c>
      <c r="M33" s="79"/>
      <c r="N33" s="73"/>
      <c r="O33" s="90" t="s">
        <v>448</v>
      </c>
      <c r="P33" s="93">
        <v>44575.68837962963</v>
      </c>
      <c r="Q33" s="90" t="s">
        <v>456</v>
      </c>
      <c r="R33" s="90"/>
      <c r="S33" s="90"/>
      <c r="T33" s="97" t="s">
        <v>557</v>
      </c>
      <c r="U33" s="95" t="str">
        <f>HYPERLINK("https://pbs.twimg.com/media/FJE4Mp5XEAQDCl6.jpg")</f>
        <v>https://pbs.twimg.com/media/FJE4Mp5XEAQDCl6.jpg</v>
      </c>
      <c r="V33" s="95" t="str">
        <f>HYPERLINK("https://pbs.twimg.com/media/FJE4Mp5XEAQDCl6.jpg")</f>
        <v>https://pbs.twimg.com/media/FJE4Mp5XEAQDCl6.jpg</v>
      </c>
      <c r="W33" s="93">
        <v>44575.68837962963</v>
      </c>
      <c r="X33" s="102">
        <v>44575</v>
      </c>
      <c r="Y33" s="97" t="s">
        <v>592</v>
      </c>
      <c r="Z33" s="95" t="str">
        <f>HYPERLINK("https://twitter.com/santeri__/status/1482027547676315650")</f>
        <v>https://twitter.com/santeri__/status/1482027547676315650</v>
      </c>
      <c r="AA33" s="90"/>
      <c r="AB33" s="90"/>
      <c r="AC33" s="97" t="s">
        <v>833</v>
      </c>
      <c r="AD33" s="97" t="s">
        <v>1055</v>
      </c>
      <c r="AE33" s="90" t="b">
        <v>0</v>
      </c>
      <c r="AF33" s="90">
        <v>0</v>
      </c>
      <c r="AG33" s="97" t="s">
        <v>1091</v>
      </c>
      <c r="AH33" s="90" t="b">
        <v>0</v>
      </c>
      <c r="AI33" s="90" t="s">
        <v>1127</v>
      </c>
      <c r="AJ33" s="90"/>
      <c r="AK33" s="97" t="s">
        <v>1087</v>
      </c>
      <c r="AL33" s="90" t="b">
        <v>0</v>
      </c>
      <c r="AM33" s="90">
        <v>0</v>
      </c>
      <c r="AN33" s="97" t="s">
        <v>1087</v>
      </c>
      <c r="AO33" s="97" t="s">
        <v>1134</v>
      </c>
      <c r="AP33" s="90" t="b">
        <v>0</v>
      </c>
      <c r="AQ33" s="97" t="s">
        <v>1055</v>
      </c>
      <c r="AR33" s="90" t="s">
        <v>178</v>
      </c>
      <c r="AS33" s="90">
        <v>0</v>
      </c>
      <c r="AT33" s="90">
        <v>0</v>
      </c>
      <c r="AU33" s="90"/>
      <c r="AV33" s="90"/>
      <c r="AW33" s="90"/>
      <c r="AX33" s="90"/>
      <c r="AY33" s="90"/>
      <c r="AZ33" s="90"/>
      <c r="BA33" s="90"/>
      <c r="BB33" s="90"/>
      <c r="BC33">
        <v>1</v>
      </c>
      <c r="BD33" s="89" t="str">
        <f>REPLACE(INDEX(GroupVertices[Group],MATCH(Edges[[#This Row],[Vertex 1]],GroupVertices[Vertex],0)),1,1,"")</f>
        <v>8</v>
      </c>
      <c r="BE33" s="89" t="str">
        <f>REPLACE(INDEX(GroupVertices[Group],MATCH(Edges[[#This Row],[Vertex 2]],GroupVertices[Vertex],0)),1,1,"")</f>
        <v>8</v>
      </c>
      <c r="BF33" s="49">
        <v>0</v>
      </c>
      <c r="BG33" s="50">
        <v>0</v>
      </c>
      <c r="BH33" s="49">
        <v>0</v>
      </c>
      <c r="BI33" s="50">
        <v>0</v>
      </c>
      <c r="BJ33" s="49">
        <v>0</v>
      </c>
      <c r="BK33" s="50">
        <v>0</v>
      </c>
      <c r="BL33" s="49">
        <v>34</v>
      </c>
      <c r="BM33" s="50">
        <v>100</v>
      </c>
      <c r="BN33" s="49">
        <v>34</v>
      </c>
    </row>
    <row r="34" spans="1:66" ht="15">
      <c r="A34" s="65" t="s">
        <v>234</v>
      </c>
      <c r="B34" s="65" t="s">
        <v>384</v>
      </c>
      <c r="C34" s="66" t="s">
        <v>4405</v>
      </c>
      <c r="D34" s="67">
        <v>1</v>
      </c>
      <c r="E34" s="68" t="s">
        <v>132</v>
      </c>
      <c r="F34" s="69">
        <v>32</v>
      </c>
      <c r="G34" s="66" t="s">
        <v>51</v>
      </c>
      <c r="H34" s="70"/>
      <c r="I34" s="71"/>
      <c r="J34" s="71"/>
      <c r="K34" s="35" t="s">
        <v>65</v>
      </c>
      <c r="L34" s="79">
        <v>34</v>
      </c>
      <c r="M34" s="79"/>
      <c r="N34" s="73"/>
      <c r="O34" s="90" t="s">
        <v>447</v>
      </c>
      <c r="P34" s="93">
        <v>44575.703668981485</v>
      </c>
      <c r="Q34" s="90" t="s">
        <v>452</v>
      </c>
      <c r="R34" s="90"/>
      <c r="S34" s="90"/>
      <c r="T34" s="90"/>
      <c r="U34" s="95" t="str">
        <f>HYPERLINK("https://pbs.twimg.com/media/FJEZSt6WYAQW_i_.jpg")</f>
        <v>https://pbs.twimg.com/media/FJEZSt6WYAQW_i_.jpg</v>
      </c>
      <c r="V34" s="95" t="str">
        <f>HYPERLINK("https://pbs.twimg.com/media/FJEZSt6WYAQW_i_.jpg")</f>
        <v>https://pbs.twimg.com/media/FJEZSt6WYAQW_i_.jpg</v>
      </c>
      <c r="W34" s="93">
        <v>44575.703668981485</v>
      </c>
      <c r="X34" s="102">
        <v>44575</v>
      </c>
      <c r="Y34" s="97" t="s">
        <v>593</v>
      </c>
      <c r="Z34" s="95" t="str">
        <f>HYPERLINK("https://twitter.com/jonnaarkki/status/1482033086305034251")</f>
        <v>https://twitter.com/jonnaarkki/status/1482033086305034251</v>
      </c>
      <c r="AA34" s="90"/>
      <c r="AB34" s="90"/>
      <c r="AC34" s="97" t="s">
        <v>834</v>
      </c>
      <c r="AD34" s="90"/>
      <c r="AE34" s="90" t="b">
        <v>0</v>
      </c>
      <c r="AF34" s="90">
        <v>0</v>
      </c>
      <c r="AG34" s="97" t="s">
        <v>1087</v>
      </c>
      <c r="AH34" s="90" t="b">
        <v>0</v>
      </c>
      <c r="AI34" s="90" t="s">
        <v>1127</v>
      </c>
      <c r="AJ34" s="90"/>
      <c r="AK34" s="97" t="s">
        <v>1087</v>
      </c>
      <c r="AL34" s="90" t="b">
        <v>0</v>
      </c>
      <c r="AM34" s="90">
        <v>33</v>
      </c>
      <c r="AN34" s="97" t="s">
        <v>1022</v>
      </c>
      <c r="AO34" s="97" t="s">
        <v>1132</v>
      </c>
      <c r="AP34" s="90" t="b">
        <v>0</v>
      </c>
      <c r="AQ34" s="97" t="s">
        <v>1022</v>
      </c>
      <c r="AR34" s="90" t="s">
        <v>178</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v>0</v>
      </c>
      <c r="BG34" s="50">
        <v>0</v>
      </c>
      <c r="BH34" s="49">
        <v>0</v>
      </c>
      <c r="BI34" s="50">
        <v>0</v>
      </c>
      <c r="BJ34" s="49">
        <v>0</v>
      </c>
      <c r="BK34" s="50">
        <v>0</v>
      </c>
      <c r="BL34" s="49">
        <v>24</v>
      </c>
      <c r="BM34" s="50">
        <v>100</v>
      </c>
      <c r="BN34" s="49">
        <v>24</v>
      </c>
    </row>
    <row r="35" spans="1:66" ht="15">
      <c r="A35" s="65" t="s">
        <v>235</v>
      </c>
      <c r="B35" s="65" t="s">
        <v>384</v>
      </c>
      <c r="C35" s="66" t="s">
        <v>4405</v>
      </c>
      <c r="D35" s="67">
        <v>1</v>
      </c>
      <c r="E35" s="68" t="s">
        <v>132</v>
      </c>
      <c r="F35" s="69">
        <v>32</v>
      </c>
      <c r="G35" s="66" t="s">
        <v>51</v>
      </c>
      <c r="H35" s="70"/>
      <c r="I35" s="71"/>
      <c r="J35" s="71"/>
      <c r="K35" s="35" t="s">
        <v>65</v>
      </c>
      <c r="L35" s="79">
        <v>35</v>
      </c>
      <c r="M35" s="79"/>
      <c r="N35" s="73"/>
      <c r="O35" s="90" t="s">
        <v>447</v>
      </c>
      <c r="P35" s="93">
        <v>44575.7118287037</v>
      </c>
      <c r="Q35" s="90" t="s">
        <v>452</v>
      </c>
      <c r="R35" s="90"/>
      <c r="S35" s="90"/>
      <c r="T35" s="90"/>
      <c r="U35" s="95" t="str">
        <f>HYPERLINK("https://pbs.twimg.com/media/FJEZSt6WYAQW_i_.jpg")</f>
        <v>https://pbs.twimg.com/media/FJEZSt6WYAQW_i_.jpg</v>
      </c>
      <c r="V35" s="95" t="str">
        <f>HYPERLINK("https://pbs.twimg.com/media/FJEZSt6WYAQW_i_.jpg")</f>
        <v>https://pbs.twimg.com/media/FJEZSt6WYAQW_i_.jpg</v>
      </c>
      <c r="W35" s="93">
        <v>44575.7118287037</v>
      </c>
      <c r="X35" s="102">
        <v>44575</v>
      </c>
      <c r="Y35" s="97" t="s">
        <v>594</v>
      </c>
      <c r="Z35" s="95" t="str">
        <f>HYPERLINK("https://twitter.com/playnone/status/1482036045814407177")</f>
        <v>https://twitter.com/playnone/status/1482036045814407177</v>
      </c>
      <c r="AA35" s="90"/>
      <c r="AB35" s="90"/>
      <c r="AC35" s="97" t="s">
        <v>835</v>
      </c>
      <c r="AD35" s="90"/>
      <c r="AE35" s="90" t="b">
        <v>0</v>
      </c>
      <c r="AF35" s="90">
        <v>0</v>
      </c>
      <c r="AG35" s="97" t="s">
        <v>1087</v>
      </c>
      <c r="AH35" s="90" t="b">
        <v>0</v>
      </c>
      <c r="AI35" s="90" t="s">
        <v>1127</v>
      </c>
      <c r="AJ35" s="90"/>
      <c r="AK35" s="97" t="s">
        <v>1087</v>
      </c>
      <c r="AL35" s="90" t="b">
        <v>0</v>
      </c>
      <c r="AM35" s="90">
        <v>33</v>
      </c>
      <c r="AN35" s="97" t="s">
        <v>1022</v>
      </c>
      <c r="AO35" s="97" t="s">
        <v>1134</v>
      </c>
      <c r="AP35" s="90" t="b">
        <v>0</v>
      </c>
      <c r="AQ35" s="97" t="s">
        <v>1022</v>
      </c>
      <c r="AR35" s="90" t="s">
        <v>178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0</v>
      </c>
      <c r="BG35" s="50">
        <v>0</v>
      </c>
      <c r="BH35" s="49">
        <v>0</v>
      </c>
      <c r="BI35" s="50">
        <v>0</v>
      </c>
      <c r="BJ35" s="49">
        <v>0</v>
      </c>
      <c r="BK35" s="50">
        <v>0</v>
      </c>
      <c r="BL35" s="49">
        <v>24</v>
      </c>
      <c r="BM35" s="50">
        <v>100</v>
      </c>
      <c r="BN35" s="49">
        <v>24</v>
      </c>
    </row>
    <row r="36" spans="1:66" ht="15">
      <c r="A36" s="65" t="s">
        <v>236</v>
      </c>
      <c r="B36" s="65" t="s">
        <v>384</v>
      </c>
      <c r="C36" s="66" t="s">
        <v>4405</v>
      </c>
      <c r="D36" s="67">
        <v>1</v>
      </c>
      <c r="E36" s="68" t="s">
        <v>132</v>
      </c>
      <c r="F36" s="69">
        <v>32</v>
      </c>
      <c r="G36" s="66" t="s">
        <v>51</v>
      </c>
      <c r="H36" s="70"/>
      <c r="I36" s="71"/>
      <c r="J36" s="71"/>
      <c r="K36" s="35" t="s">
        <v>65</v>
      </c>
      <c r="L36" s="79">
        <v>36</v>
      </c>
      <c r="M36" s="79"/>
      <c r="N36" s="73"/>
      <c r="O36" s="90" t="s">
        <v>447</v>
      </c>
      <c r="P36" s="93">
        <v>44575.722708333335</v>
      </c>
      <c r="Q36" s="90" t="s">
        <v>452</v>
      </c>
      <c r="R36" s="90"/>
      <c r="S36" s="90"/>
      <c r="T36" s="90"/>
      <c r="U36" s="95" t="str">
        <f>HYPERLINK("https://pbs.twimg.com/media/FJEZSt6WYAQW_i_.jpg")</f>
        <v>https://pbs.twimg.com/media/FJEZSt6WYAQW_i_.jpg</v>
      </c>
      <c r="V36" s="95" t="str">
        <f>HYPERLINK("https://pbs.twimg.com/media/FJEZSt6WYAQW_i_.jpg")</f>
        <v>https://pbs.twimg.com/media/FJEZSt6WYAQW_i_.jpg</v>
      </c>
      <c r="W36" s="93">
        <v>44575.722708333335</v>
      </c>
      <c r="X36" s="102">
        <v>44575</v>
      </c>
      <c r="Y36" s="97" t="s">
        <v>595</v>
      </c>
      <c r="Z36" s="95" t="str">
        <f>HYPERLINK("https://twitter.com/kissanviikset1/status/1482039987700916224")</f>
        <v>https://twitter.com/kissanviikset1/status/1482039987700916224</v>
      </c>
      <c r="AA36" s="90"/>
      <c r="AB36" s="90"/>
      <c r="AC36" s="97" t="s">
        <v>836</v>
      </c>
      <c r="AD36" s="90"/>
      <c r="AE36" s="90" t="b">
        <v>0</v>
      </c>
      <c r="AF36" s="90">
        <v>0</v>
      </c>
      <c r="AG36" s="97" t="s">
        <v>1087</v>
      </c>
      <c r="AH36" s="90" t="b">
        <v>0</v>
      </c>
      <c r="AI36" s="90" t="s">
        <v>1127</v>
      </c>
      <c r="AJ36" s="90"/>
      <c r="AK36" s="97" t="s">
        <v>1087</v>
      </c>
      <c r="AL36" s="90" t="b">
        <v>0</v>
      </c>
      <c r="AM36" s="90">
        <v>33</v>
      </c>
      <c r="AN36" s="97" t="s">
        <v>1022</v>
      </c>
      <c r="AO36" s="97" t="s">
        <v>1132</v>
      </c>
      <c r="AP36" s="90" t="b">
        <v>0</v>
      </c>
      <c r="AQ36" s="97" t="s">
        <v>1022</v>
      </c>
      <c r="AR36" s="90" t="s">
        <v>178</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v>0</v>
      </c>
      <c r="BG36" s="50">
        <v>0</v>
      </c>
      <c r="BH36" s="49">
        <v>0</v>
      </c>
      <c r="BI36" s="50">
        <v>0</v>
      </c>
      <c r="BJ36" s="49">
        <v>0</v>
      </c>
      <c r="BK36" s="50">
        <v>0</v>
      </c>
      <c r="BL36" s="49">
        <v>24</v>
      </c>
      <c r="BM36" s="50">
        <v>100</v>
      </c>
      <c r="BN36" s="49">
        <v>24</v>
      </c>
    </row>
    <row r="37" spans="1:66" ht="15">
      <c r="A37" s="65" t="s">
        <v>237</v>
      </c>
      <c r="B37" s="65" t="s">
        <v>237</v>
      </c>
      <c r="C37" s="66" t="s">
        <v>4405</v>
      </c>
      <c r="D37" s="67">
        <v>1</v>
      </c>
      <c r="E37" s="68" t="s">
        <v>132</v>
      </c>
      <c r="F37" s="69">
        <v>32</v>
      </c>
      <c r="G37" s="66" t="s">
        <v>51</v>
      </c>
      <c r="H37" s="70"/>
      <c r="I37" s="71"/>
      <c r="J37" s="71"/>
      <c r="K37" s="35" t="s">
        <v>65</v>
      </c>
      <c r="L37" s="79">
        <v>37</v>
      </c>
      <c r="M37" s="79"/>
      <c r="N37" s="73"/>
      <c r="O37" s="90" t="s">
        <v>178</v>
      </c>
      <c r="P37" s="93">
        <v>44575.73458333333</v>
      </c>
      <c r="Q37" s="90" t="s">
        <v>457</v>
      </c>
      <c r="R37" s="90"/>
      <c r="S37" s="90"/>
      <c r="T37" s="90"/>
      <c r="U37" s="95" t="str">
        <f>HYPERLINK("https://pbs.twimg.com/media/FJFHam8WUAQq8Vc.jpg")</f>
        <v>https://pbs.twimg.com/media/FJFHam8WUAQq8Vc.jpg</v>
      </c>
      <c r="V37" s="95" t="str">
        <f>HYPERLINK("https://pbs.twimg.com/media/FJFHam8WUAQq8Vc.jpg")</f>
        <v>https://pbs.twimg.com/media/FJFHam8WUAQq8Vc.jpg</v>
      </c>
      <c r="W37" s="93">
        <v>44575.73458333333</v>
      </c>
      <c r="X37" s="102">
        <v>44575</v>
      </c>
      <c r="Y37" s="97" t="s">
        <v>596</v>
      </c>
      <c r="Z37" s="95" t="str">
        <f>HYPERLINK("https://twitter.com/hilmisdilmis/status/1482044290511613953")</f>
        <v>https://twitter.com/hilmisdilmis/status/1482044290511613953</v>
      </c>
      <c r="AA37" s="90"/>
      <c r="AB37" s="90"/>
      <c r="AC37" s="97" t="s">
        <v>837</v>
      </c>
      <c r="AD37" s="90"/>
      <c r="AE37" s="90" t="b">
        <v>0</v>
      </c>
      <c r="AF37" s="90">
        <v>2</v>
      </c>
      <c r="AG37" s="97" t="s">
        <v>1087</v>
      </c>
      <c r="AH37" s="90" t="b">
        <v>0</v>
      </c>
      <c r="AI37" s="90" t="s">
        <v>1127</v>
      </c>
      <c r="AJ37" s="90"/>
      <c r="AK37" s="97" t="s">
        <v>1087</v>
      </c>
      <c r="AL37" s="90" t="b">
        <v>0</v>
      </c>
      <c r="AM37" s="90">
        <v>0</v>
      </c>
      <c r="AN37" s="97" t="s">
        <v>1087</v>
      </c>
      <c r="AO37" s="97" t="s">
        <v>1132</v>
      </c>
      <c r="AP37" s="90" t="b">
        <v>0</v>
      </c>
      <c r="AQ37" s="97" t="s">
        <v>837</v>
      </c>
      <c r="AR37" s="90" t="s">
        <v>178</v>
      </c>
      <c r="AS37" s="90">
        <v>0</v>
      </c>
      <c r="AT37" s="90">
        <v>0</v>
      </c>
      <c r="AU37" s="90"/>
      <c r="AV37" s="90"/>
      <c r="AW37" s="90"/>
      <c r="AX37" s="90"/>
      <c r="AY37" s="90"/>
      <c r="AZ37" s="90"/>
      <c r="BA37" s="90"/>
      <c r="BB37" s="90"/>
      <c r="BC37">
        <v>1</v>
      </c>
      <c r="BD37" s="89" t="str">
        <f>REPLACE(INDEX(GroupVertices[Group],MATCH(Edges[[#This Row],[Vertex 1]],GroupVertices[Vertex],0)),1,1,"")</f>
        <v>7</v>
      </c>
      <c r="BE37" s="89" t="str">
        <f>REPLACE(INDEX(GroupVertices[Group],MATCH(Edges[[#This Row],[Vertex 2]],GroupVertices[Vertex],0)),1,1,"")</f>
        <v>7</v>
      </c>
      <c r="BF37" s="49">
        <v>0</v>
      </c>
      <c r="BG37" s="50">
        <v>0</v>
      </c>
      <c r="BH37" s="49">
        <v>0</v>
      </c>
      <c r="BI37" s="50">
        <v>0</v>
      </c>
      <c r="BJ37" s="49">
        <v>0</v>
      </c>
      <c r="BK37" s="50">
        <v>0</v>
      </c>
      <c r="BL37" s="49">
        <v>7</v>
      </c>
      <c r="BM37" s="50">
        <v>100</v>
      </c>
      <c r="BN37" s="49">
        <v>7</v>
      </c>
    </row>
    <row r="38" spans="1:66" ht="15">
      <c r="A38" s="65" t="s">
        <v>238</v>
      </c>
      <c r="B38" s="65" t="s">
        <v>384</v>
      </c>
      <c r="C38" s="66" t="s">
        <v>4405</v>
      </c>
      <c r="D38" s="67">
        <v>1</v>
      </c>
      <c r="E38" s="68" t="s">
        <v>132</v>
      </c>
      <c r="F38" s="69">
        <v>32</v>
      </c>
      <c r="G38" s="66" t="s">
        <v>51</v>
      </c>
      <c r="H38" s="70"/>
      <c r="I38" s="71"/>
      <c r="J38" s="71"/>
      <c r="K38" s="35" t="s">
        <v>65</v>
      </c>
      <c r="L38" s="79">
        <v>38</v>
      </c>
      <c r="M38" s="79"/>
      <c r="N38" s="73"/>
      <c r="O38" s="90" t="s">
        <v>447</v>
      </c>
      <c r="P38" s="93">
        <v>44575.73954861111</v>
      </c>
      <c r="Q38" s="90" t="s">
        <v>452</v>
      </c>
      <c r="R38" s="90"/>
      <c r="S38" s="90"/>
      <c r="T38" s="90"/>
      <c r="U38" s="95" t="str">
        <f>HYPERLINK("https://pbs.twimg.com/media/FJEZSt6WYAQW_i_.jpg")</f>
        <v>https://pbs.twimg.com/media/FJEZSt6WYAQW_i_.jpg</v>
      </c>
      <c r="V38" s="95" t="str">
        <f>HYPERLINK("https://pbs.twimg.com/media/FJEZSt6WYAQW_i_.jpg")</f>
        <v>https://pbs.twimg.com/media/FJEZSt6WYAQW_i_.jpg</v>
      </c>
      <c r="W38" s="93">
        <v>44575.73954861111</v>
      </c>
      <c r="X38" s="102">
        <v>44575</v>
      </c>
      <c r="Y38" s="97" t="s">
        <v>597</v>
      </c>
      <c r="Z38" s="95" t="str">
        <f>HYPERLINK("https://twitter.com/meri_annika/status/1482046088823644167")</f>
        <v>https://twitter.com/meri_annika/status/1482046088823644167</v>
      </c>
      <c r="AA38" s="90"/>
      <c r="AB38" s="90"/>
      <c r="AC38" s="97" t="s">
        <v>838</v>
      </c>
      <c r="AD38" s="90"/>
      <c r="AE38" s="90" t="b">
        <v>0</v>
      </c>
      <c r="AF38" s="90">
        <v>0</v>
      </c>
      <c r="AG38" s="97" t="s">
        <v>1087</v>
      </c>
      <c r="AH38" s="90" t="b">
        <v>0</v>
      </c>
      <c r="AI38" s="90" t="s">
        <v>1127</v>
      </c>
      <c r="AJ38" s="90"/>
      <c r="AK38" s="97" t="s">
        <v>1087</v>
      </c>
      <c r="AL38" s="90" t="b">
        <v>0</v>
      </c>
      <c r="AM38" s="90">
        <v>33</v>
      </c>
      <c r="AN38" s="97" t="s">
        <v>1022</v>
      </c>
      <c r="AO38" s="97" t="s">
        <v>1134</v>
      </c>
      <c r="AP38" s="90" t="b">
        <v>0</v>
      </c>
      <c r="AQ38" s="97" t="s">
        <v>1022</v>
      </c>
      <c r="AR38" s="90" t="s">
        <v>178</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v>0</v>
      </c>
      <c r="BG38" s="50">
        <v>0</v>
      </c>
      <c r="BH38" s="49">
        <v>0</v>
      </c>
      <c r="BI38" s="50">
        <v>0</v>
      </c>
      <c r="BJ38" s="49">
        <v>0</v>
      </c>
      <c r="BK38" s="50">
        <v>0</v>
      </c>
      <c r="BL38" s="49">
        <v>24</v>
      </c>
      <c r="BM38" s="50">
        <v>100</v>
      </c>
      <c r="BN38" s="49">
        <v>24</v>
      </c>
    </row>
    <row r="39" spans="1:66" ht="15">
      <c r="A39" s="65" t="s">
        <v>239</v>
      </c>
      <c r="B39" s="65" t="s">
        <v>384</v>
      </c>
      <c r="C39" s="66" t="s">
        <v>4405</v>
      </c>
      <c r="D39" s="67">
        <v>1</v>
      </c>
      <c r="E39" s="68" t="s">
        <v>132</v>
      </c>
      <c r="F39" s="69">
        <v>32</v>
      </c>
      <c r="G39" s="66" t="s">
        <v>51</v>
      </c>
      <c r="H39" s="70"/>
      <c r="I39" s="71"/>
      <c r="J39" s="71"/>
      <c r="K39" s="35" t="s">
        <v>65</v>
      </c>
      <c r="L39" s="79">
        <v>39</v>
      </c>
      <c r="M39" s="79"/>
      <c r="N39" s="73"/>
      <c r="O39" s="90" t="s">
        <v>447</v>
      </c>
      <c r="P39" s="93">
        <v>44575.75592592593</v>
      </c>
      <c r="Q39" s="90" t="s">
        <v>452</v>
      </c>
      <c r="R39" s="90"/>
      <c r="S39" s="90"/>
      <c r="T39" s="90"/>
      <c r="U39" s="95" t="str">
        <f>HYPERLINK("https://pbs.twimg.com/media/FJEZSt6WYAQW_i_.jpg")</f>
        <v>https://pbs.twimg.com/media/FJEZSt6WYAQW_i_.jpg</v>
      </c>
      <c r="V39" s="95" t="str">
        <f>HYPERLINK("https://pbs.twimg.com/media/FJEZSt6WYAQW_i_.jpg")</f>
        <v>https://pbs.twimg.com/media/FJEZSt6WYAQW_i_.jpg</v>
      </c>
      <c r="W39" s="93">
        <v>44575.75592592593</v>
      </c>
      <c r="X39" s="102">
        <v>44575</v>
      </c>
      <c r="Y39" s="97" t="s">
        <v>598</v>
      </c>
      <c r="Z39" s="95" t="str">
        <f>HYPERLINK("https://twitter.com/jaakkola_mikael/status/1482052024774668289")</f>
        <v>https://twitter.com/jaakkola_mikael/status/1482052024774668289</v>
      </c>
      <c r="AA39" s="90"/>
      <c r="AB39" s="90"/>
      <c r="AC39" s="97" t="s">
        <v>839</v>
      </c>
      <c r="AD39" s="90"/>
      <c r="AE39" s="90" t="b">
        <v>0</v>
      </c>
      <c r="AF39" s="90">
        <v>0</v>
      </c>
      <c r="AG39" s="97" t="s">
        <v>1087</v>
      </c>
      <c r="AH39" s="90" t="b">
        <v>0</v>
      </c>
      <c r="AI39" s="90" t="s">
        <v>1127</v>
      </c>
      <c r="AJ39" s="90"/>
      <c r="AK39" s="97" t="s">
        <v>1087</v>
      </c>
      <c r="AL39" s="90" t="b">
        <v>0</v>
      </c>
      <c r="AM39" s="90">
        <v>33</v>
      </c>
      <c r="AN39" s="97" t="s">
        <v>1022</v>
      </c>
      <c r="AO39" s="97" t="s">
        <v>1134</v>
      </c>
      <c r="AP39" s="90" t="b">
        <v>0</v>
      </c>
      <c r="AQ39" s="97" t="s">
        <v>1022</v>
      </c>
      <c r="AR39" s="90" t="s">
        <v>178</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v>0</v>
      </c>
      <c r="BG39" s="50">
        <v>0</v>
      </c>
      <c r="BH39" s="49">
        <v>0</v>
      </c>
      <c r="BI39" s="50">
        <v>0</v>
      </c>
      <c r="BJ39" s="49">
        <v>0</v>
      </c>
      <c r="BK39" s="50">
        <v>0</v>
      </c>
      <c r="BL39" s="49">
        <v>24</v>
      </c>
      <c r="BM39" s="50">
        <v>100</v>
      </c>
      <c r="BN39" s="49">
        <v>24</v>
      </c>
    </row>
    <row r="40" spans="1:66" ht="15">
      <c r="A40" s="65" t="s">
        <v>240</v>
      </c>
      <c r="B40" s="65" t="s">
        <v>384</v>
      </c>
      <c r="C40" s="66" t="s">
        <v>4405</v>
      </c>
      <c r="D40" s="67">
        <v>1</v>
      </c>
      <c r="E40" s="68" t="s">
        <v>132</v>
      </c>
      <c r="F40" s="69">
        <v>32</v>
      </c>
      <c r="G40" s="66" t="s">
        <v>51</v>
      </c>
      <c r="H40" s="70"/>
      <c r="I40" s="71"/>
      <c r="J40" s="71"/>
      <c r="K40" s="35" t="s">
        <v>65</v>
      </c>
      <c r="L40" s="79">
        <v>40</v>
      </c>
      <c r="M40" s="79"/>
      <c r="N40" s="73"/>
      <c r="O40" s="90" t="s">
        <v>447</v>
      </c>
      <c r="P40" s="93">
        <v>44575.79766203704</v>
      </c>
      <c r="Q40" s="90" t="s">
        <v>452</v>
      </c>
      <c r="R40" s="90"/>
      <c r="S40" s="90"/>
      <c r="T40" s="90"/>
      <c r="U40" s="95" t="str">
        <f>HYPERLINK("https://pbs.twimg.com/media/FJEZSt6WYAQW_i_.jpg")</f>
        <v>https://pbs.twimg.com/media/FJEZSt6WYAQW_i_.jpg</v>
      </c>
      <c r="V40" s="95" t="str">
        <f>HYPERLINK("https://pbs.twimg.com/media/FJEZSt6WYAQW_i_.jpg")</f>
        <v>https://pbs.twimg.com/media/FJEZSt6WYAQW_i_.jpg</v>
      </c>
      <c r="W40" s="93">
        <v>44575.79766203704</v>
      </c>
      <c r="X40" s="102">
        <v>44575</v>
      </c>
      <c r="Y40" s="97" t="s">
        <v>599</v>
      </c>
      <c r="Z40" s="95" t="str">
        <f>HYPERLINK("https://twitter.com/miksundman/status/1482067150873501701")</f>
        <v>https://twitter.com/miksundman/status/1482067150873501701</v>
      </c>
      <c r="AA40" s="90"/>
      <c r="AB40" s="90"/>
      <c r="AC40" s="97" t="s">
        <v>840</v>
      </c>
      <c r="AD40" s="90"/>
      <c r="AE40" s="90" t="b">
        <v>0</v>
      </c>
      <c r="AF40" s="90">
        <v>0</v>
      </c>
      <c r="AG40" s="97" t="s">
        <v>1087</v>
      </c>
      <c r="AH40" s="90" t="b">
        <v>0</v>
      </c>
      <c r="AI40" s="90" t="s">
        <v>1127</v>
      </c>
      <c r="AJ40" s="90"/>
      <c r="AK40" s="97" t="s">
        <v>1087</v>
      </c>
      <c r="AL40" s="90" t="b">
        <v>0</v>
      </c>
      <c r="AM40" s="90">
        <v>33</v>
      </c>
      <c r="AN40" s="97" t="s">
        <v>1022</v>
      </c>
      <c r="AO40" s="97" t="s">
        <v>1134</v>
      </c>
      <c r="AP40" s="90" t="b">
        <v>0</v>
      </c>
      <c r="AQ40" s="97" t="s">
        <v>1022</v>
      </c>
      <c r="AR40" s="90" t="s">
        <v>178</v>
      </c>
      <c r="AS40" s="90">
        <v>0</v>
      </c>
      <c r="AT40" s="90">
        <v>0</v>
      </c>
      <c r="AU40" s="90"/>
      <c r="AV40" s="90"/>
      <c r="AW40" s="90"/>
      <c r="AX40" s="90"/>
      <c r="AY40" s="90"/>
      <c r="AZ40" s="90"/>
      <c r="BA40" s="90"/>
      <c r="BB40" s="90"/>
      <c r="BC40">
        <v>1</v>
      </c>
      <c r="BD40" s="89" t="str">
        <f>REPLACE(INDEX(GroupVertices[Group],MATCH(Edges[[#This Row],[Vertex 1]],GroupVertices[Vertex],0)),1,1,"")</f>
        <v>6</v>
      </c>
      <c r="BE40" s="89" t="str">
        <f>REPLACE(INDEX(GroupVertices[Group],MATCH(Edges[[#This Row],[Vertex 2]],GroupVertices[Vertex],0)),1,1,"")</f>
        <v>2</v>
      </c>
      <c r="BF40" s="49">
        <v>0</v>
      </c>
      <c r="BG40" s="50">
        <v>0</v>
      </c>
      <c r="BH40" s="49">
        <v>0</v>
      </c>
      <c r="BI40" s="50">
        <v>0</v>
      </c>
      <c r="BJ40" s="49">
        <v>0</v>
      </c>
      <c r="BK40" s="50">
        <v>0</v>
      </c>
      <c r="BL40" s="49">
        <v>24</v>
      </c>
      <c r="BM40" s="50">
        <v>100</v>
      </c>
      <c r="BN40" s="49">
        <v>24</v>
      </c>
    </row>
    <row r="41" spans="1:66" ht="15">
      <c r="A41" s="65" t="s">
        <v>240</v>
      </c>
      <c r="B41" s="65" t="s">
        <v>349</v>
      </c>
      <c r="C41" s="66" t="s">
        <v>4405</v>
      </c>
      <c r="D41" s="67">
        <v>1</v>
      </c>
      <c r="E41" s="68" t="s">
        <v>132</v>
      </c>
      <c r="F41" s="69">
        <v>32</v>
      </c>
      <c r="G41" s="66" t="s">
        <v>51</v>
      </c>
      <c r="H41" s="70"/>
      <c r="I41" s="71"/>
      <c r="J41" s="71"/>
      <c r="K41" s="35" t="s">
        <v>65</v>
      </c>
      <c r="L41" s="79">
        <v>41</v>
      </c>
      <c r="M41" s="79"/>
      <c r="N41" s="73"/>
      <c r="O41" s="90" t="s">
        <v>447</v>
      </c>
      <c r="P41" s="93">
        <v>44575.79824074074</v>
      </c>
      <c r="Q41" s="90" t="s">
        <v>451</v>
      </c>
      <c r="R41" s="90"/>
      <c r="S41" s="90"/>
      <c r="T41" s="97" t="s">
        <v>555</v>
      </c>
      <c r="U41" s="95" t="str">
        <f>HYPERLINK("https://pbs.twimg.com/media/FJEWU11XwAUKZay.jpg")</f>
        <v>https://pbs.twimg.com/media/FJEWU11XwAUKZay.jpg</v>
      </c>
      <c r="V41" s="95" t="str">
        <f>HYPERLINK("https://pbs.twimg.com/media/FJEWU11XwAUKZay.jpg")</f>
        <v>https://pbs.twimg.com/media/FJEWU11XwAUKZay.jpg</v>
      </c>
      <c r="W41" s="93">
        <v>44575.79824074074</v>
      </c>
      <c r="X41" s="102">
        <v>44575</v>
      </c>
      <c r="Y41" s="97" t="s">
        <v>600</v>
      </c>
      <c r="Z41" s="95" t="str">
        <f>HYPERLINK("https://twitter.com/miksundman/status/1482067358743252995")</f>
        <v>https://twitter.com/miksundman/status/1482067358743252995</v>
      </c>
      <c r="AA41" s="90"/>
      <c r="AB41" s="90"/>
      <c r="AC41" s="97" t="s">
        <v>841</v>
      </c>
      <c r="AD41" s="90"/>
      <c r="AE41" s="90" t="b">
        <v>0</v>
      </c>
      <c r="AF41" s="90">
        <v>0</v>
      </c>
      <c r="AG41" s="97" t="s">
        <v>1087</v>
      </c>
      <c r="AH41" s="90" t="b">
        <v>0</v>
      </c>
      <c r="AI41" s="90" t="s">
        <v>1127</v>
      </c>
      <c r="AJ41" s="90"/>
      <c r="AK41" s="97" t="s">
        <v>1087</v>
      </c>
      <c r="AL41" s="90" t="b">
        <v>0</v>
      </c>
      <c r="AM41" s="90">
        <v>11</v>
      </c>
      <c r="AN41" s="97" t="s">
        <v>975</v>
      </c>
      <c r="AO41" s="97" t="s">
        <v>1134</v>
      </c>
      <c r="AP41" s="90" t="b">
        <v>0</v>
      </c>
      <c r="AQ41" s="97" t="s">
        <v>975</v>
      </c>
      <c r="AR41" s="90" t="s">
        <v>178</v>
      </c>
      <c r="AS41" s="90">
        <v>0</v>
      </c>
      <c r="AT41" s="90">
        <v>0</v>
      </c>
      <c r="AU41" s="90"/>
      <c r="AV41" s="90"/>
      <c r="AW41" s="90"/>
      <c r="AX41" s="90"/>
      <c r="AY41" s="90"/>
      <c r="AZ41" s="90"/>
      <c r="BA41" s="90"/>
      <c r="BB41" s="90"/>
      <c r="BC41">
        <v>1</v>
      </c>
      <c r="BD41" s="89" t="str">
        <f>REPLACE(INDEX(GroupVertices[Group],MATCH(Edges[[#This Row],[Vertex 1]],GroupVertices[Vertex],0)),1,1,"")</f>
        <v>6</v>
      </c>
      <c r="BE41" s="89" t="str">
        <f>REPLACE(INDEX(GroupVertices[Group],MATCH(Edges[[#This Row],[Vertex 2]],GroupVertices[Vertex],0)),1,1,"")</f>
        <v>6</v>
      </c>
      <c r="BF41" s="49">
        <v>0</v>
      </c>
      <c r="BG41" s="50">
        <v>0</v>
      </c>
      <c r="BH41" s="49">
        <v>0</v>
      </c>
      <c r="BI41" s="50">
        <v>0</v>
      </c>
      <c r="BJ41" s="49">
        <v>0</v>
      </c>
      <c r="BK41" s="50">
        <v>0</v>
      </c>
      <c r="BL41" s="49">
        <v>29</v>
      </c>
      <c r="BM41" s="50">
        <v>100</v>
      </c>
      <c r="BN41" s="49">
        <v>29</v>
      </c>
    </row>
    <row r="42" spans="1:66" ht="15">
      <c r="A42" s="65" t="s">
        <v>241</v>
      </c>
      <c r="B42" s="65" t="s">
        <v>349</v>
      </c>
      <c r="C42" s="66" t="s">
        <v>4405</v>
      </c>
      <c r="D42" s="67">
        <v>1</v>
      </c>
      <c r="E42" s="68" t="s">
        <v>132</v>
      </c>
      <c r="F42" s="69">
        <v>32</v>
      </c>
      <c r="G42" s="66" t="s">
        <v>51</v>
      </c>
      <c r="H42" s="70"/>
      <c r="I42" s="71"/>
      <c r="J42" s="71"/>
      <c r="K42" s="35" t="s">
        <v>65</v>
      </c>
      <c r="L42" s="79">
        <v>42</v>
      </c>
      <c r="M42" s="79"/>
      <c r="N42" s="73"/>
      <c r="O42" s="90" t="s">
        <v>447</v>
      </c>
      <c r="P42" s="93">
        <v>44575.808125</v>
      </c>
      <c r="Q42" s="90" t="s">
        <v>451</v>
      </c>
      <c r="R42" s="90"/>
      <c r="S42" s="90"/>
      <c r="T42" s="97" t="s">
        <v>555</v>
      </c>
      <c r="U42" s="95" t="str">
        <f>HYPERLINK("https://pbs.twimg.com/media/FJEWU11XwAUKZay.jpg")</f>
        <v>https://pbs.twimg.com/media/FJEWU11XwAUKZay.jpg</v>
      </c>
      <c r="V42" s="95" t="str">
        <f>HYPERLINK("https://pbs.twimg.com/media/FJEWU11XwAUKZay.jpg")</f>
        <v>https://pbs.twimg.com/media/FJEWU11XwAUKZay.jpg</v>
      </c>
      <c r="W42" s="93">
        <v>44575.808125</v>
      </c>
      <c r="X42" s="102">
        <v>44575</v>
      </c>
      <c r="Y42" s="97" t="s">
        <v>601</v>
      </c>
      <c r="Z42" s="95" t="str">
        <f>HYPERLINK("https://twitter.com/lahteemmaki/status/1482070942796992512")</f>
        <v>https://twitter.com/lahteemmaki/status/1482070942796992512</v>
      </c>
      <c r="AA42" s="90"/>
      <c r="AB42" s="90"/>
      <c r="AC42" s="97" t="s">
        <v>842</v>
      </c>
      <c r="AD42" s="90"/>
      <c r="AE42" s="90" t="b">
        <v>0</v>
      </c>
      <c r="AF42" s="90">
        <v>0</v>
      </c>
      <c r="AG42" s="97" t="s">
        <v>1087</v>
      </c>
      <c r="AH42" s="90" t="b">
        <v>0</v>
      </c>
      <c r="AI42" s="90" t="s">
        <v>1127</v>
      </c>
      <c r="AJ42" s="90"/>
      <c r="AK42" s="97" t="s">
        <v>1087</v>
      </c>
      <c r="AL42" s="90" t="b">
        <v>0</v>
      </c>
      <c r="AM42" s="90">
        <v>11</v>
      </c>
      <c r="AN42" s="97" t="s">
        <v>975</v>
      </c>
      <c r="AO42" s="97" t="s">
        <v>1133</v>
      </c>
      <c r="AP42" s="90" t="b">
        <v>0</v>
      </c>
      <c r="AQ42" s="97" t="s">
        <v>975</v>
      </c>
      <c r="AR42" s="90" t="s">
        <v>178</v>
      </c>
      <c r="AS42" s="90">
        <v>0</v>
      </c>
      <c r="AT42" s="90">
        <v>0</v>
      </c>
      <c r="AU42" s="90"/>
      <c r="AV42" s="90"/>
      <c r="AW42" s="90"/>
      <c r="AX42" s="90"/>
      <c r="AY42" s="90"/>
      <c r="AZ42" s="90"/>
      <c r="BA42" s="90"/>
      <c r="BB42" s="90"/>
      <c r="BC42">
        <v>1</v>
      </c>
      <c r="BD42" s="89" t="str">
        <f>REPLACE(INDEX(GroupVertices[Group],MATCH(Edges[[#This Row],[Vertex 1]],GroupVertices[Vertex],0)),1,1,"")</f>
        <v>6</v>
      </c>
      <c r="BE42" s="89" t="str">
        <f>REPLACE(INDEX(GroupVertices[Group],MATCH(Edges[[#This Row],[Vertex 2]],GroupVertices[Vertex],0)),1,1,"")</f>
        <v>6</v>
      </c>
      <c r="BF42" s="49">
        <v>0</v>
      </c>
      <c r="BG42" s="50">
        <v>0</v>
      </c>
      <c r="BH42" s="49">
        <v>0</v>
      </c>
      <c r="BI42" s="50">
        <v>0</v>
      </c>
      <c r="BJ42" s="49">
        <v>0</v>
      </c>
      <c r="BK42" s="50">
        <v>0</v>
      </c>
      <c r="BL42" s="49">
        <v>29</v>
      </c>
      <c r="BM42" s="50">
        <v>100</v>
      </c>
      <c r="BN42" s="49">
        <v>29</v>
      </c>
    </row>
    <row r="43" spans="1:66" ht="15">
      <c r="A43" s="65" t="s">
        <v>242</v>
      </c>
      <c r="B43" s="65" t="s">
        <v>416</v>
      </c>
      <c r="C43" s="66" t="s">
        <v>4405</v>
      </c>
      <c r="D43" s="67">
        <v>1</v>
      </c>
      <c r="E43" s="68" t="s">
        <v>132</v>
      </c>
      <c r="F43" s="69">
        <v>32</v>
      </c>
      <c r="G43" s="66" t="s">
        <v>51</v>
      </c>
      <c r="H43" s="70"/>
      <c r="I43" s="71"/>
      <c r="J43" s="71"/>
      <c r="K43" s="35" t="s">
        <v>65</v>
      </c>
      <c r="L43" s="79">
        <v>43</v>
      </c>
      <c r="M43" s="79"/>
      <c r="N43" s="73"/>
      <c r="O43" s="90" t="s">
        <v>448</v>
      </c>
      <c r="P43" s="93">
        <v>44575.81040509259</v>
      </c>
      <c r="Q43" s="90" t="s">
        <v>458</v>
      </c>
      <c r="R43" s="90"/>
      <c r="S43" s="90"/>
      <c r="T43" s="90"/>
      <c r="U43" s="90"/>
      <c r="V43" s="95" t="str">
        <f>HYPERLINK("https://pbs.twimg.com/profile_images/1472603311094345733/FYroEV61_normal.jpg")</f>
        <v>https://pbs.twimg.com/profile_images/1472603311094345733/FYroEV61_normal.jpg</v>
      </c>
      <c r="W43" s="93">
        <v>44575.81040509259</v>
      </c>
      <c r="X43" s="102">
        <v>44575</v>
      </c>
      <c r="Y43" s="97" t="s">
        <v>602</v>
      </c>
      <c r="Z43" s="95" t="str">
        <f>HYPERLINK("https://twitter.com/stadislav/status/1482071765471924225")</f>
        <v>https://twitter.com/stadislav/status/1482071765471924225</v>
      </c>
      <c r="AA43" s="90"/>
      <c r="AB43" s="90"/>
      <c r="AC43" s="97" t="s">
        <v>843</v>
      </c>
      <c r="AD43" s="90"/>
      <c r="AE43" s="90" t="b">
        <v>0</v>
      </c>
      <c r="AF43" s="90">
        <v>0</v>
      </c>
      <c r="AG43" s="97" t="s">
        <v>1092</v>
      </c>
      <c r="AH43" s="90" t="b">
        <v>0</v>
      </c>
      <c r="AI43" s="90" t="s">
        <v>1127</v>
      </c>
      <c r="AJ43" s="90"/>
      <c r="AK43" s="97" t="s">
        <v>1087</v>
      </c>
      <c r="AL43" s="90" t="b">
        <v>0</v>
      </c>
      <c r="AM43" s="90">
        <v>0</v>
      </c>
      <c r="AN43" s="97" t="s">
        <v>1087</v>
      </c>
      <c r="AO43" s="97" t="s">
        <v>1134</v>
      </c>
      <c r="AP43" s="90" t="b">
        <v>0</v>
      </c>
      <c r="AQ43" s="97" t="s">
        <v>843</v>
      </c>
      <c r="AR43" s="90" t="s">
        <v>178</v>
      </c>
      <c r="AS43" s="90">
        <v>0</v>
      </c>
      <c r="AT43" s="90">
        <v>0</v>
      </c>
      <c r="AU43" s="90"/>
      <c r="AV43" s="90"/>
      <c r="AW43" s="90"/>
      <c r="AX43" s="90"/>
      <c r="AY43" s="90"/>
      <c r="AZ43" s="90"/>
      <c r="BA43" s="90"/>
      <c r="BB43" s="90"/>
      <c r="BC43">
        <v>1</v>
      </c>
      <c r="BD43" s="89" t="str">
        <f>REPLACE(INDEX(GroupVertices[Group],MATCH(Edges[[#This Row],[Vertex 1]],GroupVertices[Vertex],0)),1,1,"")</f>
        <v>3</v>
      </c>
      <c r="BE43" s="89" t="str">
        <f>REPLACE(INDEX(GroupVertices[Group],MATCH(Edges[[#This Row],[Vertex 2]],GroupVertices[Vertex],0)),1,1,"")</f>
        <v>3</v>
      </c>
      <c r="BF43" s="49">
        <v>0</v>
      </c>
      <c r="BG43" s="50">
        <v>0</v>
      </c>
      <c r="BH43" s="49">
        <v>0</v>
      </c>
      <c r="BI43" s="50">
        <v>0</v>
      </c>
      <c r="BJ43" s="49">
        <v>0</v>
      </c>
      <c r="BK43" s="50">
        <v>0</v>
      </c>
      <c r="BL43" s="49">
        <v>38</v>
      </c>
      <c r="BM43" s="50">
        <v>100</v>
      </c>
      <c r="BN43" s="49">
        <v>38</v>
      </c>
    </row>
    <row r="44" spans="1:66" ht="15">
      <c r="A44" s="65" t="s">
        <v>243</v>
      </c>
      <c r="B44" s="65" t="s">
        <v>384</v>
      </c>
      <c r="C44" s="66" t="s">
        <v>4405</v>
      </c>
      <c r="D44" s="67">
        <v>1</v>
      </c>
      <c r="E44" s="68" t="s">
        <v>132</v>
      </c>
      <c r="F44" s="69">
        <v>32</v>
      </c>
      <c r="G44" s="66" t="s">
        <v>51</v>
      </c>
      <c r="H44" s="70"/>
      <c r="I44" s="71"/>
      <c r="J44" s="71"/>
      <c r="K44" s="35" t="s">
        <v>65</v>
      </c>
      <c r="L44" s="79">
        <v>44</v>
      </c>
      <c r="M44" s="79"/>
      <c r="N44" s="73"/>
      <c r="O44" s="90" t="s">
        <v>447</v>
      </c>
      <c r="P44" s="93">
        <v>44575.91100694444</v>
      </c>
      <c r="Q44" s="90" t="s">
        <v>452</v>
      </c>
      <c r="R44" s="90"/>
      <c r="S44" s="90"/>
      <c r="T44" s="90"/>
      <c r="U44" s="95" t="str">
        <f>HYPERLINK("https://pbs.twimg.com/media/FJEZSt6WYAQW_i_.jpg")</f>
        <v>https://pbs.twimg.com/media/FJEZSt6WYAQW_i_.jpg</v>
      </c>
      <c r="V44" s="95" t="str">
        <f>HYPERLINK("https://pbs.twimg.com/media/FJEZSt6WYAQW_i_.jpg")</f>
        <v>https://pbs.twimg.com/media/FJEZSt6WYAQW_i_.jpg</v>
      </c>
      <c r="W44" s="93">
        <v>44575.91100694444</v>
      </c>
      <c r="X44" s="102">
        <v>44575</v>
      </c>
      <c r="Y44" s="97" t="s">
        <v>603</v>
      </c>
      <c r="Z44" s="95" t="str">
        <f>HYPERLINK("https://twitter.com/lallaatilaa/status/1482108225776660480")</f>
        <v>https://twitter.com/lallaatilaa/status/1482108225776660480</v>
      </c>
      <c r="AA44" s="90"/>
      <c r="AB44" s="90"/>
      <c r="AC44" s="97" t="s">
        <v>844</v>
      </c>
      <c r="AD44" s="90"/>
      <c r="AE44" s="90" t="b">
        <v>0</v>
      </c>
      <c r="AF44" s="90">
        <v>0</v>
      </c>
      <c r="AG44" s="97" t="s">
        <v>1087</v>
      </c>
      <c r="AH44" s="90" t="b">
        <v>0</v>
      </c>
      <c r="AI44" s="90" t="s">
        <v>1127</v>
      </c>
      <c r="AJ44" s="90"/>
      <c r="AK44" s="97" t="s">
        <v>1087</v>
      </c>
      <c r="AL44" s="90" t="b">
        <v>0</v>
      </c>
      <c r="AM44" s="90">
        <v>33</v>
      </c>
      <c r="AN44" s="97" t="s">
        <v>1022</v>
      </c>
      <c r="AO44" s="97" t="s">
        <v>1133</v>
      </c>
      <c r="AP44" s="90" t="b">
        <v>0</v>
      </c>
      <c r="AQ44" s="97" t="s">
        <v>1022</v>
      </c>
      <c r="AR44" s="90" t="s">
        <v>178</v>
      </c>
      <c r="AS44" s="90">
        <v>0</v>
      </c>
      <c r="AT44" s="90">
        <v>0</v>
      </c>
      <c r="AU44" s="90"/>
      <c r="AV44" s="90"/>
      <c r="AW44" s="90"/>
      <c r="AX44" s="90"/>
      <c r="AY44" s="90"/>
      <c r="AZ44" s="90"/>
      <c r="BA44" s="90"/>
      <c r="BB44" s="90"/>
      <c r="BC44">
        <v>1</v>
      </c>
      <c r="BD44" s="89" t="str">
        <f>REPLACE(INDEX(GroupVertices[Group],MATCH(Edges[[#This Row],[Vertex 1]],GroupVertices[Vertex],0)),1,1,"")</f>
        <v>2</v>
      </c>
      <c r="BE44" s="89" t="str">
        <f>REPLACE(INDEX(GroupVertices[Group],MATCH(Edges[[#This Row],[Vertex 2]],GroupVertices[Vertex],0)),1,1,"")</f>
        <v>2</v>
      </c>
      <c r="BF44" s="49">
        <v>0</v>
      </c>
      <c r="BG44" s="50">
        <v>0</v>
      </c>
      <c r="BH44" s="49">
        <v>0</v>
      </c>
      <c r="BI44" s="50">
        <v>0</v>
      </c>
      <c r="BJ44" s="49">
        <v>0</v>
      </c>
      <c r="BK44" s="50">
        <v>0</v>
      </c>
      <c r="BL44" s="49">
        <v>24</v>
      </c>
      <c r="BM44" s="50">
        <v>100</v>
      </c>
      <c r="BN44" s="49">
        <v>24</v>
      </c>
    </row>
    <row r="45" spans="1:66" ht="15">
      <c r="A45" s="65" t="s">
        <v>244</v>
      </c>
      <c r="B45" s="65" t="s">
        <v>417</v>
      </c>
      <c r="C45" s="66" t="s">
        <v>4405</v>
      </c>
      <c r="D45" s="67">
        <v>1</v>
      </c>
      <c r="E45" s="68" t="s">
        <v>132</v>
      </c>
      <c r="F45" s="69">
        <v>32</v>
      </c>
      <c r="G45" s="66" t="s">
        <v>51</v>
      </c>
      <c r="H45" s="70"/>
      <c r="I45" s="71"/>
      <c r="J45" s="71"/>
      <c r="K45" s="35" t="s">
        <v>65</v>
      </c>
      <c r="L45" s="79">
        <v>45</v>
      </c>
      <c r="M45" s="79"/>
      <c r="N45" s="73"/>
      <c r="O45" s="90" t="s">
        <v>449</v>
      </c>
      <c r="P45" s="93">
        <v>44575.96513888889</v>
      </c>
      <c r="Q45" s="90" t="s">
        <v>459</v>
      </c>
      <c r="R45" s="90"/>
      <c r="S45" s="90"/>
      <c r="T45" s="90"/>
      <c r="U45" s="90"/>
      <c r="V45" s="95" t="str">
        <f>HYPERLINK("https://pbs.twimg.com/profile_images/942796296775241728/olDdFrFB_normal.jpg")</f>
        <v>https://pbs.twimg.com/profile_images/942796296775241728/olDdFrFB_normal.jpg</v>
      </c>
      <c r="W45" s="93">
        <v>44575.96513888889</v>
      </c>
      <c r="X45" s="102">
        <v>44575</v>
      </c>
      <c r="Y45" s="97" t="s">
        <v>604</v>
      </c>
      <c r="Z45" s="95" t="str">
        <f>HYPERLINK("https://twitter.com/polarphoenix1/status/1482127839176577026")</f>
        <v>https://twitter.com/polarphoenix1/status/1482127839176577026</v>
      </c>
      <c r="AA45" s="90"/>
      <c r="AB45" s="90"/>
      <c r="AC45" s="97" t="s">
        <v>845</v>
      </c>
      <c r="AD45" s="97" t="s">
        <v>1056</v>
      </c>
      <c r="AE45" s="90" t="b">
        <v>0</v>
      </c>
      <c r="AF45" s="90">
        <v>11</v>
      </c>
      <c r="AG45" s="97" t="s">
        <v>1093</v>
      </c>
      <c r="AH45" s="90" t="b">
        <v>0</v>
      </c>
      <c r="AI45" s="90" t="s">
        <v>1127</v>
      </c>
      <c r="AJ45" s="90"/>
      <c r="AK45" s="97" t="s">
        <v>1087</v>
      </c>
      <c r="AL45" s="90" t="b">
        <v>0</v>
      </c>
      <c r="AM45" s="90">
        <v>0</v>
      </c>
      <c r="AN45" s="97" t="s">
        <v>1087</v>
      </c>
      <c r="AO45" s="97" t="s">
        <v>1133</v>
      </c>
      <c r="AP45" s="90" t="b">
        <v>0</v>
      </c>
      <c r="AQ45" s="97" t="s">
        <v>1056</v>
      </c>
      <c r="AR45" s="90" t="s">
        <v>178</v>
      </c>
      <c r="AS45" s="90">
        <v>0</v>
      </c>
      <c r="AT45" s="90">
        <v>0</v>
      </c>
      <c r="AU45" s="90"/>
      <c r="AV45" s="90"/>
      <c r="AW45" s="90"/>
      <c r="AX45" s="90"/>
      <c r="AY45" s="90"/>
      <c r="AZ45" s="90"/>
      <c r="BA45" s="90"/>
      <c r="BB45" s="90"/>
      <c r="BC45">
        <v>1</v>
      </c>
      <c r="BD45" s="89" t="str">
        <f>REPLACE(INDEX(GroupVertices[Group],MATCH(Edges[[#This Row],[Vertex 1]],GroupVertices[Vertex],0)),1,1,"")</f>
        <v>15</v>
      </c>
      <c r="BE45" s="89" t="str">
        <f>REPLACE(INDEX(GroupVertices[Group],MATCH(Edges[[#This Row],[Vertex 2]],GroupVertices[Vertex],0)),1,1,"")</f>
        <v>15</v>
      </c>
      <c r="BF45" s="49"/>
      <c r="BG45" s="50"/>
      <c r="BH45" s="49"/>
      <c r="BI45" s="50"/>
      <c r="BJ45" s="49"/>
      <c r="BK45" s="50"/>
      <c r="BL45" s="49"/>
      <c r="BM45" s="50"/>
      <c r="BN45" s="49"/>
    </row>
    <row r="46" spans="1:66" ht="15">
      <c r="A46" s="65" t="s">
        <v>244</v>
      </c>
      <c r="B46" s="65" t="s">
        <v>418</v>
      </c>
      <c r="C46" s="66" t="s">
        <v>4405</v>
      </c>
      <c r="D46" s="67">
        <v>1</v>
      </c>
      <c r="E46" s="68" t="s">
        <v>132</v>
      </c>
      <c r="F46" s="69">
        <v>32</v>
      </c>
      <c r="G46" s="66" t="s">
        <v>51</v>
      </c>
      <c r="H46" s="70"/>
      <c r="I46" s="71"/>
      <c r="J46" s="71"/>
      <c r="K46" s="35" t="s">
        <v>65</v>
      </c>
      <c r="L46" s="79">
        <v>46</v>
      </c>
      <c r="M46" s="79"/>
      <c r="N46" s="73"/>
      <c r="O46" s="90" t="s">
        <v>448</v>
      </c>
      <c r="P46" s="93">
        <v>44575.96513888889</v>
      </c>
      <c r="Q46" s="90" t="s">
        <v>459</v>
      </c>
      <c r="R46" s="90"/>
      <c r="S46" s="90"/>
      <c r="T46" s="90"/>
      <c r="U46" s="90"/>
      <c r="V46" s="95" t="str">
        <f>HYPERLINK("https://pbs.twimg.com/profile_images/942796296775241728/olDdFrFB_normal.jpg")</f>
        <v>https://pbs.twimg.com/profile_images/942796296775241728/olDdFrFB_normal.jpg</v>
      </c>
      <c r="W46" s="93">
        <v>44575.96513888889</v>
      </c>
      <c r="X46" s="102">
        <v>44575</v>
      </c>
      <c r="Y46" s="97" t="s">
        <v>604</v>
      </c>
      <c r="Z46" s="95" t="str">
        <f>HYPERLINK("https://twitter.com/polarphoenix1/status/1482127839176577026")</f>
        <v>https://twitter.com/polarphoenix1/status/1482127839176577026</v>
      </c>
      <c r="AA46" s="90"/>
      <c r="AB46" s="90"/>
      <c r="AC46" s="97" t="s">
        <v>845</v>
      </c>
      <c r="AD46" s="97" t="s">
        <v>1056</v>
      </c>
      <c r="AE46" s="90" t="b">
        <v>0</v>
      </c>
      <c r="AF46" s="90">
        <v>11</v>
      </c>
      <c r="AG46" s="97" t="s">
        <v>1093</v>
      </c>
      <c r="AH46" s="90" t="b">
        <v>0</v>
      </c>
      <c r="AI46" s="90" t="s">
        <v>1127</v>
      </c>
      <c r="AJ46" s="90"/>
      <c r="AK46" s="97" t="s">
        <v>1087</v>
      </c>
      <c r="AL46" s="90" t="b">
        <v>0</v>
      </c>
      <c r="AM46" s="90">
        <v>0</v>
      </c>
      <c r="AN46" s="97" t="s">
        <v>1087</v>
      </c>
      <c r="AO46" s="97" t="s">
        <v>1133</v>
      </c>
      <c r="AP46" s="90" t="b">
        <v>0</v>
      </c>
      <c r="AQ46" s="97" t="s">
        <v>1056</v>
      </c>
      <c r="AR46" s="90" t="s">
        <v>178</v>
      </c>
      <c r="AS46" s="90">
        <v>0</v>
      </c>
      <c r="AT46" s="90">
        <v>0</v>
      </c>
      <c r="AU46" s="90"/>
      <c r="AV46" s="90"/>
      <c r="AW46" s="90"/>
      <c r="AX46" s="90"/>
      <c r="AY46" s="90"/>
      <c r="AZ46" s="90"/>
      <c r="BA46" s="90"/>
      <c r="BB46" s="90"/>
      <c r="BC46">
        <v>1</v>
      </c>
      <c r="BD46" s="89" t="str">
        <f>REPLACE(INDEX(GroupVertices[Group],MATCH(Edges[[#This Row],[Vertex 1]],GroupVertices[Vertex],0)),1,1,"")</f>
        <v>15</v>
      </c>
      <c r="BE46" s="89" t="str">
        <f>REPLACE(INDEX(GroupVertices[Group],MATCH(Edges[[#This Row],[Vertex 2]],GroupVertices[Vertex],0)),1,1,"")</f>
        <v>15</v>
      </c>
      <c r="BF46" s="49">
        <v>0</v>
      </c>
      <c r="BG46" s="50">
        <v>0</v>
      </c>
      <c r="BH46" s="49">
        <v>0</v>
      </c>
      <c r="BI46" s="50">
        <v>0</v>
      </c>
      <c r="BJ46" s="49">
        <v>0</v>
      </c>
      <c r="BK46" s="50">
        <v>0</v>
      </c>
      <c r="BL46" s="49">
        <v>34</v>
      </c>
      <c r="BM46" s="50">
        <v>100</v>
      </c>
      <c r="BN46" s="49">
        <v>34</v>
      </c>
    </row>
    <row r="47" spans="1:66" ht="15">
      <c r="A47" s="65" t="s">
        <v>245</v>
      </c>
      <c r="B47" s="65" t="s">
        <v>384</v>
      </c>
      <c r="C47" s="66" t="s">
        <v>4405</v>
      </c>
      <c r="D47" s="67">
        <v>1</v>
      </c>
      <c r="E47" s="68" t="s">
        <v>132</v>
      </c>
      <c r="F47" s="69">
        <v>32</v>
      </c>
      <c r="G47" s="66" t="s">
        <v>51</v>
      </c>
      <c r="H47" s="70"/>
      <c r="I47" s="71"/>
      <c r="J47" s="71"/>
      <c r="K47" s="35" t="s">
        <v>65</v>
      </c>
      <c r="L47" s="79">
        <v>47</v>
      </c>
      <c r="M47" s="79"/>
      <c r="N47" s="73"/>
      <c r="O47" s="90" t="s">
        <v>448</v>
      </c>
      <c r="P47" s="93">
        <v>44575.97541666667</v>
      </c>
      <c r="Q47" s="90" t="s">
        <v>460</v>
      </c>
      <c r="R47" s="90"/>
      <c r="S47" s="90"/>
      <c r="T47" s="90"/>
      <c r="U47" s="90"/>
      <c r="V47" s="95" t="str">
        <f>HYPERLINK("https://abs.twimg.com/sticky/default_profile_images/default_profile_normal.png")</f>
        <v>https://abs.twimg.com/sticky/default_profile_images/default_profile_normal.png</v>
      </c>
      <c r="W47" s="93">
        <v>44575.97541666667</v>
      </c>
      <c r="X47" s="102">
        <v>44575</v>
      </c>
      <c r="Y47" s="97" t="s">
        <v>605</v>
      </c>
      <c r="Z47" s="95" t="str">
        <f>HYPERLINK("https://twitter.com/pohjallinen/status/1482131566486855680")</f>
        <v>https://twitter.com/pohjallinen/status/1482131566486855680</v>
      </c>
      <c r="AA47" s="90"/>
      <c r="AB47" s="90"/>
      <c r="AC47" s="97" t="s">
        <v>846</v>
      </c>
      <c r="AD47" s="97" t="s">
        <v>1022</v>
      </c>
      <c r="AE47" s="90" t="b">
        <v>0</v>
      </c>
      <c r="AF47" s="90">
        <v>3</v>
      </c>
      <c r="AG47" s="97" t="s">
        <v>1089</v>
      </c>
      <c r="AH47" s="90" t="b">
        <v>0</v>
      </c>
      <c r="AI47" s="90" t="s">
        <v>1127</v>
      </c>
      <c r="AJ47" s="90"/>
      <c r="AK47" s="97" t="s">
        <v>1087</v>
      </c>
      <c r="AL47" s="90" t="b">
        <v>0</v>
      </c>
      <c r="AM47" s="90">
        <v>0</v>
      </c>
      <c r="AN47" s="97" t="s">
        <v>1087</v>
      </c>
      <c r="AO47" s="97" t="s">
        <v>1132</v>
      </c>
      <c r="AP47" s="90" t="b">
        <v>0</v>
      </c>
      <c r="AQ47" s="97" t="s">
        <v>1022</v>
      </c>
      <c r="AR47" s="90" t="s">
        <v>178</v>
      </c>
      <c r="AS47" s="90">
        <v>0</v>
      </c>
      <c r="AT47" s="90">
        <v>0</v>
      </c>
      <c r="AU47" s="90"/>
      <c r="AV47" s="90"/>
      <c r="AW47" s="90"/>
      <c r="AX47" s="90"/>
      <c r="AY47" s="90"/>
      <c r="AZ47" s="90"/>
      <c r="BA47" s="90"/>
      <c r="BB47" s="90"/>
      <c r="BC47">
        <v>1</v>
      </c>
      <c r="BD47" s="89" t="str">
        <f>REPLACE(INDEX(GroupVertices[Group],MATCH(Edges[[#This Row],[Vertex 1]],GroupVertices[Vertex],0)),1,1,"")</f>
        <v>2</v>
      </c>
      <c r="BE47" s="89" t="str">
        <f>REPLACE(INDEX(GroupVertices[Group],MATCH(Edges[[#This Row],[Vertex 2]],GroupVertices[Vertex],0)),1,1,"")</f>
        <v>2</v>
      </c>
      <c r="BF47" s="49">
        <v>0</v>
      </c>
      <c r="BG47" s="50">
        <v>0</v>
      </c>
      <c r="BH47" s="49">
        <v>0</v>
      </c>
      <c r="BI47" s="50">
        <v>0</v>
      </c>
      <c r="BJ47" s="49">
        <v>0</v>
      </c>
      <c r="BK47" s="50">
        <v>0</v>
      </c>
      <c r="BL47" s="49">
        <v>7</v>
      </c>
      <c r="BM47" s="50">
        <v>100</v>
      </c>
      <c r="BN47" s="49">
        <v>7</v>
      </c>
    </row>
    <row r="48" spans="1:66" ht="15">
      <c r="A48" s="65" t="s">
        <v>246</v>
      </c>
      <c r="B48" s="65" t="s">
        <v>384</v>
      </c>
      <c r="C48" s="66" t="s">
        <v>4405</v>
      </c>
      <c r="D48" s="67">
        <v>1</v>
      </c>
      <c r="E48" s="68" t="s">
        <v>132</v>
      </c>
      <c r="F48" s="69">
        <v>32</v>
      </c>
      <c r="G48" s="66" t="s">
        <v>51</v>
      </c>
      <c r="H48" s="70"/>
      <c r="I48" s="71"/>
      <c r="J48" s="71"/>
      <c r="K48" s="35" t="s">
        <v>65</v>
      </c>
      <c r="L48" s="79">
        <v>48</v>
      </c>
      <c r="M48" s="79"/>
      <c r="N48" s="73"/>
      <c r="O48" s="90" t="s">
        <v>448</v>
      </c>
      <c r="P48" s="93">
        <v>44575.987905092596</v>
      </c>
      <c r="Q48" s="90" t="s">
        <v>461</v>
      </c>
      <c r="R48" s="90"/>
      <c r="S48" s="90"/>
      <c r="T48" s="90"/>
      <c r="U48" s="90"/>
      <c r="V48" s="95" t="str">
        <f>HYPERLINK("https://pbs.twimg.com/profile_images/1456557878798692353/674humXk_normal.jpg")</f>
        <v>https://pbs.twimg.com/profile_images/1456557878798692353/674humXk_normal.jpg</v>
      </c>
      <c r="W48" s="93">
        <v>44575.987905092596</v>
      </c>
      <c r="X48" s="102">
        <v>44575</v>
      </c>
      <c r="Y48" s="97" t="s">
        <v>606</v>
      </c>
      <c r="Z48" s="95" t="str">
        <f>HYPERLINK("https://twitter.com/paivijakko/status/1482136089297133579")</f>
        <v>https://twitter.com/paivijakko/status/1482136089297133579</v>
      </c>
      <c r="AA48" s="90"/>
      <c r="AB48" s="90"/>
      <c r="AC48" s="97" t="s">
        <v>847</v>
      </c>
      <c r="AD48" s="97" t="s">
        <v>1022</v>
      </c>
      <c r="AE48" s="90" t="b">
        <v>0</v>
      </c>
      <c r="AF48" s="90">
        <v>12</v>
      </c>
      <c r="AG48" s="97" t="s">
        <v>1089</v>
      </c>
      <c r="AH48" s="90" t="b">
        <v>0</v>
      </c>
      <c r="AI48" s="90" t="s">
        <v>1127</v>
      </c>
      <c r="AJ48" s="90"/>
      <c r="AK48" s="97" t="s">
        <v>1087</v>
      </c>
      <c r="AL48" s="90" t="b">
        <v>0</v>
      </c>
      <c r="AM48" s="90">
        <v>0</v>
      </c>
      <c r="AN48" s="97" t="s">
        <v>1087</v>
      </c>
      <c r="AO48" s="97" t="s">
        <v>1133</v>
      </c>
      <c r="AP48" s="90" t="b">
        <v>0</v>
      </c>
      <c r="AQ48" s="97" t="s">
        <v>1022</v>
      </c>
      <c r="AR48" s="90" t="s">
        <v>178</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v>0</v>
      </c>
      <c r="BG48" s="50">
        <v>0</v>
      </c>
      <c r="BH48" s="49">
        <v>0</v>
      </c>
      <c r="BI48" s="50">
        <v>0</v>
      </c>
      <c r="BJ48" s="49">
        <v>0</v>
      </c>
      <c r="BK48" s="50">
        <v>0</v>
      </c>
      <c r="BL48" s="49">
        <v>9</v>
      </c>
      <c r="BM48" s="50">
        <v>100</v>
      </c>
      <c r="BN48" s="49">
        <v>9</v>
      </c>
    </row>
    <row r="49" spans="1:66" ht="15">
      <c r="A49" s="65" t="s">
        <v>247</v>
      </c>
      <c r="B49" s="65" t="s">
        <v>384</v>
      </c>
      <c r="C49" s="66" t="s">
        <v>4405</v>
      </c>
      <c r="D49" s="67">
        <v>1</v>
      </c>
      <c r="E49" s="68" t="s">
        <v>132</v>
      </c>
      <c r="F49" s="69">
        <v>32</v>
      </c>
      <c r="G49" s="66" t="s">
        <v>51</v>
      </c>
      <c r="H49" s="70"/>
      <c r="I49" s="71"/>
      <c r="J49" s="71"/>
      <c r="K49" s="35" t="s">
        <v>65</v>
      </c>
      <c r="L49" s="79">
        <v>49</v>
      </c>
      <c r="M49" s="79"/>
      <c r="N49" s="73"/>
      <c r="O49" s="90" t="s">
        <v>448</v>
      </c>
      <c r="P49" s="93">
        <v>44576.021157407406</v>
      </c>
      <c r="Q49" s="90" t="s">
        <v>462</v>
      </c>
      <c r="R49" s="90"/>
      <c r="S49" s="90"/>
      <c r="T49" s="97" t="s">
        <v>556</v>
      </c>
      <c r="U49" s="90"/>
      <c r="V49" s="95" t="str">
        <f>HYPERLINK("https://pbs.twimg.com/profile_images/1471787262820110336/kjcV6Fok_normal.jpg")</f>
        <v>https://pbs.twimg.com/profile_images/1471787262820110336/kjcV6Fok_normal.jpg</v>
      </c>
      <c r="W49" s="93">
        <v>44576.021157407406</v>
      </c>
      <c r="X49" s="102">
        <v>44576</v>
      </c>
      <c r="Y49" s="97" t="s">
        <v>607</v>
      </c>
      <c r="Z49" s="95" t="str">
        <f>HYPERLINK("https://twitter.com/ureakefaali/status/1482148142267174916")</f>
        <v>https://twitter.com/ureakefaali/status/1482148142267174916</v>
      </c>
      <c r="AA49" s="90"/>
      <c r="AB49" s="90"/>
      <c r="AC49" s="97" t="s">
        <v>848</v>
      </c>
      <c r="AD49" s="97" t="s">
        <v>1022</v>
      </c>
      <c r="AE49" s="90" t="b">
        <v>0</v>
      </c>
      <c r="AF49" s="90">
        <v>0</v>
      </c>
      <c r="AG49" s="97" t="s">
        <v>1089</v>
      </c>
      <c r="AH49" s="90" t="b">
        <v>0</v>
      </c>
      <c r="AI49" s="90" t="s">
        <v>1127</v>
      </c>
      <c r="AJ49" s="90"/>
      <c r="AK49" s="97" t="s">
        <v>1087</v>
      </c>
      <c r="AL49" s="90" t="b">
        <v>0</v>
      </c>
      <c r="AM49" s="90">
        <v>0</v>
      </c>
      <c r="AN49" s="97" t="s">
        <v>1087</v>
      </c>
      <c r="AO49" s="97" t="s">
        <v>1133</v>
      </c>
      <c r="AP49" s="90" t="b">
        <v>0</v>
      </c>
      <c r="AQ49" s="97" t="s">
        <v>1022</v>
      </c>
      <c r="AR49" s="90" t="s">
        <v>178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40</v>
      </c>
      <c r="BM49" s="50">
        <v>100</v>
      </c>
      <c r="BN49" s="49">
        <v>40</v>
      </c>
    </row>
    <row r="50" spans="1:66" ht="15">
      <c r="A50" s="65" t="s">
        <v>248</v>
      </c>
      <c r="B50" s="65" t="s">
        <v>384</v>
      </c>
      <c r="C50" s="66" t="s">
        <v>4405</v>
      </c>
      <c r="D50" s="67">
        <v>1</v>
      </c>
      <c r="E50" s="68" t="s">
        <v>132</v>
      </c>
      <c r="F50" s="69">
        <v>32</v>
      </c>
      <c r="G50" s="66" t="s">
        <v>51</v>
      </c>
      <c r="H50" s="70"/>
      <c r="I50" s="71"/>
      <c r="J50" s="71"/>
      <c r="K50" s="35" t="s">
        <v>65</v>
      </c>
      <c r="L50" s="79">
        <v>50</v>
      </c>
      <c r="M50" s="79"/>
      <c r="N50" s="73"/>
      <c r="O50" s="90" t="s">
        <v>447</v>
      </c>
      <c r="P50" s="93">
        <v>44576.06685185185</v>
      </c>
      <c r="Q50" s="90" t="s">
        <v>452</v>
      </c>
      <c r="R50" s="90"/>
      <c r="S50" s="90"/>
      <c r="T50" s="90"/>
      <c r="U50" s="95" t="str">
        <f>HYPERLINK("https://pbs.twimg.com/media/FJEZSt6WYAQW_i_.jpg")</f>
        <v>https://pbs.twimg.com/media/FJEZSt6WYAQW_i_.jpg</v>
      </c>
      <c r="V50" s="95" t="str">
        <f>HYPERLINK("https://pbs.twimg.com/media/FJEZSt6WYAQW_i_.jpg")</f>
        <v>https://pbs.twimg.com/media/FJEZSt6WYAQW_i_.jpg</v>
      </c>
      <c r="W50" s="93">
        <v>44576.06685185185</v>
      </c>
      <c r="X50" s="102">
        <v>44576</v>
      </c>
      <c r="Y50" s="97" t="s">
        <v>608</v>
      </c>
      <c r="Z50" s="95" t="str">
        <f>HYPERLINK("https://twitter.com/javakalle/status/1482164698342645765")</f>
        <v>https://twitter.com/javakalle/status/1482164698342645765</v>
      </c>
      <c r="AA50" s="90"/>
      <c r="AB50" s="90"/>
      <c r="AC50" s="97" t="s">
        <v>849</v>
      </c>
      <c r="AD50" s="90"/>
      <c r="AE50" s="90" t="b">
        <v>0</v>
      </c>
      <c r="AF50" s="90">
        <v>0</v>
      </c>
      <c r="AG50" s="97" t="s">
        <v>1087</v>
      </c>
      <c r="AH50" s="90" t="b">
        <v>0</v>
      </c>
      <c r="AI50" s="90" t="s">
        <v>1127</v>
      </c>
      <c r="AJ50" s="90"/>
      <c r="AK50" s="97" t="s">
        <v>1087</v>
      </c>
      <c r="AL50" s="90" t="b">
        <v>0</v>
      </c>
      <c r="AM50" s="90">
        <v>33</v>
      </c>
      <c r="AN50" s="97" t="s">
        <v>1022</v>
      </c>
      <c r="AO50" s="97" t="s">
        <v>1133</v>
      </c>
      <c r="AP50" s="90" t="b">
        <v>0</v>
      </c>
      <c r="AQ50" s="97" t="s">
        <v>1022</v>
      </c>
      <c r="AR50" s="90" t="s">
        <v>178</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24</v>
      </c>
      <c r="BM50" s="50">
        <v>100</v>
      </c>
      <c r="BN50" s="49">
        <v>24</v>
      </c>
    </row>
    <row r="51" spans="1:66" ht="15">
      <c r="A51" s="65" t="s">
        <v>249</v>
      </c>
      <c r="B51" s="65" t="s">
        <v>419</v>
      </c>
      <c r="C51" s="66" t="s">
        <v>4405</v>
      </c>
      <c r="D51" s="67">
        <v>1</v>
      </c>
      <c r="E51" s="68" t="s">
        <v>132</v>
      </c>
      <c r="F51" s="69">
        <v>32</v>
      </c>
      <c r="G51" s="66" t="s">
        <v>51</v>
      </c>
      <c r="H51" s="70"/>
      <c r="I51" s="71"/>
      <c r="J51" s="71"/>
      <c r="K51" s="35" t="s">
        <v>65</v>
      </c>
      <c r="L51" s="79">
        <v>51</v>
      </c>
      <c r="M51" s="79"/>
      <c r="N51" s="73"/>
      <c r="O51" s="90" t="s">
        <v>448</v>
      </c>
      <c r="P51" s="93">
        <v>44576.08935185185</v>
      </c>
      <c r="Q51" s="90" t="s">
        <v>463</v>
      </c>
      <c r="R51" s="90"/>
      <c r="S51" s="90"/>
      <c r="T51" s="90"/>
      <c r="U51" s="90"/>
      <c r="V51" s="95" t="str">
        <f>HYPERLINK("https://abs.twimg.com/sticky/default_profile_images/default_profile_normal.png")</f>
        <v>https://abs.twimg.com/sticky/default_profile_images/default_profile_normal.png</v>
      </c>
      <c r="W51" s="93">
        <v>44576.08935185185</v>
      </c>
      <c r="X51" s="102">
        <v>44576</v>
      </c>
      <c r="Y51" s="97" t="s">
        <v>609</v>
      </c>
      <c r="Z51" s="95" t="str">
        <f>HYPERLINK("https://twitter.com/thealph89725598/status/1482172852048642054")</f>
        <v>https://twitter.com/thealph89725598/status/1482172852048642054</v>
      </c>
      <c r="AA51" s="90"/>
      <c r="AB51" s="90"/>
      <c r="AC51" s="97" t="s">
        <v>850</v>
      </c>
      <c r="AD51" s="97" t="s">
        <v>1057</v>
      </c>
      <c r="AE51" s="90" t="b">
        <v>0</v>
      </c>
      <c r="AF51" s="90">
        <v>1</v>
      </c>
      <c r="AG51" s="97" t="s">
        <v>1094</v>
      </c>
      <c r="AH51" s="90" t="b">
        <v>0</v>
      </c>
      <c r="AI51" s="90" t="s">
        <v>1127</v>
      </c>
      <c r="AJ51" s="90"/>
      <c r="AK51" s="97" t="s">
        <v>1087</v>
      </c>
      <c r="AL51" s="90" t="b">
        <v>0</v>
      </c>
      <c r="AM51" s="90">
        <v>0</v>
      </c>
      <c r="AN51" s="97" t="s">
        <v>1087</v>
      </c>
      <c r="AO51" s="97" t="s">
        <v>1132</v>
      </c>
      <c r="AP51" s="90" t="b">
        <v>0</v>
      </c>
      <c r="AQ51" s="97" t="s">
        <v>1057</v>
      </c>
      <c r="AR51" s="90" t="s">
        <v>178</v>
      </c>
      <c r="AS51" s="90">
        <v>0</v>
      </c>
      <c r="AT51" s="90">
        <v>0</v>
      </c>
      <c r="AU51" s="90"/>
      <c r="AV51" s="90"/>
      <c r="AW51" s="90"/>
      <c r="AX51" s="90"/>
      <c r="AY51" s="90"/>
      <c r="AZ51" s="90"/>
      <c r="BA51" s="90"/>
      <c r="BB51" s="90"/>
      <c r="BC51">
        <v>1</v>
      </c>
      <c r="BD51" s="89" t="str">
        <f>REPLACE(INDEX(GroupVertices[Group],MATCH(Edges[[#This Row],[Vertex 1]],GroupVertices[Vertex],0)),1,1,"")</f>
        <v>19</v>
      </c>
      <c r="BE51" s="89" t="str">
        <f>REPLACE(INDEX(GroupVertices[Group],MATCH(Edges[[#This Row],[Vertex 2]],GroupVertices[Vertex],0)),1,1,"")</f>
        <v>19</v>
      </c>
      <c r="BF51" s="49">
        <v>0</v>
      </c>
      <c r="BG51" s="50">
        <v>0</v>
      </c>
      <c r="BH51" s="49">
        <v>0</v>
      </c>
      <c r="BI51" s="50">
        <v>0</v>
      </c>
      <c r="BJ51" s="49">
        <v>0</v>
      </c>
      <c r="BK51" s="50">
        <v>0</v>
      </c>
      <c r="BL51" s="49">
        <v>29</v>
      </c>
      <c r="BM51" s="50">
        <v>100</v>
      </c>
      <c r="BN51" s="49">
        <v>29</v>
      </c>
    </row>
    <row r="52" spans="1:66" ht="15">
      <c r="A52" s="65" t="s">
        <v>250</v>
      </c>
      <c r="B52" s="65" t="s">
        <v>420</v>
      </c>
      <c r="C52" s="66" t="s">
        <v>4405</v>
      </c>
      <c r="D52" s="67">
        <v>1</v>
      </c>
      <c r="E52" s="68" t="s">
        <v>132</v>
      </c>
      <c r="F52" s="69">
        <v>32</v>
      </c>
      <c r="G52" s="66" t="s">
        <v>51</v>
      </c>
      <c r="H52" s="70"/>
      <c r="I52" s="71"/>
      <c r="J52" s="71"/>
      <c r="K52" s="35" t="s">
        <v>65</v>
      </c>
      <c r="L52" s="79">
        <v>52</v>
      </c>
      <c r="M52" s="79"/>
      <c r="N52" s="73"/>
      <c r="O52" s="90" t="s">
        <v>450</v>
      </c>
      <c r="P52" s="93">
        <v>44576.22318287037</v>
      </c>
      <c r="Q52" s="90" t="s">
        <v>464</v>
      </c>
      <c r="R52" s="90"/>
      <c r="S52" s="90"/>
      <c r="T52" s="97" t="s">
        <v>558</v>
      </c>
      <c r="U52" s="95" t="str">
        <f>HYPERLINK("https://pbs.twimg.com/media/FJF6DM-XsAIGpDI.jpg")</f>
        <v>https://pbs.twimg.com/media/FJF6DM-XsAIGpDI.jpg</v>
      </c>
      <c r="V52" s="95" t="str">
        <f>HYPERLINK("https://pbs.twimg.com/media/FJF6DM-XsAIGpDI.jpg")</f>
        <v>https://pbs.twimg.com/media/FJF6DM-XsAIGpDI.jpg</v>
      </c>
      <c r="W52" s="93">
        <v>44576.22318287037</v>
      </c>
      <c r="X52" s="102">
        <v>44576</v>
      </c>
      <c r="Y52" s="97" t="s">
        <v>610</v>
      </c>
      <c r="Z52" s="95" t="str">
        <f>HYPERLINK("https://twitter.com/jt36292090/status/1482221353839304712")</f>
        <v>https://twitter.com/jt36292090/status/1482221353839304712</v>
      </c>
      <c r="AA52" s="90"/>
      <c r="AB52" s="90"/>
      <c r="AC52" s="97" t="s">
        <v>851</v>
      </c>
      <c r="AD52" s="90"/>
      <c r="AE52" s="90" t="b">
        <v>0</v>
      </c>
      <c r="AF52" s="90">
        <v>0</v>
      </c>
      <c r="AG52" s="97" t="s">
        <v>1087</v>
      </c>
      <c r="AH52" s="90" t="b">
        <v>0</v>
      </c>
      <c r="AI52" s="90" t="s">
        <v>1127</v>
      </c>
      <c r="AJ52" s="90"/>
      <c r="AK52" s="97" t="s">
        <v>1087</v>
      </c>
      <c r="AL52" s="90" t="b">
        <v>0</v>
      </c>
      <c r="AM52" s="90">
        <v>2</v>
      </c>
      <c r="AN52" s="97" t="s">
        <v>878</v>
      </c>
      <c r="AO52" s="97" t="s">
        <v>1133</v>
      </c>
      <c r="AP52" s="90" t="b">
        <v>0</v>
      </c>
      <c r="AQ52" s="97" t="s">
        <v>878</v>
      </c>
      <c r="AR52" s="90" t="s">
        <v>178</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c r="BG52" s="50"/>
      <c r="BH52" s="49"/>
      <c r="BI52" s="50"/>
      <c r="BJ52" s="49"/>
      <c r="BK52" s="50"/>
      <c r="BL52" s="49"/>
      <c r="BM52" s="50"/>
      <c r="BN52" s="49"/>
    </row>
    <row r="53" spans="1:66" ht="15">
      <c r="A53" s="65" t="s">
        <v>250</v>
      </c>
      <c r="B53" s="65" t="s">
        <v>273</v>
      </c>
      <c r="C53" s="66" t="s">
        <v>4405</v>
      </c>
      <c r="D53" s="67">
        <v>1</v>
      </c>
      <c r="E53" s="68" t="s">
        <v>132</v>
      </c>
      <c r="F53" s="69">
        <v>32</v>
      </c>
      <c r="G53" s="66" t="s">
        <v>51</v>
      </c>
      <c r="H53" s="70"/>
      <c r="I53" s="71"/>
      <c r="J53" s="71"/>
      <c r="K53" s="35" t="s">
        <v>65</v>
      </c>
      <c r="L53" s="79">
        <v>53</v>
      </c>
      <c r="M53" s="79"/>
      <c r="N53" s="73"/>
      <c r="O53" s="90" t="s">
        <v>447</v>
      </c>
      <c r="P53" s="93">
        <v>44576.22318287037</v>
      </c>
      <c r="Q53" s="90" t="s">
        <v>464</v>
      </c>
      <c r="R53" s="90"/>
      <c r="S53" s="90"/>
      <c r="T53" s="97" t="s">
        <v>558</v>
      </c>
      <c r="U53" s="95" t="str">
        <f>HYPERLINK("https://pbs.twimg.com/media/FJF6DM-XsAIGpDI.jpg")</f>
        <v>https://pbs.twimg.com/media/FJF6DM-XsAIGpDI.jpg</v>
      </c>
      <c r="V53" s="95" t="str">
        <f>HYPERLINK("https://pbs.twimg.com/media/FJF6DM-XsAIGpDI.jpg")</f>
        <v>https://pbs.twimg.com/media/FJF6DM-XsAIGpDI.jpg</v>
      </c>
      <c r="W53" s="93">
        <v>44576.22318287037</v>
      </c>
      <c r="X53" s="102">
        <v>44576</v>
      </c>
      <c r="Y53" s="97" t="s">
        <v>610</v>
      </c>
      <c r="Z53" s="95" t="str">
        <f>HYPERLINK("https://twitter.com/jt36292090/status/1482221353839304712")</f>
        <v>https://twitter.com/jt36292090/status/1482221353839304712</v>
      </c>
      <c r="AA53" s="90"/>
      <c r="AB53" s="90"/>
      <c r="AC53" s="97" t="s">
        <v>851</v>
      </c>
      <c r="AD53" s="90"/>
      <c r="AE53" s="90" t="b">
        <v>0</v>
      </c>
      <c r="AF53" s="90">
        <v>0</v>
      </c>
      <c r="AG53" s="97" t="s">
        <v>1087</v>
      </c>
      <c r="AH53" s="90" t="b">
        <v>0</v>
      </c>
      <c r="AI53" s="90" t="s">
        <v>1127</v>
      </c>
      <c r="AJ53" s="90"/>
      <c r="AK53" s="97" t="s">
        <v>1087</v>
      </c>
      <c r="AL53" s="90" t="b">
        <v>0</v>
      </c>
      <c r="AM53" s="90">
        <v>2</v>
      </c>
      <c r="AN53" s="97" t="s">
        <v>878</v>
      </c>
      <c r="AO53" s="97" t="s">
        <v>1133</v>
      </c>
      <c r="AP53" s="90" t="b">
        <v>0</v>
      </c>
      <c r="AQ53" s="97" t="s">
        <v>878</v>
      </c>
      <c r="AR53" s="90" t="s">
        <v>178</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250</v>
      </c>
      <c r="B54" s="65" t="s">
        <v>384</v>
      </c>
      <c r="C54" s="66" t="s">
        <v>4405</v>
      </c>
      <c r="D54" s="67">
        <v>1</v>
      </c>
      <c r="E54" s="68" t="s">
        <v>132</v>
      </c>
      <c r="F54" s="69">
        <v>32</v>
      </c>
      <c r="G54" s="66" t="s">
        <v>51</v>
      </c>
      <c r="H54" s="70"/>
      <c r="I54" s="71"/>
      <c r="J54" s="71"/>
      <c r="K54" s="35" t="s">
        <v>65</v>
      </c>
      <c r="L54" s="79">
        <v>54</v>
      </c>
      <c r="M54" s="79"/>
      <c r="N54" s="73"/>
      <c r="O54" s="90" t="s">
        <v>448</v>
      </c>
      <c r="P54" s="93">
        <v>44576.22318287037</v>
      </c>
      <c r="Q54" s="90" t="s">
        <v>464</v>
      </c>
      <c r="R54" s="90"/>
      <c r="S54" s="90"/>
      <c r="T54" s="97" t="s">
        <v>558</v>
      </c>
      <c r="U54" s="95" t="str">
        <f>HYPERLINK("https://pbs.twimg.com/media/FJF6DM-XsAIGpDI.jpg")</f>
        <v>https://pbs.twimg.com/media/FJF6DM-XsAIGpDI.jpg</v>
      </c>
      <c r="V54" s="95" t="str">
        <f>HYPERLINK("https://pbs.twimg.com/media/FJF6DM-XsAIGpDI.jpg")</f>
        <v>https://pbs.twimg.com/media/FJF6DM-XsAIGpDI.jpg</v>
      </c>
      <c r="W54" s="93">
        <v>44576.22318287037</v>
      </c>
      <c r="X54" s="102">
        <v>44576</v>
      </c>
      <c r="Y54" s="97" t="s">
        <v>610</v>
      </c>
      <c r="Z54" s="95" t="str">
        <f>HYPERLINK("https://twitter.com/jt36292090/status/1482221353839304712")</f>
        <v>https://twitter.com/jt36292090/status/1482221353839304712</v>
      </c>
      <c r="AA54" s="90"/>
      <c r="AB54" s="90"/>
      <c r="AC54" s="97" t="s">
        <v>851</v>
      </c>
      <c r="AD54" s="90"/>
      <c r="AE54" s="90" t="b">
        <v>0</v>
      </c>
      <c r="AF54" s="90">
        <v>0</v>
      </c>
      <c r="AG54" s="97" t="s">
        <v>1087</v>
      </c>
      <c r="AH54" s="90" t="b">
        <v>0</v>
      </c>
      <c r="AI54" s="90" t="s">
        <v>1127</v>
      </c>
      <c r="AJ54" s="90"/>
      <c r="AK54" s="97" t="s">
        <v>1087</v>
      </c>
      <c r="AL54" s="90" t="b">
        <v>0</v>
      </c>
      <c r="AM54" s="90">
        <v>2</v>
      </c>
      <c r="AN54" s="97" t="s">
        <v>878</v>
      </c>
      <c r="AO54" s="97" t="s">
        <v>1133</v>
      </c>
      <c r="AP54" s="90" t="b">
        <v>0</v>
      </c>
      <c r="AQ54" s="97" t="s">
        <v>878</v>
      </c>
      <c r="AR54" s="90" t="s">
        <v>178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251</v>
      </c>
      <c r="B55" s="65" t="s">
        <v>349</v>
      </c>
      <c r="C55" s="66" t="s">
        <v>4405</v>
      </c>
      <c r="D55" s="67">
        <v>1</v>
      </c>
      <c r="E55" s="68" t="s">
        <v>132</v>
      </c>
      <c r="F55" s="69">
        <v>32</v>
      </c>
      <c r="G55" s="66" t="s">
        <v>51</v>
      </c>
      <c r="H55" s="70"/>
      <c r="I55" s="71"/>
      <c r="J55" s="71"/>
      <c r="K55" s="35" t="s">
        <v>65</v>
      </c>
      <c r="L55" s="79">
        <v>55</v>
      </c>
      <c r="M55" s="79"/>
      <c r="N55" s="73"/>
      <c r="O55" s="90" t="s">
        <v>447</v>
      </c>
      <c r="P55" s="93">
        <v>44576.26121527778</v>
      </c>
      <c r="Q55" s="90" t="s">
        <v>451</v>
      </c>
      <c r="R55" s="90"/>
      <c r="S55" s="90"/>
      <c r="T55" s="97" t="s">
        <v>555</v>
      </c>
      <c r="U55" s="95" t="str">
        <f>HYPERLINK("https://pbs.twimg.com/media/FJEWU11XwAUKZay.jpg")</f>
        <v>https://pbs.twimg.com/media/FJEWU11XwAUKZay.jpg</v>
      </c>
      <c r="V55" s="95" t="str">
        <f>HYPERLINK("https://pbs.twimg.com/media/FJEWU11XwAUKZay.jpg")</f>
        <v>https://pbs.twimg.com/media/FJEWU11XwAUKZay.jpg</v>
      </c>
      <c r="W55" s="93">
        <v>44576.26121527778</v>
      </c>
      <c r="X55" s="102">
        <v>44576</v>
      </c>
      <c r="Y55" s="97" t="s">
        <v>611</v>
      </c>
      <c r="Z55" s="95" t="str">
        <f>HYPERLINK("https://twitter.com/th3hypn0tist/status/1482235133658808325")</f>
        <v>https://twitter.com/th3hypn0tist/status/1482235133658808325</v>
      </c>
      <c r="AA55" s="90"/>
      <c r="AB55" s="90"/>
      <c r="AC55" s="97" t="s">
        <v>852</v>
      </c>
      <c r="AD55" s="90"/>
      <c r="AE55" s="90" t="b">
        <v>0</v>
      </c>
      <c r="AF55" s="90">
        <v>0</v>
      </c>
      <c r="AG55" s="97" t="s">
        <v>1087</v>
      </c>
      <c r="AH55" s="90" t="b">
        <v>0</v>
      </c>
      <c r="AI55" s="90" t="s">
        <v>1127</v>
      </c>
      <c r="AJ55" s="90"/>
      <c r="AK55" s="97" t="s">
        <v>1087</v>
      </c>
      <c r="AL55" s="90" t="b">
        <v>0</v>
      </c>
      <c r="AM55" s="90">
        <v>11</v>
      </c>
      <c r="AN55" s="97" t="s">
        <v>975</v>
      </c>
      <c r="AO55" s="97" t="s">
        <v>1132</v>
      </c>
      <c r="AP55" s="90" t="b">
        <v>0</v>
      </c>
      <c r="AQ55" s="97" t="s">
        <v>975</v>
      </c>
      <c r="AR55" s="90" t="s">
        <v>178</v>
      </c>
      <c r="AS55" s="90">
        <v>0</v>
      </c>
      <c r="AT55" s="90">
        <v>0</v>
      </c>
      <c r="AU55" s="90"/>
      <c r="AV55" s="90"/>
      <c r="AW55" s="90"/>
      <c r="AX55" s="90"/>
      <c r="AY55" s="90"/>
      <c r="AZ55" s="90"/>
      <c r="BA55" s="90"/>
      <c r="BB55" s="90"/>
      <c r="BC55">
        <v>1</v>
      </c>
      <c r="BD55" s="89" t="str">
        <f>REPLACE(INDEX(GroupVertices[Group],MATCH(Edges[[#This Row],[Vertex 1]],GroupVertices[Vertex],0)),1,1,"")</f>
        <v>6</v>
      </c>
      <c r="BE55" s="89" t="str">
        <f>REPLACE(INDEX(GroupVertices[Group],MATCH(Edges[[#This Row],[Vertex 2]],GroupVertices[Vertex],0)),1,1,"")</f>
        <v>6</v>
      </c>
      <c r="BF55" s="49">
        <v>0</v>
      </c>
      <c r="BG55" s="50">
        <v>0</v>
      </c>
      <c r="BH55" s="49">
        <v>0</v>
      </c>
      <c r="BI55" s="50">
        <v>0</v>
      </c>
      <c r="BJ55" s="49">
        <v>0</v>
      </c>
      <c r="BK55" s="50">
        <v>0</v>
      </c>
      <c r="BL55" s="49">
        <v>29</v>
      </c>
      <c r="BM55" s="50">
        <v>100</v>
      </c>
      <c r="BN55" s="49">
        <v>29</v>
      </c>
    </row>
    <row r="56" spans="1:66" ht="15">
      <c r="A56" s="65" t="s">
        <v>252</v>
      </c>
      <c r="B56" s="65" t="s">
        <v>384</v>
      </c>
      <c r="C56" s="66" t="s">
        <v>4405</v>
      </c>
      <c r="D56" s="67">
        <v>1</v>
      </c>
      <c r="E56" s="68" t="s">
        <v>132</v>
      </c>
      <c r="F56" s="69">
        <v>32</v>
      </c>
      <c r="G56" s="66" t="s">
        <v>51</v>
      </c>
      <c r="H56" s="70"/>
      <c r="I56" s="71"/>
      <c r="J56" s="71"/>
      <c r="K56" s="35" t="s">
        <v>65</v>
      </c>
      <c r="L56" s="79">
        <v>56</v>
      </c>
      <c r="M56" s="79"/>
      <c r="N56" s="73"/>
      <c r="O56" s="90" t="s">
        <v>447</v>
      </c>
      <c r="P56" s="93">
        <v>44576.278333333335</v>
      </c>
      <c r="Q56" s="90" t="s">
        <v>452</v>
      </c>
      <c r="R56" s="90"/>
      <c r="S56" s="90"/>
      <c r="T56" s="90"/>
      <c r="U56" s="95" t="str">
        <f>HYPERLINK("https://pbs.twimg.com/media/FJEZSt6WYAQW_i_.jpg")</f>
        <v>https://pbs.twimg.com/media/FJEZSt6WYAQW_i_.jpg</v>
      </c>
      <c r="V56" s="95" t="str">
        <f>HYPERLINK("https://pbs.twimg.com/media/FJEZSt6WYAQW_i_.jpg")</f>
        <v>https://pbs.twimg.com/media/FJEZSt6WYAQW_i_.jpg</v>
      </c>
      <c r="W56" s="93">
        <v>44576.278333333335</v>
      </c>
      <c r="X56" s="102">
        <v>44576</v>
      </c>
      <c r="Y56" s="97" t="s">
        <v>612</v>
      </c>
      <c r="Z56" s="95" t="str">
        <f>HYPERLINK("https://twitter.com/jonnad/status/1482241338896699392")</f>
        <v>https://twitter.com/jonnad/status/1482241338896699392</v>
      </c>
      <c r="AA56" s="90"/>
      <c r="AB56" s="90"/>
      <c r="AC56" s="97" t="s">
        <v>853</v>
      </c>
      <c r="AD56" s="90"/>
      <c r="AE56" s="90" t="b">
        <v>0</v>
      </c>
      <c r="AF56" s="90">
        <v>0</v>
      </c>
      <c r="AG56" s="97" t="s">
        <v>1087</v>
      </c>
      <c r="AH56" s="90" t="b">
        <v>0</v>
      </c>
      <c r="AI56" s="90" t="s">
        <v>1127</v>
      </c>
      <c r="AJ56" s="90"/>
      <c r="AK56" s="97" t="s">
        <v>1087</v>
      </c>
      <c r="AL56" s="90" t="b">
        <v>0</v>
      </c>
      <c r="AM56" s="90">
        <v>33</v>
      </c>
      <c r="AN56" s="97" t="s">
        <v>1022</v>
      </c>
      <c r="AO56" s="97" t="s">
        <v>1132</v>
      </c>
      <c r="AP56" s="90" t="b">
        <v>0</v>
      </c>
      <c r="AQ56" s="97" t="s">
        <v>1022</v>
      </c>
      <c r="AR56" s="90" t="s">
        <v>178</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2</v>
      </c>
      <c r="BF56" s="49">
        <v>0</v>
      </c>
      <c r="BG56" s="50">
        <v>0</v>
      </c>
      <c r="BH56" s="49">
        <v>0</v>
      </c>
      <c r="BI56" s="50">
        <v>0</v>
      </c>
      <c r="BJ56" s="49">
        <v>0</v>
      </c>
      <c r="BK56" s="50">
        <v>0</v>
      </c>
      <c r="BL56" s="49">
        <v>24</v>
      </c>
      <c r="BM56" s="50">
        <v>100</v>
      </c>
      <c r="BN56" s="49">
        <v>24</v>
      </c>
    </row>
    <row r="57" spans="1:66" ht="15">
      <c r="A57" s="65" t="s">
        <v>253</v>
      </c>
      <c r="B57" s="65" t="s">
        <v>384</v>
      </c>
      <c r="C57" s="66" t="s">
        <v>4405</v>
      </c>
      <c r="D57" s="67">
        <v>1</v>
      </c>
      <c r="E57" s="68" t="s">
        <v>132</v>
      </c>
      <c r="F57" s="69">
        <v>32</v>
      </c>
      <c r="G57" s="66" t="s">
        <v>51</v>
      </c>
      <c r="H57" s="70"/>
      <c r="I57" s="71"/>
      <c r="J57" s="71"/>
      <c r="K57" s="35" t="s">
        <v>65</v>
      </c>
      <c r="L57" s="79">
        <v>57</v>
      </c>
      <c r="M57" s="79"/>
      <c r="N57" s="73"/>
      <c r="O57" s="90" t="s">
        <v>447</v>
      </c>
      <c r="P57" s="93">
        <v>44576.31009259259</v>
      </c>
      <c r="Q57" s="90" t="s">
        <v>452</v>
      </c>
      <c r="R57" s="90"/>
      <c r="S57" s="90"/>
      <c r="T57" s="90"/>
      <c r="U57" s="95" t="str">
        <f>HYPERLINK("https://pbs.twimg.com/media/FJEZSt6WYAQW_i_.jpg")</f>
        <v>https://pbs.twimg.com/media/FJEZSt6WYAQW_i_.jpg</v>
      </c>
      <c r="V57" s="95" t="str">
        <f>HYPERLINK("https://pbs.twimg.com/media/FJEZSt6WYAQW_i_.jpg")</f>
        <v>https://pbs.twimg.com/media/FJEZSt6WYAQW_i_.jpg</v>
      </c>
      <c r="W57" s="93">
        <v>44576.31009259259</v>
      </c>
      <c r="X57" s="102">
        <v>44576</v>
      </c>
      <c r="Y57" s="97" t="s">
        <v>613</v>
      </c>
      <c r="Z57" s="95" t="str">
        <f>HYPERLINK("https://twitter.com/miskakemppinen/status/1482252847664312321")</f>
        <v>https://twitter.com/miskakemppinen/status/1482252847664312321</v>
      </c>
      <c r="AA57" s="90"/>
      <c r="AB57" s="90"/>
      <c r="AC57" s="97" t="s">
        <v>854</v>
      </c>
      <c r="AD57" s="90"/>
      <c r="AE57" s="90" t="b">
        <v>0</v>
      </c>
      <c r="AF57" s="90">
        <v>0</v>
      </c>
      <c r="AG57" s="97" t="s">
        <v>1087</v>
      </c>
      <c r="AH57" s="90" t="b">
        <v>0</v>
      </c>
      <c r="AI57" s="90" t="s">
        <v>1127</v>
      </c>
      <c r="AJ57" s="90"/>
      <c r="AK57" s="97" t="s">
        <v>1087</v>
      </c>
      <c r="AL57" s="90" t="b">
        <v>0</v>
      </c>
      <c r="AM57" s="90">
        <v>33</v>
      </c>
      <c r="AN57" s="97" t="s">
        <v>1022</v>
      </c>
      <c r="AO57" s="97" t="s">
        <v>1132</v>
      </c>
      <c r="AP57" s="90" t="b">
        <v>0</v>
      </c>
      <c r="AQ57" s="97" t="s">
        <v>1022</v>
      </c>
      <c r="AR57" s="90" t="s">
        <v>178</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2</v>
      </c>
      <c r="BF57" s="49">
        <v>0</v>
      </c>
      <c r="BG57" s="50">
        <v>0</v>
      </c>
      <c r="BH57" s="49">
        <v>0</v>
      </c>
      <c r="BI57" s="50">
        <v>0</v>
      </c>
      <c r="BJ57" s="49">
        <v>0</v>
      </c>
      <c r="BK57" s="50">
        <v>0</v>
      </c>
      <c r="BL57" s="49">
        <v>24</v>
      </c>
      <c r="BM57" s="50">
        <v>100</v>
      </c>
      <c r="BN57" s="49">
        <v>24</v>
      </c>
    </row>
    <row r="58" spans="1:66" ht="15">
      <c r="A58" s="65" t="s">
        <v>254</v>
      </c>
      <c r="B58" s="65" t="s">
        <v>384</v>
      </c>
      <c r="C58" s="66" t="s">
        <v>4405</v>
      </c>
      <c r="D58" s="67">
        <v>1</v>
      </c>
      <c r="E58" s="68" t="s">
        <v>132</v>
      </c>
      <c r="F58" s="69">
        <v>32</v>
      </c>
      <c r="G58" s="66" t="s">
        <v>51</v>
      </c>
      <c r="H58" s="70"/>
      <c r="I58" s="71"/>
      <c r="J58" s="71"/>
      <c r="K58" s="35" t="s">
        <v>65</v>
      </c>
      <c r="L58" s="79">
        <v>58</v>
      </c>
      <c r="M58" s="79"/>
      <c r="N58" s="73"/>
      <c r="O58" s="90" t="s">
        <v>447</v>
      </c>
      <c r="P58" s="93">
        <v>44576.3459375</v>
      </c>
      <c r="Q58" s="90" t="s">
        <v>452</v>
      </c>
      <c r="R58" s="90"/>
      <c r="S58" s="90"/>
      <c r="T58" s="90"/>
      <c r="U58" s="95" t="str">
        <f>HYPERLINK("https://pbs.twimg.com/media/FJEZSt6WYAQW_i_.jpg")</f>
        <v>https://pbs.twimg.com/media/FJEZSt6WYAQW_i_.jpg</v>
      </c>
      <c r="V58" s="95" t="str">
        <f>HYPERLINK("https://pbs.twimg.com/media/FJEZSt6WYAQW_i_.jpg")</f>
        <v>https://pbs.twimg.com/media/FJEZSt6WYAQW_i_.jpg</v>
      </c>
      <c r="W58" s="93">
        <v>44576.3459375</v>
      </c>
      <c r="X58" s="102">
        <v>44576</v>
      </c>
      <c r="Y58" s="97" t="s">
        <v>614</v>
      </c>
      <c r="Z58" s="95" t="str">
        <f>HYPERLINK("https://twitter.com/nita14milan/status/1482265835611828225")</f>
        <v>https://twitter.com/nita14milan/status/1482265835611828225</v>
      </c>
      <c r="AA58" s="90"/>
      <c r="AB58" s="90"/>
      <c r="AC58" s="97" t="s">
        <v>855</v>
      </c>
      <c r="AD58" s="90"/>
      <c r="AE58" s="90" t="b">
        <v>0</v>
      </c>
      <c r="AF58" s="90">
        <v>0</v>
      </c>
      <c r="AG58" s="97" t="s">
        <v>1087</v>
      </c>
      <c r="AH58" s="90" t="b">
        <v>0</v>
      </c>
      <c r="AI58" s="90" t="s">
        <v>1127</v>
      </c>
      <c r="AJ58" s="90"/>
      <c r="AK58" s="97" t="s">
        <v>1087</v>
      </c>
      <c r="AL58" s="90" t="b">
        <v>0</v>
      </c>
      <c r="AM58" s="90">
        <v>33</v>
      </c>
      <c r="AN58" s="97" t="s">
        <v>1022</v>
      </c>
      <c r="AO58" s="97" t="s">
        <v>1133</v>
      </c>
      <c r="AP58" s="90" t="b">
        <v>0</v>
      </c>
      <c r="AQ58" s="97" t="s">
        <v>1022</v>
      </c>
      <c r="AR58" s="90" t="s">
        <v>178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0</v>
      </c>
      <c r="BI58" s="50">
        <v>0</v>
      </c>
      <c r="BJ58" s="49">
        <v>0</v>
      </c>
      <c r="BK58" s="50">
        <v>0</v>
      </c>
      <c r="BL58" s="49">
        <v>24</v>
      </c>
      <c r="BM58" s="50">
        <v>100</v>
      </c>
      <c r="BN58" s="49">
        <v>24</v>
      </c>
    </row>
    <row r="59" spans="1:66" ht="15">
      <c r="A59" s="65" t="s">
        <v>255</v>
      </c>
      <c r="B59" s="65" t="s">
        <v>273</v>
      </c>
      <c r="C59" s="66" t="s">
        <v>4405</v>
      </c>
      <c r="D59" s="67">
        <v>1</v>
      </c>
      <c r="E59" s="68" t="s">
        <v>132</v>
      </c>
      <c r="F59" s="69">
        <v>32</v>
      </c>
      <c r="G59" s="66" t="s">
        <v>51</v>
      </c>
      <c r="H59" s="70"/>
      <c r="I59" s="71"/>
      <c r="J59" s="71"/>
      <c r="K59" s="35" t="s">
        <v>65</v>
      </c>
      <c r="L59" s="79">
        <v>59</v>
      </c>
      <c r="M59" s="79"/>
      <c r="N59" s="73"/>
      <c r="O59" s="90" t="s">
        <v>447</v>
      </c>
      <c r="P59" s="93">
        <v>44576.36130787037</v>
      </c>
      <c r="Q59" s="90" t="s">
        <v>465</v>
      </c>
      <c r="R59" s="90"/>
      <c r="S59" s="90"/>
      <c r="T59" s="97" t="s">
        <v>556</v>
      </c>
      <c r="U59" s="95" t="str">
        <f>HYPERLINK("https://pbs.twimg.com/media/FJEwXfZXoAIAH0t.jpg")</f>
        <v>https://pbs.twimg.com/media/FJEwXfZXoAIAH0t.jpg</v>
      </c>
      <c r="V59" s="95" t="str">
        <f>HYPERLINK("https://pbs.twimg.com/media/FJEwXfZXoAIAH0t.jpg")</f>
        <v>https://pbs.twimg.com/media/FJEwXfZXoAIAH0t.jpg</v>
      </c>
      <c r="W59" s="93">
        <v>44576.36130787037</v>
      </c>
      <c r="X59" s="102">
        <v>44576</v>
      </c>
      <c r="Y59" s="97" t="s">
        <v>615</v>
      </c>
      <c r="Z59" s="95" t="str">
        <f>HYPERLINK("https://twitter.com/sliquid84/status/1482271407807639559")</f>
        <v>https://twitter.com/sliquid84/status/1482271407807639559</v>
      </c>
      <c r="AA59" s="90"/>
      <c r="AB59" s="90"/>
      <c r="AC59" s="97" t="s">
        <v>856</v>
      </c>
      <c r="AD59" s="90"/>
      <c r="AE59" s="90" t="b">
        <v>0</v>
      </c>
      <c r="AF59" s="90">
        <v>0</v>
      </c>
      <c r="AG59" s="97" t="s">
        <v>1087</v>
      </c>
      <c r="AH59" s="90" t="b">
        <v>0</v>
      </c>
      <c r="AI59" s="90" t="s">
        <v>1127</v>
      </c>
      <c r="AJ59" s="90"/>
      <c r="AK59" s="97" t="s">
        <v>1087</v>
      </c>
      <c r="AL59" s="90" t="b">
        <v>0</v>
      </c>
      <c r="AM59" s="90">
        <v>3</v>
      </c>
      <c r="AN59" s="97" t="s">
        <v>877</v>
      </c>
      <c r="AO59" s="97" t="s">
        <v>1133</v>
      </c>
      <c r="AP59" s="90" t="b">
        <v>0</v>
      </c>
      <c r="AQ59" s="97" t="s">
        <v>877</v>
      </c>
      <c r="AR59" s="90" t="s">
        <v>178</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c r="BG59" s="50"/>
      <c r="BH59" s="49"/>
      <c r="BI59" s="50"/>
      <c r="BJ59" s="49"/>
      <c r="BK59" s="50"/>
      <c r="BL59" s="49"/>
      <c r="BM59" s="50"/>
      <c r="BN59" s="49"/>
    </row>
    <row r="60" spans="1:66" ht="15">
      <c r="A60" s="65" t="s">
        <v>255</v>
      </c>
      <c r="B60" s="65" t="s">
        <v>384</v>
      </c>
      <c r="C60" s="66" t="s">
        <v>4405</v>
      </c>
      <c r="D60" s="67">
        <v>1</v>
      </c>
      <c r="E60" s="68" t="s">
        <v>132</v>
      </c>
      <c r="F60" s="69">
        <v>32</v>
      </c>
      <c r="G60" s="66" t="s">
        <v>51</v>
      </c>
      <c r="H60" s="70"/>
      <c r="I60" s="71"/>
      <c r="J60" s="71"/>
      <c r="K60" s="35" t="s">
        <v>65</v>
      </c>
      <c r="L60" s="79">
        <v>60</v>
      </c>
      <c r="M60" s="79"/>
      <c r="N60" s="73"/>
      <c r="O60" s="90" t="s">
        <v>448</v>
      </c>
      <c r="P60" s="93">
        <v>44576.36130787037</v>
      </c>
      <c r="Q60" s="90" t="s">
        <v>465</v>
      </c>
      <c r="R60" s="90"/>
      <c r="S60" s="90"/>
      <c r="T60" s="97" t="s">
        <v>556</v>
      </c>
      <c r="U60" s="95" t="str">
        <f>HYPERLINK("https://pbs.twimg.com/media/FJEwXfZXoAIAH0t.jpg")</f>
        <v>https://pbs.twimg.com/media/FJEwXfZXoAIAH0t.jpg</v>
      </c>
      <c r="V60" s="95" t="str">
        <f>HYPERLINK("https://pbs.twimg.com/media/FJEwXfZXoAIAH0t.jpg")</f>
        <v>https://pbs.twimg.com/media/FJEwXfZXoAIAH0t.jpg</v>
      </c>
      <c r="W60" s="93">
        <v>44576.36130787037</v>
      </c>
      <c r="X60" s="102">
        <v>44576</v>
      </c>
      <c r="Y60" s="97" t="s">
        <v>615</v>
      </c>
      <c r="Z60" s="95" t="str">
        <f>HYPERLINK("https://twitter.com/sliquid84/status/1482271407807639559")</f>
        <v>https://twitter.com/sliquid84/status/1482271407807639559</v>
      </c>
      <c r="AA60" s="90"/>
      <c r="AB60" s="90"/>
      <c r="AC60" s="97" t="s">
        <v>856</v>
      </c>
      <c r="AD60" s="90"/>
      <c r="AE60" s="90" t="b">
        <v>0</v>
      </c>
      <c r="AF60" s="90">
        <v>0</v>
      </c>
      <c r="AG60" s="97" t="s">
        <v>1087</v>
      </c>
      <c r="AH60" s="90" t="b">
        <v>0</v>
      </c>
      <c r="AI60" s="90" t="s">
        <v>1127</v>
      </c>
      <c r="AJ60" s="90"/>
      <c r="AK60" s="97" t="s">
        <v>1087</v>
      </c>
      <c r="AL60" s="90" t="b">
        <v>0</v>
      </c>
      <c r="AM60" s="90">
        <v>3</v>
      </c>
      <c r="AN60" s="97" t="s">
        <v>877</v>
      </c>
      <c r="AO60" s="97" t="s">
        <v>1133</v>
      </c>
      <c r="AP60" s="90" t="b">
        <v>0</v>
      </c>
      <c r="AQ60" s="97" t="s">
        <v>877</v>
      </c>
      <c r="AR60" s="90" t="s">
        <v>178</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0</v>
      </c>
      <c r="BI60" s="50">
        <v>0</v>
      </c>
      <c r="BJ60" s="49">
        <v>0</v>
      </c>
      <c r="BK60" s="50">
        <v>0</v>
      </c>
      <c r="BL60" s="49">
        <v>38</v>
      </c>
      <c r="BM60" s="50">
        <v>100</v>
      </c>
      <c r="BN60" s="49">
        <v>38</v>
      </c>
    </row>
    <row r="61" spans="1:66" ht="15">
      <c r="A61" s="65" t="s">
        <v>256</v>
      </c>
      <c r="B61" s="65" t="s">
        <v>421</v>
      </c>
      <c r="C61" s="66" t="s">
        <v>4405</v>
      </c>
      <c r="D61" s="67">
        <v>1</v>
      </c>
      <c r="E61" s="68" t="s">
        <v>132</v>
      </c>
      <c r="F61" s="69">
        <v>32</v>
      </c>
      <c r="G61" s="66" t="s">
        <v>51</v>
      </c>
      <c r="H61" s="70"/>
      <c r="I61" s="71"/>
      <c r="J61" s="71"/>
      <c r="K61" s="35" t="s">
        <v>65</v>
      </c>
      <c r="L61" s="79">
        <v>61</v>
      </c>
      <c r="M61" s="79"/>
      <c r="N61" s="73"/>
      <c r="O61" s="90" t="s">
        <v>449</v>
      </c>
      <c r="P61" s="93">
        <v>44576.51315972222</v>
      </c>
      <c r="Q61" s="90" t="s">
        <v>466</v>
      </c>
      <c r="R61" s="90"/>
      <c r="S61" s="90"/>
      <c r="T61" s="97" t="s">
        <v>556</v>
      </c>
      <c r="U61" s="90"/>
      <c r="V61" s="95" t="str">
        <f>HYPERLINK("https://pbs.twimg.com/profile_images/1481551033428066304/BZ0_XS4w_normal.jpg")</f>
        <v>https://pbs.twimg.com/profile_images/1481551033428066304/BZ0_XS4w_normal.jpg</v>
      </c>
      <c r="W61" s="93">
        <v>44576.51315972222</v>
      </c>
      <c r="X61" s="102">
        <v>44576</v>
      </c>
      <c r="Y61" s="97" t="s">
        <v>616</v>
      </c>
      <c r="Z61" s="95" t="str">
        <f>HYPERLINK("https://twitter.com/hosionahosuvi/status/1482326437461905412")</f>
        <v>https://twitter.com/hosionahosuvi/status/1482326437461905412</v>
      </c>
      <c r="AA61" s="90"/>
      <c r="AB61" s="90"/>
      <c r="AC61" s="97" t="s">
        <v>857</v>
      </c>
      <c r="AD61" s="97" t="s">
        <v>1058</v>
      </c>
      <c r="AE61" s="90" t="b">
        <v>0</v>
      </c>
      <c r="AF61" s="90">
        <v>0</v>
      </c>
      <c r="AG61" s="97" t="s">
        <v>1095</v>
      </c>
      <c r="AH61" s="90" t="b">
        <v>0</v>
      </c>
      <c r="AI61" s="90" t="s">
        <v>1127</v>
      </c>
      <c r="AJ61" s="90"/>
      <c r="AK61" s="97" t="s">
        <v>1087</v>
      </c>
      <c r="AL61" s="90" t="b">
        <v>0</v>
      </c>
      <c r="AM61" s="90">
        <v>0</v>
      </c>
      <c r="AN61" s="97" t="s">
        <v>1087</v>
      </c>
      <c r="AO61" s="97" t="s">
        <v>1132</v>
      </c>
      <c r="AP61" s="90" t="b">
        <v>0</v>
      </c>
      <c r="AQ61" s="97" t="s">
        <v>1058</v>
      </c>
      <c r="AR61" s="90" t="s">
        <v>178</v>
      </c>
      <c r="AS61" s="90">
        <v>0</v>
      </c>
      <c r="AT61" s="90">
        <v>0</v>
      </c>
      <c r="AU61" s="90"/>
      <c r="AV61" s="90"/>
      <c r="AW61" s="90"/>
      <c r="AX61" s="90"/>
      <c r="AY61" s="90"/>
      <c r="AZ61" s="90"/>
      <c r="BA61" s="90"/>
      <c r="BB61" s="90"/>
      <c r="BC61">
        <v>1</v>
      </c>
      <c r="BD61" s="89" t="str">
        <f>REPLACE(INDEX(GroupVertices[Group],MATCH(Edges[[#This Row],[Vertex 1]],GroupVertices[Vertex],0)),1,1,"")</f>
        <v>14</v>
      </c>
      <c r="BE61" s="89" t="str">
        <f>REPLACE(INDEX(GroupVertices[Group],MATCH(Edges[[#This Row],[Vertex 2]],GroupVertices[Vertex],0)),1,1,"")</f>
        <v>14</v>
      </c>
      <c r="BF61" s="49"/>
      <c r="BG61" s="50"/>
      <c r="BH61" s="49"/>
      <c r="BI61" s="50"/>
      <c r="BJ61" s="49"/>
      <c r="BK61" s="50"/>
      <c r="BL61" s="49"/>
      <c r="BM61" s="50"/>
      <c r="BN61" s="49"/>
    </row>
    <row r="62" spans="1:66" ht="15">
      <c r="A62" s="65" t="s">
        <v>256</v>
      </c>
      <c r="B62" s="65" t="s">
        <v>422</v>
      </c>
      <c r="C62" s="66" t="s">
        <v>4405</v>
      </c>
      <c r="D62" s="67">
        <v>1</v>
      </c>
      <c r="E62" s="68" t="s">
        <v>132</v>
      </c>
      <c r="F62" s="69">
        <v>32</v>
      </c>
      <c r="G62" s="66" t="s">
        <v>51</v>
      </c>
      <c r="H62" s="70"/>
      <c r="I62" s="71"/>
      <c r="J62" s="71"/>
      <c r="K62" s="35" t="s">
        <v>65</v>
      </c>
      <c r="L62" s="79">
        <v>62</v>
      </c>
      <c r="M62" s="79"/>
      <c r="N62" s="73"/>
      <c r="O62" s="90" t="s">
        <v>448</v>
      </c>
      <c r="P62" s="93">
        <v>44576.51315972222</v>
      </c>
      <c r="Q62" s="90" t="s">
        <v>466</v>
      </c>
      <c r="R62" s="90"/>
      <c r="S62" s="90"/>
      <c r="T62" s="97" t="s">
        <v>556</v>
      </c>
      <c r="U62" s="90"/>
      <c r="V62" s="95" t="str">
        <f>HYPERLINK("https://pbs.twimg.com/profile_images/1481551033428066304/BZ0_XS4w_normal.jpg")</f>
        <v>https://pbs.twimg.com/profile_images/1481551033428066304/BZ0_XS4w_normal.jpg</v>
      </c>
      <c r="W62" s="93">
        <v>44576.51315972222</v>
      </c>
      <c r="X62" s="102">
        <v>44576</v>
      </c>
      <c r="Y62" s="97" t="s">
        <v>616</v>
      </c>
      <c r="Z62" s="95" t="str">
        <f>HYPERLINK("https://twitter.com/hosionahosuvi/status/1482326437461905412")</f>
        <v>https://twitter.com/hosionahosuvi/status/1482326437461905412</v>
      </c>
      <c r="AA62" s="90"/>
      <c r="AB62" s="90"/>
      <c r="AC62" s="97" t="s">
        <v>857</v>
      </c>
      <c r="AD62" s="97" t="s">
        <v>1058</v>
      </c>
      <c r="AE62" s="90" t="b">
        <v>0</v>
      </c>
      <c r="AF62" s="90">
        <v>0</v>
      </c>
      <c r="AG62" s="97" t="s">
        <v>1095</v>
      </c>
      <c r="AH62" s="90" t="b">
        <v>0</v>
      </c>
      <c r="AI62" s="90" t="s">
        <v>1127</v>
      </c>
      <c r="AJ62" s="90"/>
      <c r="AK62" s="97" t="s">
        <v>1087</v>
      </c>
      <c r="AL62" s="90" t="b">
        <v>0</v>
      </c>
      <c r="AM62" s="90">
        <v>0</v>
      </c>
      <c r="AN62" s="97" t="s">
        <v>1087</v>
      </c>
      <c r="AO62" s="97" t="s">
        <v>1132</v>
      </c>
      <c r="AP62" s="90" t="b">
        <v>0</v>
      </c>
      <c r="AQ62" s="97" t="s">
        <v>1058</v>
      </c>
      <c r="AR62" s="90" t="s">
        <v>178</v>
      </c>
      <c r="AS62" s="90">
        <v>0</v>
      </c>
      <c r="AT62" s="90">
        <v>0</v>
      </c>
      <c r="AU62" s="90"/>
      <c r="AV62" s="90"/>
      <c r="AW62" s="90"/>
      <c r="AX62" s="90"/>
      <c r="AY62" s="90"/>
      <c r="AZ62" s="90"/>
      <c r="BA62" s="90"/>
      <c r="BB62" s="90"/>
      <c r="BC62">
        <v>1</v>
      </c>
      <c r="BD62" s="89" t="str">
        <f>REPLACE(INDEX(GroupVertices[Group],MATCH(Edges[[#This Row],[Vertex 1]],GroupVertices[Vertex],0)),1,1,"")</f>
        <v>14</v>
      </c>
      <c r="BE62" s="89" t="str">
        <f>REPLACE(INDEX(GroupVertices[Group],MATCH(Edges[[#This Row],[Vertex 2]],GroupVertices[Vertex],0)),1,1,"")</f>
        <v>14</v>
      </c>
      <c r="BF62" s="49">
        <v>0</v>
      </c>
      <c r="BG62" s="50">
        <v>0</v>
      </c>
      <c r="BH62" s="49">
        <v>0</v>
      </c>
      <c r="BI62" s="50">
        <v>0</v>
      </c>
      <c r="BJ62" s="49">
        <v>0</v>
      </c>
      <c r="BK62" s="50">
        <v>0</v>
      </c>
      <c r="BL62" s="49">
        <v>16</v>
      </c>
      <c r="BM62" s="50">
        <v>100</v>
      </c>
      <c r="BN62" s="49">
        <v>16</v>
      </c>
    </row>
    <row r="63" spans="1:66" ht="15">
      <c r="A63" s="65" t="s">
        <v>257</v>
      </c>
      <c r="B63" s="65" t="s">
        <v>384</v>
      </c>
      <c r="C63" s="66" t="s">
        <v>4405</v>
      </c>
      <c r="D63" s="67">
        <v>1</v>
      </c>
      <c r="E63" s="68" t="s">
        <v>132</v>
      </c>
      <c r="F63" s="69">
        <v>32</v>
      </c>
      <c r="G63" s="66" t="s">
        <v>51</v>
      </c>
      <c r="H63" s="70"/>
      <c r="I63" s="71"/>
      <c r="J63" s="71"/>
      <c r="K63" s="35" t="s">
        <v>65</v>
      </c>
      <c r="L63" s="79">
        <v>63</v>
      </c>
      <c r="M63" s="79"/>
      <c r="N63" s="73"/>
      <c r="O63" s="90" t="s">
        <v>447</v>
      </c>
      <c r="P63" s="93">
        <v>44576.51709490741</v>
      </c>
      <c r="Q63" s="90" t="s">
        <v>452</v>
      </c>
      <c r="R63" s="90"/>
      <c r="S63" s="90"/>
      <c r="T63" s="90"/>
      <c r="U63" s="95" t="str">
        <f>HYPERLINK("https://pbs.twimg.com/media/FJEZSt6WYAQW_i_.jpg")</f>
        <v>https://pbs.twimg.com/media/FJEZSt6WYAQW_i_.jpg</v>
      </c>
      <c r="V63" s="95" t="str">
        <f>HYPERLINK("https://pbs.twimg.com/media/FJEZSt6WYAQW_i_.jpg")</f>
        <v>https://pbs.twimg.com/media/FJEZSt6WYAQW_i_.jpg</v>
      </c>
      <c r="W63" s="93">
        <v>44576.51709490741</v>
      </c>
      <c r="X63" s="102">
        <v>44576</v>
      </c>
      <c r="Y63" s="97" t="s">
        <v>617</v>
      </c>
      <c r="Z63" s="95" t="str">
        <f>HYPERLINK("https://twitter.com/river17_eagle/status/1482327860946022401")</f>
        <v>https://twitter.com/river17_eagle/status/1482327860946022401</v>
      </c>
      <c r="AA63" s="90"/>
      <c r="AB63" s="90"/>
      <c r="AC63" s="97" t="s">
        <v>858</v>
      </c>
      <c r="AD63" s="90"/>
      <c r="AE63" s="90" t="b">
        <v>0</v>
      </c>
      <c r="AF63" s="90">
        <v>0</v>
      </c>
      <c r="AG63" s="97" t="s">
        <v>1087</v>
      </c>
      <c r="AH63" s="90" t="b">
        <v>0</v>
      </c>
      <c r="AI63" s="90" t="s">
        <v>1127</v>
      </c>
      <c r="AJ63" s="90"/>
      <c r="AK63" s="97" t="s">
        <v>1087</v>
      </c>
      <c r="AL63" s="90" t="b">
        <v>0</v>
      </c>
      <c r="AM63" s="90">
        <v>33</v>
      </c>
      <c r="AN63" s="97" t="s">
        <v>1022</v>
      </c>
      <c r="AO63" s="97" t="s">
        <v>1133</v>
      </c>
      <c r="AP63" s="90" t="b">
        <v>0</v>
      </c>
      <c r="AQ63" s="97" t="s">
        <v>1022</v>
      </c>
      <c r="AR63" s="90" t="s">
        <v>178</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2</v>
      </c>
      <c r="BF63" s="49">
        <v>0</v>
      </c>
      <c r="BG63" s="50">
        <v>0</v>
      </c>
      <c r="BH63" s="49">
        <v>0</v>
      </c>
      <c r="BI63" s="50">
        <v>0</v>
      </c>
      <c r="BJ63" s="49">
        <v>0</v>
      </c>
      <c r="BK63" s="50">
        <v>0</v>
      </c>
      <c r="BL63" s="49">
        <v>24</v>
      </c>
      <c r="BM63" s="50">
        <v>100</v>
      </c>
      <c r="BN63" s="49">
        <v>24</v>
      </c>
    </row>
    <row r="64" spans="1:66" ht="15">
      <c r="A64" s="65" t="s">
        <v>258</v>
      </c>
      <c r="B64" s="65" t="s">
        <v>416</v>
      </c>
      <c r="C64" s="66" t="s">
        <v>4405</v>
      </c>
      <c r="D64" s="67">
        <v>1</v>
      </c>
      <c r="E64" s="68" t="s">
        <v>132</v>
      </c>
      <c r="F64" s="69">
        <v>32</v>
      </c>
      <c r="G64" s="66" t="s">
        <v>51</v>
      </c>
      <c r="H64" s="70"/>
      <c r="I64" s="71"/>
      <c r="J64" s="71"/>
      <c r="K64" s="35" t="s">
        <v>65</v>
      </c>
      <c r="L64" s="79">
        <v>64</v>
      </c>
      <c r="M64" s="79"/>
      <c r="N64" s="73"/>
      <c r="O64" s="90" t="s">
        <v>449</v>
      </c>
      <c r="P64" s="93">
        <v>44576.51</v>
      </c>
      <c r="Q64" s="90" t="s">
        <v>467</v>
      </c>
      <c r="R64" s="95" t="str">
        <f>HYPERLINK("https://www.instagram.com/p/CYtIKCHNv7w/?utm_medium=copy_link")</f>
        <v>https://www.instagram.com/p/CYtIKCHNv7w/?utm_medium=copy_link</v>
      </c>
      <c r="S64" s="90" t="s">
        <v>548</v>
      </c>
      <c r="T64" s="97" t="s">
        <v>559</v>
      </c>
      <c r="U64" s="90"/>
      <c r="V64" s="95" t="str">
        <f>HYPERLINK("https://pbs.twimg.com/profile_images/1455985306939834371/hKxtj1Xe_normal.jpg")</f>
        <v>https://pbs.twimg.com/profile_images/1455985306939834371/hKxtj1Xe_normal.jpg</v>
      </c>
      <c r="W64" s="93">
        <v>44576.51</v>
      </c>
      <c r="X64" s="102">
        <v>44576</v>
      </c>
      <c r="Y64" s="97" t="s">
        <v>618</v>
      </c>
      <c r="Z64" s="95" t="str">
        <f>HYPERLINK("https://twitter.com/jkallila/status/1482325293364879364")</f>
        <v>https://twitter.com/jkallila/status/1482325293364879364</v>
      </c>
      <c r="AA64" s="90"/>
      <c r="AB64" s="90"/>
      <c r="AC64" s="97" t="s">
        <v>859</v>
      </c>
      <c r="AD64" s="90"/>
      <c r="AE64" s="90" t="b">
        <v>0</v>
      </c>
      <c r="AF64" s="90">
        <v>3</v>
      </c>
      <c r="AG64" s="97" t="s">
        <v>1087</v>
      </c>
      <c r="AH64" s="90" t="b">
        <v>0</v>
      </c>
      <c r="AI64" s="90" t="s">
        <v>1127</v>
      </c>
      <c r="AJ64" s="90"/>
      <c r="AK64" s="97" t="s">
        <v>1087</v>
      </c>
      <c r="AL64" s="90" t="b">
        <v>0</v>
      </c>
      <c r="AM64" s="90">
        <v>0</v>
      </c>
      <c r="AN64" s="97" t="s">
        <v>1087</v>
      </c>
      <c r="AO64" s="97" t="s">
        <v>1133</v>
      </c>
      <c r="AP64" s="90" t="b">
        <v>0</v>
      </c>
      <c r="AQ64" s="97" t="s">
        <v>859</v>
      </c>
      <c r="AR64" s="90" t="s">
        <v>178</v>
      </c>
      <c r="AS64" s="90">
        <v>0</v>
      </c>
      <c r="AT64" s="90">
        <v>0</v>
      </c>
      <c r="AU64" s="90"/>
      <c r="AV64" s="90"/>
      <c r="AW64" s="90"/>
      <c r="AX64" s="90"/>
      <c r="AY64" s="90"/>
      <c r="AZ64" s="90"/>
      <c r="BA64" s="90"/>
      <c r="BB64" s="90"/>
      <c r="BC64">
        <v>1</v>
      </c>
      <c r="BD64" s="89" t="str">
        <f>REPLACE(INDEX(GroupVertices[Group],MATCH(Edges[[#This Row],[Vertex 1]],GroupVertices[Vertex],0)),1,1,"")</f>
        <v>3</v>
      </c>
      <c r="BE64" s="89" t="str">
        <f>REPLACE(INDEX(GroupVertices[Group],MATCH(Edges[[#This Row],[Vertex 2]],GroupVertices[Vertex],0)),1,1,"")</f>
        <v>3</v>
      </c>
      <c r="BF64" s="49">
        <v>0</v>
      </c>
      <c r="BG64" s="50">
        <v>0</v>
      </c>
      <c r="BH64" s="49">
        <v>0</v>
      </c>
      <c r="BI64" s="50">
        <v>0</v>
      </c>
      <c r="BJ64" s="49">
        <v>0</v>
      </c>
      <c r="BK64" s="50">
        <v>0</v>
      </c>
      <c r="BL64" s="49">
        <v>26</v>
      </c>
      <c r="BM64" s="50">
        <v>100</v>
      </c>
      <c r="BN64" s="49">
        <v>26</v>
      </c>
    </row>
    <row r="65" spans="1:66" ht="15">
      <c r="A65" s="65" t="s">
        <v>259</v>
      </c>
      <c r="B65" s="65" t="s">
        <v>258</v>
      </c>
      <c r="C65" s="66" t="s">
        <v>4405</v>
      </c>
      <c r="D65" s="67">
        <v>1</v>
      </c>
      <c r="E65" s="68" t="s">
        <v>132</v>
      </c>
      <c r="F65" s="69">
        <v>32</v>
      </c>
      <c r="G65" s="66" t="s">
        <v>51</v>
      </c>
      <c r="H65" s="70"/>
      <c r="I65" s="71"/>
      <c r="J65" s="71"/>
      <c r="K65" s="35" t="s">
        <v>65</v>
      </c>
      <c r="L65" s="79">
        <v>65</v>
      </c>
      <c r="M65" s="79"/>
      <c r="N65" s="73"/>
      <c r="O65" s="90" t="s">
        <v>448</v>
      </c>
      <c r="P65" s="93">
        <v>44576.52060185185</v>
      </c>
      <c r="Q65" s="90" t="s">
        <v>468</v>
      </c>
      <c r="R65" s="90"/>
      <c r="S65" s="90"/>
      <c r="T65" s="90"/>
      <c r="U65" s="90"/>
      <c r="V65" s="95" t="str">
        <f>HYPERLINK("https://pbs.twimg.com/profile_images/1479929865604419599/lT9FwHd8_normal.jpg")</f>
        <v>https://pbs.twimg.com/profile_images/1479929865604419599/lT9FwHd8_normal.jpg</v>
      </c>
      <c r="W65" s="93">
        <v>44576.52060185185</v>
      </c>
      <c r="X65" s="102">
        <v>44576</v>
      </c>
      <c r="Y65" s="97" t="s">
        <v>619</v>
      </c>
      <c r="Z65" s="95" t="str">
        <f>HYPERLINK("https://twitter.com/never_ever_red/status/1482329133656936450")</f>
        <v>https://twitter.com/never_ever_red/status/1482329133656936450</v>
      </c>
      <c r="AA65" s="90"/>
      <c r="AB65" s="90"/>
      <c r="AC65" s="97" t="s">
        <v>860</v>
      </c>
      <c r="AD65" s="97" t="s">
        <v>859</v>
      </c>
      <c r="AE65" s="90" t="b">
        <v>0</v>
      </c>
      <c r="AF65" s="90">
        <v>0</v>
      </c>
      <c r="AG65" s="97" t="s">
        <v>1096</v>
      </c>
      <c r="AH65" s="90" t="b">
        <v>0</v>
      </c>
      <c r="AI65" s="90" t="s">
        <v>1127</v>
      </c>
      <c r="AJ65" s="90"/>
      <c r="AK65" s="97" t="s">
        <v>1087</v>
      </c>
      <c r="AL65" s="90" t="b">
        <v>0</v>
      </c>
      <c r="AM65" s="90">
        <v>0</v>
      </c>
      <c r="AN65" s="97" t="s">
        <v>1087</v>
      </c>
      <c r="AO65" s="97" t="s">
        <v>1133</v>
      </c>
      <c r="AP65" s="90" t="b">
        <v>0</v>
      </c>
      <c r="AQ65" s="97" t="s">
        <v>859</v>
      </c>
      <c r="AR65" s="90" t="s">
        <v>178</v>
      </c>
      <c r="AS65" s="90">
        <v>0</v>
      </c>
      <c r="AT65" s="90">
        <v>0</v>
      </c>
      <c r="AU65" s="90"/>
      <c r="AV65" s="90"/>
      <c r="AW65" s="90"/>
      <c r="AX65" s="90"/>
      <c r="AY65" s="90"/>
      <c r="AZ65" s="90"/>
      <c r="BA65" s="90"/>
      <c r="BB65" s="90"/>
      <c r="BC65">
        <v>1</v>
      </c>
      <c r="BD65" s="89" t="str">
        <f>REPLACE(INDEX(GroupVertices[Group],MATCH(Edges[[#This Row],[Vertex 1]],GroupVertices[Vertex],0)),1,1,"")</f>
        <v>3</v>
      </c>
      <c r="BE65" s="89" t="str">
        <f>REPLACE(INDEX(GroupVertices[Group],MATCH(Edges[[#This Row],[Vertex 2]],GroupVertices[Vertex],0)),1,1,"")</f>
        <v>3</v>
      </c>
      <c r="BF65" s="49"/>
      <c r="BG65" s="50"/>
      <c r="BH65" s="49"/>
      <c r="BI65" s="50"/>
      <c r="BJ65" s="49"/>
      <c r="BK65" s="50"/>
      <c r="BL65" s="49"/>
      <c r="BM65" s="50"/>
      <c r="BN65" s="49"/>
    </row>
    <row r="66" spans="1:66" ht="15">
      <c r="A66" s="65" t="s">
        <v>259</v>
      </c>
      <c r="B66" s="65" t="s">
        <v>416</v>
      </c>
      <c r="C66" s="66" t="s">
        <v>4405</v>
      </c>
      <c r="D66" s="67">
        <v>1</v>
      </c>
      <c r="E66" s="68" t="s">
        <v>132</v>
      </c>
      <c r="F66" s="69">
        <v>32</v>
      </c>
      <c r="G66" s="66" t="s">
        <v>51</v>
      </c>
      <c r="H66" s="70"/>
      <c r="I66" s="71"/>
      <c r="J66" s="71"/>
      <c r="K66" s="35" t="s">
        <v>65</v>
      </c>
      <c r="L66" s="79">
        <v>66</v>
      </c>
      <c r="M66" s="79"/>
      <c r="N66" s="73"/>
      <c r="O66" s="90" t="s">
        <v>449</v>
      </c>
      <c r="P66" s="93">
        <v>44576.52060185185</v>
      </c>
      <c r="Q66" s="90" t="s">
        <v>468</v>
      </c>
      <c r="R66" s="90"/>
      <c r="S66" s="90"/>
      <c r="T66" s="90"/>
      <c r="U66" s="90"/>
      <c r="V66" s="95" t="str">
        <f>HYPERLINK("https://pbs.twimg.com/profile_images/1479929865604419599/lT9FwHd8_normal.jpg")</f>
        <v>https://pbs.twimg.com/profile_images/1479929865604419599/lT9FwHd8_normal.jpg</v>
      </c>
      <c r="W66" s="93">
        <v>44576.52060185185</v>
      </c>
      <c r="X66" s="102">
        <v>44576</v>
      </c>
      <c r="Y66" s="97" t="s">
        <v>619</v>
      </c>
      <c r="Z66" s="95" t="str">
        <f>HYPERLINK("https://twitter.com/never_ever_red/status/1482329133656936450")</f>
        <v>https://twitter.com/never_ever_red/status/1482329133656936450</v>
      </c>
      <c r="AA66" s="90"/>
      <c r="AB66" s="90"/>
      <c r="AC66" s="97" t="s">
        <v>860</v>
      </c>
      <c r="AD66" s="97" t="s">
        <v>859</v>
      </c>
      <c r="AE66" s="90" t="b">
        <v>0</v>
      </c>
      <c r="AF66" s="90">
        <v>0</v>
      </c>
      <c r="AG66" s="97" t="s">
        <v>1096</v>
      </c>
      <c r="AH66" s="90" t="b">
        <v>0</v>
      </c>
      <c r="AI66" s="90" t="s">
        <v>1127</v>
      </c>
      <c r="AJ66" s="90"/>
      <c r="AK66" s="97" t="s">
        <v>1087</v>
      </c>
      <c r="AL66" s="90" t="b">
        <v>0</v>
      </c>
      <c r="AM66" s="90">
        <v>0</v>
      </c>
      <c r="AN66" s="97" t="s">
        <v>1087</v>
      </c>
      <c r="AO66" s="97" t="s">
        <v>1133</v>
      </c>
      <c r="AP66" s="90" t="b">
        <v>0</v>
      </c>
      <c r="AQ66" s="97" t="s">
        <v>859</v>
      </c>
      <c r="AR66" s="90" t="s">
        <v>178</v>
      </c>
      <c r="AS66" s="90">
        <v>0</v>
      </c>
      <c r="AT66" s="90">
        <v>0</v>
      </c>
      <c r="AU66" s="90"/>
      <c r="AV66" s="90"/>
      <c r="AW66" s="90"/>
      <c r="AX66" s="90"/>
      <c r="AY66" s="90"/>
      <c r="AZ66" s="90"/>
      <c r="BA66" s="90"/>
      <c r="BB66" s="90"/>
      <c r="BC66">
        <v>1</v>
      </c>
      <c r="BD66" s="89" t="str">
        <f>REPLACE(INDEX(GroupVertices[Group],MATCH(Edges[[#This Row],[Vertex 1]],GroupVertices[Vertex],0)),1,1,"")</f>
        <v>3</v>
      </c>
      <c r="BE66" s="89" t="str">
        <f>REPLACE(INDEX(GroupVertices[Group],MATCH(Edges[[#This Row],[Vertex 2]],GroupVertices[Vertex],0)),1,1,"")</f>
        <v>3</v>
      </c>
      <c r="BF66" s="49">
        <v>0</v>
      </c>
      <c r="BG66" s="50">
        <v>0</v>
      </c>
      <c r="BH66" s="49">
        <v>0</v>
      </c>
      <c r="BI66" s="50">
        <v>0</v>
      </c>
      <c r="BJ66" s="49">
        <v>0</v>
      </c>
      <c r="BK66" s="50">
        <v>0</v>
      </c>
      <c r="BL66" s="49">
        <v>13</v>
      </c>
      <c r="BM66" s="50">
        <v>100</v>
      </c>
      <c r="BN66" s="49">
        <v>13</v>
      </c>
    </row>
    <row r="67" spans="1:66" ht="15">
      <c r="A67" s="65" t="s">
        <v>260</v>
      </c>
      <c r="B67" s="65" t="s">
        <v>260</v>
      </c>
      <c r="C67" s="66" t="s">
        <v>4405</v>
      </c>
      <c r="D67" s="67">
        <v>1</v>
      </c>
      <c r="E67" s="68" t="s">
        <v>132</v>
      </c>
      <c r="F67" s="69">
        <v>32</v>
      </c>
      <c r="G67" s="66" t="s">
        <v>51</v>
      </c>
      <c r="H67" s="70"/>
      <c r="I67" s="71"/>
      <c r="J67" s="71"/>
      <c r="K67" s="35" t="s">
        <v>65</v>
      </c>
      <c r="L67" s="79">
        <v>67</v>
      </c>
      <c r="M67" s="79"/>
      <c r="N67" s="73"/>
      <c r="O67" s="90" t="s">
        <v>178</v>
      </c>
      <c r="P67" s="93">
        <v>44576.61498842593</v>
      </c>
      <c r="Q67" s="90" t="s">
        <v>469</v>
      </c>
      <c r="R67" s="95" t="str">
        <f>HYPERLINK("https://www.iltalehti.fi/viihdeuutiset/a/2747483a-238e-45e8-9a81-cc9b338d1225")</f>
        <v>https://www.iltalehti.fi/viihdeuutiset/a/2747483a-238e-45e8-9a81-cc9b338d1225</v>
      </c>
      <c r="S67" s="90" t="s">
        <v>549</v>
      </c>
      <c r="T67" s="90"/>
      <c r="U67" s="90"/>
      <c r="V67" s="95" t="str">
        <f>HYPERLINK("https://pbs.twimg.com/profile_images/1474225639817367556/VP0zsz7b_normal.jpg")</f>
        <v>https://pbs.twimg.com/profile_images/1474225639817367556/VP0zsz7b_normal.jpg</v>
      </c>
      <c r="W67" s="93">
        <v>44576.61498842593</v>
      </c>
      <c r="X67" s="102">
        <v>44576</v>
      </c>
      <c r="Y67" s="97" t="s">
        <v>620</v>
      </c>
      <c r="Z67" s="95" t="str">
        <f>HYPERLINK("https://twitter.com/joravisjarvi/status/1482363339472842752")</f>
        <v>https://twitter.com/joravisjarvi/status/1482363339472842752</v>
      </c>
      <c r="AA67" s="90"/>
      <c r="AB67" s="90"/>
      <c r="AC67" s="97" t="s">
        <v>861</v>
      </c>
      <c r="AD67" s="90"/>
      <c r="AE67" s="90" t="b">
        <v>0</v>
      </c>
      <c r="AF67" s="90">
        <v>0</v>
      </c>
      <c r="AG67" s="97" t="s">
        <v>1087</v>
      </c>
      <c r="AH67" s="90" t="b">
        <v>0</v>
      </c>
      <c r="AI67" s="90" t="s">
        <v>1127</v>
      </c>
      <c r="AJ67" s="90"/>
      <c r="AK67" s="97" t="s">
        <v>1087</v>
      </c>
      <c r="AL67" s="90" t="b">
        <v>0</v>
      </c>
      <c r="AM67" s="90">
        <v>0</v>
      </c>
      <c r="AN67" s="97" t="s">
        <v>1087</v>
      </c>
      <c r="AO67" s="97" t="s">
        <v>1135</v>
      </c>
      <c r="AP67" s="90" t="b">
        <v>0</v>
      </c>
      <c r="AQ67" s="97" t="s">
        <v>861</v>
      </c>
      <c r="AR67" s="90" t="s">
        <v>178</v>
      </c>
      <c r="AS67" s="90">
        <v>0</v>
      </c>
      <c r="AT67" s="90">
        <v>0</v>
      </c>
      <c r="AU67" s="90"/>
      <c r="AV67" s="90"/>
      <c r="AW67" s="90"/>
      <c r="AX67" s="90"/>
      <c r="AY67" s="90"/>
      <c r="AZ67" s="90"/>
      <c r="BA67" s="90"/>
      <c r="BB67" s="90"/>
      <c r="BC67">
        <v>1</v>
      </c>
      <c r="BD67" s="89" t="str">
        <f>REPLACE(INDEX(GroupVertices[Group],MATCH(Edges[[#This Row],[Vertex 1]],GroupVertices[Vertex],0)),1,1,"")</f>
        <v>7</v>
      </c>
      <c r="BE67" s="89" t="str">
        <f>REPLACE(INDEX(GroupVertices[Group],MATCH(Edges[[#This Row],[Vertex 2]],GroupVertices[Vertex],0)),1,1,"")</f>
        <v>7</v>
      </c>
      <c r="BF67" s="49">
        <v>0</v>
      </c>
      <c r="BG67" s="50">
        <v>0</v>
      </c>
      <c r="BH67" s="49">
        <v>0</v>
      </c>
      <c r="BI67" s="50">
        <v>0</v>
      </c>
      <c r="BJ67" s="49">
        <v>0</v>
      </c>
      <c r="BK67" s="50">
        <v>0</v>
      </c>
      <c r="BL67" s="49">
        <v>14</v>
      </c>
      <c r="BM67" s="50">
        <v>100</v>
      </c>
      <c r="BN67" s="49">
        <v>14</v>
      </c>
    </row>
    <row r="68" spans="1:66" ht="15">
      <c r="A68" s="65" t="s">
        <v>261</v>
      </c>
      <c r="B68" s="65" t="s">
        <v>416</v>
      </c>
      <c r="C68" s="66" t="s">
        <v>4406</v>
      </c>
      <c r="D68" s="67">
        <v>1</v>
      </c>
      <c r="E68" s="68" t="s">
        <v>132</v>
      </c>
      <c r="F68" s="69">
        <v>32</v>
      </c>
      <c r="G68" s="66" t="s">
        <v>51</v>
      </c>
      <c r="H68" s="70"/>
      <c r="I68" s="71"/>
      <c r="J68" s="71"/>
      <c r="K68" s="35" t="s">
        <v>65</v>
      </c>
      <c r="L68" s="79">
        <v>68</v>
      </c>
      <c r="M68" s="79"/>
      <c r="N68" s="73"/>
      <c r="O68" s="90" t="s">
        <v>449</v>
      </c>
      <c r="P68" s="93">
        <v>44576.62567129629</v>
      </c>
      <c r="Q68" s="90" t="s">
        <v>470</v>
      </c>
      <c r="R68" s="90"/>
      <c r="S68" s="90"/>
      <c r="T68" s="90"/>
      <c r="U68" s="90"/>
      <c r="V68" s="95" t="str">
        <f>HYPERLINK("https://pbs.twimg.com/profile_images/1468316075406282761/GafdFfbv_normal.jpg")</f>
        <v>https://pbs.twimg.com/profile_images/1468316075406282761/GafdFfbv_normal.jpg</v>
      </c>
      <c r="W68" s="93">
        <v>44576.62567129629</v>
      </c>
      <c r="X68" s="102">
        <v>44576</v>
      </c>
      <c r="Y68" s="97" t="s">
        <v>621</v>
      </c>
      <c r="Z68" s="95" t="str">
        <f>HYPERLINK("https://twitter.com/emmil33/status/1482367208420524035")</f>
        <v>https://twitter.com/emmil33/status/1482367208420524035</v>
      </c>
      <c r="AA68" s="90"/>
      <c r="AB68" s="90"/>
      <c r="AC68" s="97" t="s">
        <v>862</v>
      </c>
      <c r="AD68" s="97" t="s">
        <v>1059</v>
      </c>
      <c r="AE68" s="90" t="b">
        <v>0</v>
      </c>
      <c r="AF68" s="90">
        <v>17</v>
      </c>
      <c r="AG68" s="97" t="s">
        <v>1097</v>
      </c>
      <c r="AH68" s="90" t="b">
        <v>0</v>
      </c>
      <c r="AI68" s="90" t="s">
        <v>1127</v>
      </c>
      <c r="AJ68" s="90"/>
      <c r="AK68" s="97" t="s">
        <v>1087</v>
      </c>
      <c r="AL68" s="90" t="b">
        <v>0</v>
      </c>
      <c r="AM68" s="90">
        <v>0</v>
      </c>
      <c r="AN68" s="97" t="s">
        <v>1087</v>
      </c>
      <c r="AO68" s="97" t="s">
        <v>1132</v>
      </c>
      <c r="AP68" s="90" t="b">
        <v>0</v>
      </c>
      <c r="AQ68" s="97" t="s">
        <v>1059</v>
      </c>
      <c r="AR68" s="90" t="s">
        <v>178</v>
      </c>
      <c r="AS68" s="90">
        <v>0</v>
      </c>
      <c r="AT68" s="90">
        <v>0</v>
      </c>
      <c r="AU68" s="90"/>
      <c r="AV68" s="90"/>
      <c r="AW68" s="90"/>
      <c r="AX68" s="90"/>
      <c r="AY68" s="90"/>
      <c r="AZ68" s="90"/>
      <c r="BA68" s="90"/>
      <c r="BB68" s="90"/>
      <c r="BC68">
        <v>2</v>
      </c>
      <c r="BD68" s="89" t="str">
        <f>REPLACE(INDEX(GroupVertices[Group],MATCH(Edges[[#This Row],[Vertex 1]],GroupVertices[Vertex],0)),1,1,"")</f>
        <v>5</v>
      </c>
      <c r="BE68" s="89" t="str">
        <f>REPLACE(INDEX(GroupVertices[Group],MATCH(Edges[[#This Row],[Vertex 2]],GroupVertices[Vertex],0)),1,1,"")</f>
        <v>3</v>
      </c>
      <c r="BF68" s="49"/>
      <c r="BG68" s="50"/>
      <c r="BH68" s="49"/>
      <c r="BI68" s="50"/>
      <c r="BJ68" s="49"/>
      <c r="BK68" s="50"/>
      <c r="BL68" s="49"/>
      <c r="BM68" s="50"/>
      <c r="BN68" s="49"/>
    </row>
    <row r="69" spans="1:66" ht="15">
      <c r="A69" s="65" t="s">
        <v>261</v>
      </c>
      <c r="B69" s="65" t="s">
        <v>346</v>
      </c>
      <c r="C69" s="66" t="s">
        <v>4406</v>
      </c>
      <c r="D69" s="67">
        <v>1</v>
      </c>
      <c r="E69" s="68" t="s">
        <v>132</v>
      </c>
      <c r="F69" s="69">
        <v>32</v>
      </c>
      <c r="G69" s="66" t="s">
        <v>51</v>
      </c>
      <c r="H69" s="70"/>
      <c r="I69" s="71"/>
      <c r="J69" s="71"/>
      <c r="K69" s="35" t="s">
        <v>65</v>
      </c>
      <c r="L69" s="79">
        <v>69</v>
      </c>
      <c r="M69" s="79"/>
      <c r="N69" s="73"/>
      <c r="O69" s="90" t="s">
        <v>448</v>
      </c>
      <c r="P69" s="93">
        <v>44576.62567129629</v>
      </c>
      <c r="Q69" s="90" t="s">
        <v>470</v>
      </c>
      <c r="R69" s="90"/>
      <c r="S69" s="90"/>
      <c r="T69" s="90"/>
      <c r="U69" s="90"/>
      <c r="V69" s="95" t="str">
        <f>HYPERLINK("https://pbs.twimg.com/profile_images/1468316075406282761/GafdFfbv_normal.jpg")</f>
        <v>https://pbs.twimg.com/profile_images/1468316075406282761/GafdFfbv_normal.jpg</v>
      </c>
      <c r="W69" s="93">
        <v>44576.62567129629</v>
      </c>
      <c r="X69" s="102">
        <v>44576</v>
      </c>
      <c r="Y69" s="97" t="s">
        <v>621</v>
      </c>
      <c r="Z69" s="95" t="str">
        <f>HYPERLINK("https://twitter.com/emmil33/status/1482367208420524035")</f>
        <v>https://twitter.com/emmil33/status/1482367208420524035</v>
      </c>
      <c r="AA69" s="90"/>
      <c r="AB69" s="90"/>
      <c r="AC69" s="97" t="s">
        <v>862</v>
      </c>
      <c r="AD69" s="97" t="s">
        <v>1059</v>
      </c>
      <c r="AE69" s="90" t="b">
        <v>0</v>
      </c>
      <c r="AF69" s="90">
        <v>17</v>
      </c>
      <c r="AG69" s="97" t="s">
        <v>1097</v>
      </c>
      <c r="AH69" s="90" t="b">
        <v>0</v>
      </c>
      <c r="AI69" s="90" t="s">
        <v>1127</v>
      </c>
      <c r="AJ69" s="90"/>
      <c r="AK69" s="97" t="s">
        <v>1087</v>
      </c>
      <c r="AL69" s="90" t="b">
        <v>0</v>
      </c>
      <c r="AM69" s="90">
        <v>0</v>
      </c>
      <c r="AN69" s="97" t="s">
        <v>1087</v>
      </c>
      <c r="AO69" s="97" t="s">
        <v>1132</v>
      </c>
      <c r="AP69" s="90" t="b">
        <v>0</v>
      </c>
      <c r="AQ69" s="97" t="s">
        <v>1059</v>
      </c>
      <c r="AR69" s="90" t="s">
        <v>178</v>
      </c>
      <c r="AS69" s="90">
        <v>0</v>
      </c>
      <c r="AT69" s="90">
        <v>0</v>
      </c>
      <c r="AU69" s="90"/>
      <c r="AV69" s="90"/>
      <c r="AW69" s="90"/>
      <c r="AX69" s="90"/>
      <c r="AY69" s="90"/>
      <c r="AZ69" s="90"/>
      <c r="BA69" s="90"/>
      <c r="BB69" s="90"/>
      <c r="BC69">
        <v>2</v>
      </c>
      <c r="BD69" s="89" t="str">
        <f>REPLACE(INDEX(GroupVertices[Group],MATCH(Edges[[#This Row],[Vertex 1]],GroupVertices[Vertex],0)),1,1,"")</f>
        <v>5</v>
      </c>
      <c r="BE69" s="89" t="str">
        <f>REPLACE(INDEX(GroupVertices[Group],MATCH(Edges[[#This Row],[Vertex 2]],GroupVertices[Vertex],0)),1,1,"")</f>
        <v>5</v>
      </c>
      <c r="BF69" s="49">
        <v>0</v>
      </c>
      <c r="BG69" s="50">
        <v>0</v>
      </c>
      <c r="BH69" s="49">
        <v>0</v>
      </c>
      <c r="BI69" s="50">
        <v>0</v>
      </c>
      <c r="BJ69" s="49">
        <v>0</v>
      </c>
      <c r="BK69" s="50">
        <v>0</v>
      </c>
      <c r="BL69" s="49">
        <v>28</v>
      </c>
      <c r="BM69" s="50">
        <v>100</v>
      </c>
      <c r="BN69" s="49">
        <v>28</v>
      </c>
    </row>
    <row r="70" spans="1:66" ht="15">
      <c r="A70" s="65" t="s">
        <v>261</v>
      </c>
      <c r="B70" s="65" t="s">
        <v>416</v>
      </c>
      <c r="C70" s="66" t="s">
        <v>4406</v>
      </c>
      <c r="D70" s="67">
        <v>1</v>
      </c>
      <c r="E70" s="68" t="s">
        <v>132</v>
      </c>
      <c r="F70" s="69">
        <v>32</v>
      </c>
      <c r="G70" s="66" t="s">
        <v>51</v>
      </c>
      <c r="H70" s="70"/>
      <c r="I70" s="71"/>
      <c r="J70" s="71"/>
      <c r="K70" s="35" t="s">
        <v>65</v>
      </c>
      <c r="L70" s="79">
        <v>70</v>
      </c>
      <c r="M70" s="79"/>
      <c r="N70" s="73"/>
      <c r="O70" s="90" t="s">
        <v>449</v>
      </c>
      <c r="P70" s="93">
        <v>44576.627175925925</v>
      </c>
      <c r="Q70" s="90" t="s">
        <v>471</v>
      </c>
      <c r="R70" s="90"/>
      <c r="S70" s="90"/>
      <c r="T70" s="90"/>
      <c r="U70" s="90"/>
      <c r="V70" s="95" t="str">
        <f>HYPERLINK("https://pbs.twimg.com/profile_images/1468316075406282761/GafdFfbv_normal.jpg")</f>
        <v>https://pbs.twimg.com/profile_images/1468316075406282761/GafdFfbv_normal.jpg</v>
      </c>
      <c r="W70" s="93">
        <v>44576.627175925925</v>
      </c>
      <c r="X70" s="102">
        <v>44576</v>
      </c>
      <c r="Y70" s="97" t="s">
        <v>622</v>
      </c>
      <c r="Z70" s="95" t="str">
        <f>HYPERLINK("https://twitter.com/emmil33/status/1482367753373822984")</f>
        <v>https://twitter.com/emmil33/status/1482367753373822984</v>
      </c>
      <c r="AA70" s="90"/>
      <c r="AB70" s="90"/>
      <c r="AC70" s="97" t="s">
        <v>863</v>
      </c>
      <c r="AD70" s="97" t="s">
        <v>862</v>
      </c>
      <c r="AE70" s="90" t="b">
        <v>0</v>
      </c>
      <c r="AF70" s="90">
        <v>21</v>
      </c>
      <c r="AG70" s="97" t="s">
        <v>1098</v>
      </c>
      <c r="AH70" s="90" t="b">
        <v>0</v>
      </c>
      <c r="AI70" s="90" t="s">
        <v>1127</v>
      </c>
      <c r="AJ70" s="90"/>
      <c r="AK70" s="97" t="s">
        <v>1087</v>
      </c>
      <c r="AL70" s="90" t="b">
        <v>0</v>
      </c>
      <c r="AM70" s="90">
        <v>0</v>
      </c>
      <c r="AN70" s="97" t="s">
        <v>1087</v>
      </c>
      <c r="AO70" s="97" t="s">
        <v>1132</v>
      </c>
      <c r="AP70" s="90" t="b">
        <v>0</v>
      </c>
      <c r="AQ70" s="97" t="s">
        <v>862</v>
      </c>
      <c r="AR70" s="90" t="s">
        <v>178</v>
      </c>
      <c r="AS70" s="90">
        <v>0</v>
      </c>
      <c r="AT70" s="90">
        <v>0</v>
      </c>
      <c r="AU70" s="90"/>
      <c r="AV70" s="90"/>
      <c r="AW70" s="90"/>
      <c r="AX70" s="90"/>
      <c r="AY70" s="90"/>
      <c r="AZ70" s="90"/>
      <c r="BA70" s="90"/>
      <c r="BB70" s="90"/>
      <c r="BC70">
        <v>2</v>
      </c>
      <c r="BD70" s="89" t="str">
        <f>REPLACE(INDEX(GroupVertices[Group],MATCH(Edges[[#This Row],[Vertex 1]],GroupVertices[Vertex],0)),1,1,"")</f>
        <v>5</v>
      </c>
      <c r="BE70" s="89" t="str">
        <f>REPLACE(INDEX(GroupVertices[Group],MATCH(Edges[[#This Row],[Vertex 2]],GroupVertices[Vertex],0)),1,1,"")</f>
        <v>3</v>
      </c>
      <c r="BF70" s="49"/>
      <c r="BG70" s="50"/>
      <c r="BH70" s="49"/>
      <c r="BI70" s="50"/>
      <c r="BJ70" s="49"/>
      <c r="BK70" s="50"/>
      <c r="BL70" s="49"/>
      <c r="BM70" s="50"/>
      <c r="BN70" s="49"/>
    </row>
    <row r="71" spans="1:66" ht="15">
      <c r="A71" s="65" t="s">
        <v>261</v>
      </c>
      <c r="B71" s="65" t="s">
        <v>346</v>
      </c>
      <c r="C71" s="66" t="s">
        <v>4406</v>
      </c>
      <c r="D71" s="67">
        <v>1</v>
      </c>
      <c r="E71" s="68" t="s">
        <v>132</v>
      </c>
      <c r="F71" s="69">
        <v>32</v>
      </c>
      <c r="G71" s="66" t="s">
        <v>51</v>
      </c>
      <c r="H71" s="70"/>
      <c r="I71" s="71"/>
      <c r="J71" s="71"/>
      <c r="K71" s="35" t="s">
        <v>65</v>
      </c>
      <c r="L71" s="79">
        <v>71</v>
      </c>
      <c r="M71" s="79"/>
      <c r="N71" s="73"/>
      <c r="O71" s="90" t="s">
        <v>448</v>
      </c>
      <c r="P71" s="93">
        <v>44576.627175925925</v>
      </c>
      <c r="Q71" s="90" t="s">
        <v>471</v>
      </c>
      <c r="R71" s="90"/>
      <c r="S71" s="90"/>
      <c r="T71" s="90"/>
      <c r="U71" s="90"/>
      <c r="V71" s="95" t="str">
        <f>HYPERLINK("https://pbs.twimg.com/profile_images/1468316075406282761/GafdFfbv_normal.jpg")</f>
        <v>https://pbs.twimg.com/profile_images/1468316075406282761/GafdFfbv_normal.jpg</v>
      </c>
      <c r="W71" s="93">
        <v>44576.627175925925</v>
      </c>
      <c r="X71" s="102">
        <v>44576</v>
      </c>
      <c r="Y71" s="97" t="s">
        <v>622</v>
      </c>
      <c r="Z71" s="95" t="str">
        <f>HYPERLINK("https://twitter.com/emmil33/status/1482367753373822984")</f>
        <v>https://twitter.com/emmil33/status/1482367753373822984</v>
      </c>
      <c r="AA71" s="90"/>
      <c r="AB71" s="90"/>
      <c r="AC71" s="97" t="s">
        <v>863</v>
      </c>
      <c r="AD71" s="97" t="s">
        <v>862</v>
      </c>
      <c r="AE71" s="90" t="b">
        <v>0</v>
      </c>
      <c r="AF71" s="90">
        <v>21</v>
      </c>
      <c r="AG71" s="97" t="s">
        <v>1098</v>
      </c>
      <c r="AH71" s="90" t="b">
        <v>0</v>
      </c>
      <c r="AI71" s="90" t="s">
        <v>1127</v>
      </c>
      <c r="AJ71" s="90"/>
      <c r="AK71" s="97" t="s">
        <v>1087</v>
      </c>
      <c r="AL71" s="90" t="b">
        <v>0</v>
      </c>
      <c r="AM71" s="90">
        <v>0</v>
      </c>
      <c r="AN71" s="97" t="s">
        <v>1087</v>
      </c>
      <c r="AO71" s="97" t="s">
        <v>1132</v>
      </c>
      <c r="AP71" s="90" t="b">
        <v>0</v>
      </c>
      <c r="AQ71" s="97" t="s">
        <v>862</v>
      </c>
      <c r="AR71" s="90" t="s">
        <v>178</v>
      </c>
      <c r="AS71" s="90">
        <v>0</v>
      </c>
      <c r="AT71" s="90">
        <v>0</v>
      </c>
      <c r="AU71" s="90"/>
      <c r="AV71" s="90"/>
      <c r="AW71" s="90"/>
      <c r="AX71" s="90"/>
      <c r="AY71" s="90"/>
      <c r="AZ71" s="90"/>
      <c r="BA71" s="90"/>
      <c r="BB71" s="90"/>
      <c r="BC71">
        <v>2</v>
      </c>
      <c r="BD71" s="89" t="str">
        <f>REPLACE(INDEX(GroupVertices[Group],MATCH(Edges[[#This Row],[Vertex 1]],GroupVertices[Vertex],0)),1,1,"")</f>
        <v>5</v>
      </c>
      <c r="BE71" s="89" t="str">
        <f>REPLACE(INDEX(GroupVertices[Group],MATCH(Edges[[#This Row],[Vertex 2]],GroupVertices[Vertex],0)),1,1,"")</f>
        <v>5</v>
      </c>
      <c r="BF71" s="49">
        <v>0</v>
      </c>
      <c r="BG71" s="50">
        <v>0</v>
      </c>
      <c r="BH71" s="49">
        <v>0</v>
      </c>
      <c r="BI71" s="50">
        <v>0</v>
      </c>
      <c r="BJ71" s="49">
        <v>0</v>
      </c>
      <c r="BK71" s="50">
        <v>0</v>
      </c>
      <c r="BL71" s="49">
        <v>39</v>
      </c>
      <c r="BM71" s="50">
        <v>100</v>
      </c>
      <c r="BN71" s="49">
        <v>39</v>
      </c>
    </row>
    <row r="72" spans="1:66" ht="15">
      <c r="A72" s="65" t="s">
        <v>262</v>
      </c>
      <c r="B72" s="65" t="s">
        <v>416</v>
      </c>
      <c r="C72" s="66" t="s">
        <v>4405</v>
      </c>
      <c r="D72" s="67">
        <v>1</v>
      </c>
      <c r="E72" s="68" t="s">
        <v>132</v>
      </c>
      <c r="F72" s="69">
        <v>32</v>
      </c>
      <c r="G72" s="66" t="s">
        <v>51</v>
      </c>
      <c r="H72" s="70"/>
      <c r="I72" s="71"/>
      <c r="J72" s="71"/>
      <c r="K72" s="35" t="s">
        <v>65</v>
      </c>
      <c r="L72" s="79">
        <v>72</v>
      </c>
      <c r="M72" s="79"/>
      <c r="N72" s="73"/>
      <c r="O72" s="90" t="s">
        <v>448</v>
      </c>
      <c r="P72" s="93">
        <v>44576.62792824074</v>
      </c>
      <c r="Q72" s="90" t="s">
        <v>472</v>
      </c>
      <c r="R72" s="95" t="str">
        <f>HYPERLINK("http://www.kotipetripaavola.com/englanninkoronatilastotsairastumisetjakuolemat.html")</f>
        <v>http://www.kotipetripaavola.com/englanninkoronatilastotsairastumisetjakuolemat.html</v>
      </c>
      <c r="S72" s="90" t="s">
        <v>550</v>
      </c>
      <c r="T72" s="90"/>
      <c r="U72" s="90"/>
      <c r="V72" s="95" t="str">
        <f>HYPERLINK("https://pbs.twimg.com/profile_images/1191030515454926850/dAlsmw9n_normal.jpg")</f>
        <v>https://pbs.twimg.com/profile_images/1191030515454926850/dAlsmw9n_normal.jpg</v>
      </c>
      <c r="W72" s="93">
        <v>44576.62792824074</v>
      </c>
      <c r="X72" s="102">
        <v>44576</v>
      </c>
      <c r="Y72" s="97" t="s">
        <v>623</v>
      </c>
      <c r="Z72" s="95" t="str">
        <f>HYPERLINK("https://twitter.com/paavola_petri/status/1482368025739382784")</f>
        <v>https://twitter.com/paavola_petri/status/1482368025739382784</v>
      </c>
      <c r="AA72" s="90"/>
      <c r="AB72" s="90"/>
      <c r="AC72" s="97" t="s">
        <v>864</v>
      </c>
      <c r="AD72" s="90"/>
      <c r="AE72" s="90" t="b">
        <v>0</v>
      </c>
      <c r="AF72" s="90">
        <v>0</v>
      </c>
      <c r="AG72" s="97" t="s">
        <v>1092</v>
      </c>
      <c r="AH72" s="90" t="b">
        <v>0</v>
      </c>
      <c r="AI72" s="90" t="s">
        <v>1127</v>
      </c>
      <c r="AJ72" s="90"/>
      <c r="AK72" s="97" t="s">
        <v>1087</v>
      </c>
      <c r="AL72" s="90" t="b">
        <v>0</v>
      </c>
      <c r="AM72" s="90">
        <v>0</v>
      </c>
      <c r="AN72" s="97" t="s">
        <v>1087</v>
      </c>
      <c r="AO72" s="97" t="s">
        <v>1132</v>
      </c>
      <c r="AP72" s="90" t="b">
        <v>0</v>
      </c>
      <c r="AQ72" s="97" t="s">
        <v>864</v>
      </c>
      <c r="AR72" s="90" t="s">
        <v>178</v>
      </c>
      <c r="AS72" s="90">
        <v>0</v>
      </c>
      <c r="AT72" s="90">
        <v>0</v>
      </c>
      <c r="AU72" s="90"/>
      <c r="AV72" s="90"/>
      <c r="AW72" s="90"/>
      <c r="AX72" s="90"/>
      <c r="AY72" s="90"/>
      <c r="AZ72" s="90"/>
      <c r="BA72" s="90"/>
      <c r="BB72" s="90"/>
      <c r="BC72">
        <v>1</v>
      </c>
      <c r="BD72" s="89" t="str">
        <f>REPLACE(INDEX(GroupVertices[Group],MATCH(Edges[[#This Row],[Vertex 1]],GroupVertices[Vertex],0)),1,1,"")</f>
        <v>3</v>
      </c>
      <c r="BE72" s="89" t="str">
        <f>REPLACE(INDEX(GroupVertices[Group],MATCH(Edges[[#This Row],[Vertex 2]],GroupVertices[Vertex],0)),1,1,"")</f>
        <v>3</v>
      </c>
      <c r="BF72" s="49">
        <v>0</v>
      </c>
      <c r="BG72" s="50">
        <v>0</v>
      </c>
      <c r="BH72" s="49">
        <v>0</v>
      </c>
      <c r="BI72" s="50">
        <v>0</v>
      </c>
      <c r="BJ72" s="49">
        <v>0</v>
      </c>
      <c r="BK72" s="50">
        <v>0</v>
      </c>
      <c r="BL72" s="49">
        <v>6</v>
      </c>
      <c r="BM72" s="50">
        <v>100</v>
      </c>
      <c r="BN72" s="49">
        <v>6</v>
      </c>
    </row>
    <row r="73" spans="1:66" ht="15">
      <c r="A73" s="65" t="s">
        <v>263</v>
      </c>
      <c r="B73" s="65" t="s">
        <v>423</v>
      </c>
      <c r="C73" s="66" t="s">
        <v>4405</v>
      </c>
      <c r="D73" s="67">
        <v>1</v>
      </c>
      <c r="E73" s="68" t="s">
        <v>132</v>
      </c>
      <c r="F73" s="69">
        <v>32</v>
      </c>
      <c r="G73" s="66" t="s">
        <v>51</v>
      </c>
      <c r="H73" s="70"/>
      <c r="I73" s="71"/>
      <c r="J73" s="71"/>
      <c r="K73" s="35" t="s">
        <v>65</v>
      </c>
      <c r="L73" s="79">
        <v>73</v>
      </c>
      <c r="M73" s="79"/>
      <c r="N73" s="73"/>
      <c r="O73" s="90" t="s">
        <v>448</v>
      </c>
      <c r="P73" s="93">
        <v>44576.653136574074</v>
      </c>
      <c r="Q73" s="90" t="s">
        <v>473</v>
      </c>
      <c r="R73" s="90"/>
      <c r="S73" s="90"/>
      <c r="T73" s="90"/>
      <c r="U73" s="90"/>
      <c r="V73" s="95" t="str">
        <f>HYPERLINK("https://pbs.twimg.com/profile_images/1283449599420702721/a4_J-0YR_normal.jpg")</f>
        <v>https://pbs.twimg.com/profile_images/1283449599420702721/a4_J-0YR_normal.jpg</v>
      </c>
      <c r="W73" s="93">
        <v>44576.653136574074</v>
      </c>
      <c r="X73" s="102">
        <v>44576</v>
      </c>
      <c r="Y73" s="97" t="s">
        <v>624</v>
      </c>
      <c r="Z73" s="95" t="str">
        <f>HYPERLINK("https://twitter.com/janhunen18/status/1482377163148079113")</f>
        <v>https://twitter.com/janhunen18/status/1482377163148079113</v>
      </c>
      <c r="AA73" s="90"/>
      <c r="AB73" s="90"/>
      <c r="AC73" s="97" t="s">
        <v>865</v>
      </c>
      <c r="AD73" s="97" t="s">
        <v>1060</v>
      </c>
      <c r="AE73" s="90" t="b">
        <v>0</v>
      </c>
      <c r="AF73" s="90">
        <v>20</v>
      </c>
      <c r="AG73" s="97" t="s">
        <v>1099</v>
      </c>
      <c r="AH73" s="90" t="b">
        <v>0</v>
      </c>
      <c r="AI73" s="90" t="s">
        <v>1127</v>
      </c>
      <c r="AJ73" s="90"/>
      <c r="AK73" s="97" t="s">
        <v>1087</v>
      </c>
      <c r="AL73" s="90" t="b">
        <v>0</v>
      </c>
      <c r="AM73" s="90">
        <v>0</v>
      </c>
      <c r="AN73" s="97" t="s">
        <v>1087</v>
      </c>
      <c r="AO73" s="97" t="s">
        <v>1133</v>
      </c>
      <c r="AP73" s="90" t="b">
        <v>0</v>
      </c>
      <c r="AQ73" s="97" t="s">
        <v>1060</v>
      </c>
      <c r="AR73" s="90" t="s">
        <v>178</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v>0</v>
      </c>
      <c r="BG73" s="50">
        <v>0</v>
      </c>
      <c r="BH73" s="49">
        <v>0</v>
      </c>
      <c r="BI73" s="50">
        <v>0</v>
      </c>
      <c r="BJ73" s="49">
        <v>0</v>
      </c>
      <c r="BK73" s="50">
        <v>0</v>
      </c>
      <c r="BL73" s="49">
        <v>5</v>
      </c>
      <c r="BM73" s="50">
        <v>100</v>
      </c>
      <c r="BN73" s="49">
        <v>5</v>
      </c>
    </row>
    <row r="74" spans="1:66" ht="15">
      <c r="A74" s="65" t="s">
        <v>264</v>
      </c>
      <c r="B74" s="65" t="s">
        <v>424</v>
      </c>
      <c r="C74" s="66" t="s">
        <v>4405</v>
      </c>
      <c r="D74" s="67">
        <v>1</v>
      </c>
      <c r="E74" s="68" t="s">
        <v>132</v>
      </c>
      <c r="F74" s="69">
        <v>32</v>
      </c>
      <c r="G74" s="66" t="s">
        <v>51</v>
      </c>
      <c r="H74" s="70"/>
      <c r="I74" s="71"/>
      <c r="J74" s="71"/>
      <c r="K74" s="35" t="s">
        <v>65</v>
      </c>
      <c r="L74" s="79">
        <v>74</v>
      </c>
      <c r="M74" s="79"/>
      <c r="N74" s="73"/>
      <c r="O74" s="90" t="s">
        <v>448</v>
      </c>
      <c r="P74" s="93">
        <v>44576.659004629626</v>
      </c>
      <c r="Q74" s="90" t="s">
        <v>474</v>
      </c>
      <c r="R74" s="90"/>
      <c r="S74" s="90"/>
      <c r="T74" s="90"/>
      <c r="U74" s="90"/>
      <c r="V74" s="95" t="str">
        <f>HYPERLINK("https://abs.twimg.com/sticky/default_profile_images/default_profile_normal.png")</f>
        <v>https://abs.twimg.com/sticky/default_profile_images/default_profile_normal.png</v>
      </c>
      <c r="W74" s="93">
        <v>44576.659004629626</v>
      </c>
      <c r="X74" s="102">
        <v>44576</v>
      </c>
      <c r="Y74" s="97" t="s">
        <v>625</v>
      </c>
      <c r="Z74" s="95" t="str">
        <f>HYPERLINK("https://twitter.com/hirvonen_martti/status/1482379290079637505")</f>
        <v>https://twitter.com/hirvonen_martti/status/1482379290079637505</v>
      </c>
      <c r="AA74" s="90"/>
      <c r="AB74" s="90"/>
      <c r="AC74" s="97" t="s">
        <v>866</v>
      </c>
      <c r="AD74" s="97" t="s">
        <v>1061</v>
      </c>
      <c r="AE74" s="90" t="b">
        <v>0</v>
      </c>
      <c r="AF74" s="90">
        <v>4</v>
      </c>
      <c r="AG74" s="97" t="s">
        <v>1100</v>
      </c>
      <c r="AH74" s="90" t="b">
        <v>0</v>
      </c>
      <c r="AI74" s="90" t="s">
        <v>1127</v>
      </c>
      <c r="AJ74" s="90"/>
      <c r="AK74" s="97" t="s">
        <v>1087</v>
      </c>
      <c r="AL74" s="90" t="b">
        <v>0</v>
      </c>
      <c r="AM74" s="90">
        <v>0</v>
      </c>
      <c r="AN74" s="97" t="s">
        <v>1087</v>
      </c>
      <c r="AO74" s="97" t="s">
        <v>1133</v>
      </c>
      <c r="AP74" s="90" t="b">
        <v>0</v>
      </c>
      <c r="AQ74" s="97" t="s">
        <v>1061</v>
      </c>
      <c r="AR74" s="90" t="s">
        <v>178</v>
      </c>
      <c r="AS74" s="90">
        <v>0</v>
      </c>
      <c r="AT74" s="90">
        <v>0</v>
      </c>
      <c r="AU74" s="90"/>
      <c r="AV74" s="90"/>
      <c r="AW74" s="90"/>
      <c r="AX74" s="90"/>
      <c r="AY74" s="90"/>
      <c r="AZ74" s="90"/>
      <c r="BA74" s="90"/>
      <c r="BB74" s="90"/>
      <c r="BC74">
        <v>1</v>
      </c>
      <c r="BD74" s="89" t="str">
        <f>REPLACE(INDEX(GroupVertices[Group],MATCH(Edges[[#This Row],[Vertex 1]],GroupVertices[Vertex],0)),1,1,"")</f>
        <v>18</v>
      </c>
      <c r="BE74" s="89" t="str">
        <f>REPLACE(INDEX(GroupVertices[Group],MATCH(Edges[[#This Row],[Vertex 2]],GroupVertices[Vertex],0)),1,1,"")</f>
        <v>18</v>
      </c>
      <c r="BF74" s="49">
        <v>0</v>
      </c>
      <c r="BG74" s="50">
        <v>0</v>
      </c>
      <c r="BH74" s="49">
        <v>0</v>
      </c>
      <c r="BI74" s="50">
        <v>0</v>
      </c>
      <c r="BJ74" s="49">
        <v>0</v>
      </c>
      <c r="BK74" s="50">
        <v>0</v>
      </c>
      <c r="BL74" s="49">
        <v>23</v>
      </c>
      <c r="BM74" s="50">
        <v>100</v>
      </c>
      <c r="BN74" s="49">
        <v>23</v>
      </c>
    </row>
    <row r="75" spans="1:66" ht="15">
      <c r="A75" s="65" t="s">
        <v>265</v>
      </c>
      <c r="B75" s="65" t="s">
        <v>265</v>
      </c>
      <c r="C75" s="66" t="s">
        <v>4405</v>
      </c>
      <c r="D75" s="67">
        <v>1</v>
      </c>
      <c r="E75" s="68" t="s">
        <v>132</v>
      </c>
      <c r="F75" s="69">
        <v>32</v>
      </c>
      <c r="G75" s="66" t="s">
        <v>51</v>
      </c>
      <c r="H75" s="70"/>
      <c r="I75" s="71"/>
      <c r="J75" s="71"/>
      <c r="K75" s="35" t="s">
        <v>65</v>
      </c>
      <c r="L75" s="79">
        <v>75</v>
      </c>
      <c r="M75" s="79"/>
      <c r="N75" s="73"/>
      <c r="O75" s="90" t="s">
        <v>178</v>
      </c>
      <c r="P75" s="93">
        <v>44576.65498842593</v>
      </c>
      <c r="Q75" s="90" t="s">
        <v>475</v>
      </c>
      <c r="R75" s="95" t="str">
        <f>HYPERLINK("https://www.is.fi/viihde/art-2000008542896.html")</f>
        <v>https://www.is.fi/viihde/art-2000008542896.html</v>
      </c>
      <c r="S75" s="90" t="s">
        <v>551</v>
      </c>
      <c r="T75" s="90"/>
      <c r="U75" s="90"/>
      <c r="V75" s="95" t="str">
        <f>HYPERLINK("https://pbs.twimg.com/profile_images/928538330077237248/PUv-u3qY_normal.jpg")</f>
        <v>https://pbs.twimg.com/profile_images/928538330077237248/PUv-u3qY_normal.jpg</v>
      </c>
      <c r="W75" s="93">
        <v>44576.65498842593</v>
      </c>
      <c r="X75" s="102">
        <v>44576</v>
      </c>
      <c r="Y75" s="97" t="s">
        <v>626</v>
      </c>
      <c r="Z75" s="95" t="str">
        <f>HYPERLINK("https://twitter.com/iltasanomat/status/1482377835130019849")</f>
        <v>https://twitter.com/iltasanomat/status/1482377835130019849</v>
      </c>
      <c r="AA75" s="90"/>
      <c r="AB75" s="90"/>
      <c r="AC75" s="97" t="s">
        <v>867</v>
      </c>
      <c r="AD75" s="90"/>
      <c r="AE75" s="90" t="b">
        <v>0</v>
      </c>
      <c r="AF75" s="90">
        <v>4</v>
      </c>
      <c r="AG75" s="97" t="s">
        <v>1087</v>
      </c>
      <c r="AH75" s="90" t="b">
        <v>0</v>
      </c>
      <c r="AI75" s="90" t="s">
        <v>1127</v>
      </c>
      <c r="AJ75" s="90"/>
      <c r="AK75" s="97" t="s">
        <v>1087</v>
      </c>
      <c r="AL75" s="90" t="b">
        <v>0</v>
      </c>
      <c r="AM75" s="90">
        <v>0</v>
      </c>
      <c r="AN75" s="97" t="s">
        <v>1087</v>
      </c>
      <c r="AO75" s="97" t="s">
        <v>1136</v>
      </c>
      <c r="AP75" s="90" t="b">
        <v>0</v>
      </c>
      <c r="AQ75" s="97" t="s">
        <v>867</v>
      </c>
      <c r="AR75" s="90" t="s">
        <v>178</v>
      </c>
      <c r="AS75" s="90">
        <v>0</v>
      </c>
      <c r="AT75" s="90">
        <v>0</v>
      </c>
      <c r="AU75" s="90"/>
      <c r="AV75" s="90"/>
      <c r="AW75" s="90"/>
      <c r="AX75" s="90"/>
      <c r="AY75" s="90"/>
      <c r="AZ75" s="90"/>
      <c r="BA75" s="90"/>
      <c r="BB75" s="90"/>
      <c r="BC75">
        <v>1</v>
      </c>
      <c r="BD75" s="89" t="str">
        <f>REPLACE(INDEX(GroupVertices[Group],MATCH(Edges[[#This Row],[Vertex 1]],GroupVertices[Vertex],0)),1,1,"")</f>
        <v>3</v>
      </c>
      <c r="BE75" s="89"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5" t="s">
        <v>266</v>
      </c>
      <c r="B76" s="65" t="s">
        <v>265</v>
      </c>
      <c r="C76" s="66" t="s">
        <v>4406</v>
      </c>
      <c r="D76" s="67">
        <v>1</v>
      </c>
      <c r="E76" s="68" t="s">
        <v>132</v>
      </c>
      <c r="F76" s="69">
        <v>32</v>
      </c>
      <c r="G76" s="66" t="s">
        <v>51</v>
      </c>
      <c r="H76" s="70"/>
      <c r="I76" s="71"/>
      <c r="J76" s="71"/>
      <c r="K76" s="35" t="s">
        <v>65</v>
      </c>
      <c r="L76" s="79">
        <v>76</v>
      </c>
      <c r="M76" s="79"/>
      <c r="N76" s="73"/>
      <c r="O76" s="90" t="s">
        <v>448</v>
      </c>
      <c r="P76" s="93">
        <v>44576.67865740741</v>
      </c>
      <c r="Q76" s="90" t="s">
        <v>476</v>
      </c>
      <c r="R76" s="90"/>
      <c r="S76" s="90"/>
      <c r="T76" s="97" t="s">
        <v>560</v>
      </c>
      <c r="U76" s="90"/>
      <c r="V76" s="95" t="str">
        <f>HYPERLINK("https://abs.twimg.com/sticky/default_profile_images/default_profile_normal.png")</f>
        <v>https://abs.twimg.com/sticky/default_profile_images/default_profile_normal.png</v>
      </c>
      <c r="W76" s="93">
        <v>44576.67865740741</v>
      </c>
      <c r="X76" s="102">
        <v>44576</v>
      </c>
      <c r="Y76" s="97" t="s">
        <v>627</v>
      </c>
      <c r="Z76" s="95" t="str">
        <f>HYPERLINK("https://twitter.com/humandildo/status/1482386412494331909")</f>
        <v>https://twitter.com/humandildo/status/1482386412494331909</v>
      </c>
      <c r="AA76" s="90"/>
      <c r="AB76" s="90"/>
      <c r="AC76" s="97" t="s">
        <v>868</v>
      </c>
      <c r="AD76" s="97" t="s">
        <v>867</v>
      </c>
      <c r="AE76" s="90" t="b">
        <v>0</v>
      </c>
      <c r="AF76" s="90">
        <v>0</v>
      </c>
      <c r="AG76" s="97" t="s">
        <v>1101</v>
      </c>
      <c r="AH76" s="90" t="b">
        <v>0</v>
      </c>
      <c r="AI76" s="90" t="s">
        <v>1127</v>
      </c>
      <c r="AJ76" s="90"/>
      <c r="AK76" s="97" t="s">
        <v>1087</v>
      </c>
      <c r="AL76" s="90" t="b">
        <v>0</v>
      </c>
      <c r="AM76" s="90">
        <v>0</v>
      </c>
      <c r="AN76" s="97" t="s">
        <v>1087</v>
      </c>
      <c r="AO76" s="97" t="s">
        <v>1132</v>
      </c>
      <c r="AP76" s="90" t="b">
        <v>0</v>
      </c>
      <c r="AQ76" s="97" t="s">
        <v>867</v>
      </c>
      <c r="AR76" s="90" t="s">
        <v>178</v>
      </c>
      <c r="AS76" s="90">
        <v>0</v>
      </c>
      <c r="AT76" s="90">
        <v>0</v>
      </c>
      <c r="AU76" s="90"/>
      <c r="AV76" s="90"/>
      <c r="AW76" s="90"/>
      <c r="AX76" s="90"/>
      <c r="AY76" s="90"/>
      <c r="AZ76" s="90"/>
      <c r="BA76" s="90"/>
      <c r="BB76" s="90"/>
      <c r="BC76">
        <v>2</v>
      </c>
      <c r="BD76" s="89" t="str">
        <f>REPLACE(INDEX(GroupVertices[Group],MATCH(Edges[[#This Row],[Vertex 1]],GroupVertices[Vertex],0)),1,1,"")</f>
        <v>3</v>
      </c>
      <c r="BE76" s="89" t="str">
        <f>REPLACE(INDEX(GroupVertices[Group],MATCH(Edges[[#This Row],[Vertex 2]],GroupVertices[Vertex],0)),1,1,"")</f>
        <v>3</v>
      </c>
      <c r="BF76" s="49"/>
      <c r="BG76" s="50"/>
      <c r="BH76" s="49"/>
      <c r="BI76" s="50"/>
      <c r="BJ76" s="49"/>
      <c r="BK76" s="50"/>
      <c r="BL76" s="49"/>
      <c r="BM76" s="50"/>
      <c r="BN76" s="49"/>
    </row>
    <row r="77" spans="1:66" ht="15">
      <c r="A77" s="65" t="s">
        <v>266</v>
      </c>
      <c r="B77" s="65" t="s">
        <v>265</v>
      </c>
      <c r="C77" s="66" t="s">
        <v>4406</v>
      </c>
      <c r="D77" s="67">
        <v>1</v>
      </c>
      <c r="E77" s="68" t="s">
        <v>132</v>
      </c>
      <c r="F77" s="69">
        <v>32</v>
      </c>
      <c r="G77" s="66" t="s">
        <v>51</v>
      </c>
      <c r="H77" s="70"/>
      <c r="I77" s="71"/>
      <c r="J77" s="71"/>
      <c r="K77" s="35" t="s">
        <v>65</v>
      </c>
      <c r="L77" s="79">
        <v>77</v>
      </c>
      <c r="M77" s="79"/>
      <c r="N77" s="73"/>
      <c r="O77" s="90" t="s">
        <v>448</v>
      </c>
      <c r="P77" s="93">
        <v>44576.68</v>
      </c>
      <c r="Q77" s="90" t="s">
        <v>477</v>
      </c>
      <c r="R77" s="90"/>
      <c r="S77" s="90"/>
      <c r="T77" s="97" t="s">
        <v>561</v>
      </c>
      <c r="U77" s="90"/>
      <c r="V77" s="95" t="str">
        <f>HYPERLINK("https://abs.twimg.com/sticky/default_profile_images/default_profile_normal.png")</f>
        <v>https://abs.twimg.com/sticky/default_profile_images/default_profile_normal.png</v>
      </c>
      <c r="W77" s="93">
        <v>44576.68</v>
      </c>
      <c r="X77" s="102">
        <v>44576</v>
      </c>
      <c r="Y77" s="97" t="s">
        <v>628</v>
      </c>
      <c r="Z77" s="95" t="str">
        <f>HYPERLINK("https://twitter.com/humandildo/status/1482386896210829316")</f>
        <v>https://twitter.com/humandildo/status/1482386896210829316</v>
      </c>
      <c r="AA77" s="90"/>
      <c r="AB77" s="90"/>
      <c r="AC77" s="97" t="s">
        <v>869</v>
      </c>
      <c r="AD77" s="97" t="s">
        <v>868</v>
      </c>
      <c r="AE77" s="90" t="b">
        <v>0</v>
      </c>
      <c r="AF77" s="90">
        <v>1</v>
      </c>
      <c r="AG77" s="97" t="s">
        <v>1102</v>
      </c>
      <c r="AH77" s="90" t="b">
        <v>0</v>
      </c>
      <c r="AI77" s="90" t="s">
        <v>1127</v>
      </c>
      <c r="AJ77" s="90"/>
      <c r="AK77" s="97" t="s">
        <v>1087</v>
      </c>
      <c r="AL77" s="90" t="b">
        <v>0</v>
      </c>
      <c r="AM77" s="90">
        <v>0</v>
      </c>
      <c r="AN77" s="97" t="s">
        <v>1087</v>
      </c>
      <c r="AO77" s="97" t="s">
        <v>1132</v>
      </c>
      <c r="AP77" s="90" t="b">
        <v>0</v>
      </c>
      <c r="AQ77" s="97" t="s">
        <v>868</v>
      </c>
      <c r="AR77" s="90" t="s">
        <v>178</v>
      </c>
      <c r="AS77" s="90">
        <v>0</v>
      </c>
      <c r="AT77" s="90">
        <v>0</v>
      </c>
      <c r="AU77" s="90"/>
      <c r="AV77" s="90"/>
      <c r="AW77" s="90"/>
      <c r="AX77" s="90"/>
      <c r="AY77" s="90"/>
      <c r="AZ77" s="90"/>
      <c r="BA77" s="90"/>
      <c r="BB77" s="90"/>
      <c r="BC77">
        <v>2</v>
      </c>
      <c r="BD77" s="89" t="str">
        <f>REPLACE(INDEX(GroupVertices[Group],MATCH(Edges[[#This Row],[Vertex 1]],GroupVertices[Vertex],0)),1,1,"")</f>
        <v>3</v>
      </c>
      <c r="BE77" s="89" t="str">
        <f>REPLACE(INDEX(GroupVertices[Group],MATCH(Edges[[#This Row],[Vertex 2]],GroupVertices[Vertex],0)),1,1,"")</f>
        <v>3</v>
      </c>
      <c r="BF77" s="49"/>
      <c r="BG77" s="50"/>
      <c r="BH77" s="49"/>
      <c r="BI77" s="50"/>
      <c r="BJ77" s="49"/>
      <c r="BK77" s="50"/>
      <c r="BL77" s="49"/>
      <c r="BM77" s="50"/>
      <c r="BN77" s="49"/>
    </row>
    <row r="78" spans="1:66" ht="15">
      <c r="A78" s="65" t="s">
        <v>266</v>
      </c>
      <c r="B78" s="65" t="s">
        <v>416</v>
      </c>
      <c r="C78" s="66" t="s">
        <v>4406</v>
      </c>
      <c r="D78" s="67">
        <v>1</v>
      </c>
      <c r="E78" s="68" t="s">
        <v>132</v>
      </c>
      <c r="F78" s="69">
        <v>32</v>
      </c>
      <c r="G78" s="66" t="s">
        <v>51</v>
      </c>
      <c r="H78" s="70"/>
      <c r="I78" s="71"/>
      <c r="J78" s="71"/>
      <c r="K78" s="35" t="s">
        <v>65</v>
      </c>
      <c r="L78" s="79">
        <v>78</v>
      </c>
      <c r="M78" s="79"/>
      <c r="N78" s="73"/>
      <c r="O78" s="90" t="s">
        <v>449</v>
      </c>
      <c r="P78" s="93">
        <v>44576.67865740741</v>
      </c>
      <c r="Q78" s="90" t="s">
        <v>476</v>
      </c>
      <c r="R78" s="90"/>
      <c r="S78" s="90"/>
      <c r="T78" s="97" t="s">
        <v>560</v>
      </c>
      <c r="U78" s="90"/>
      <c r="V78" s="95" t="str">
        <f>HYPERLINK("https://abs.twimg.com/sticky/default_profile_images/default_profile_normal.png")</f>
        <v>https://abs.twimg.com/sticky/default_profile_images/default_profile_normal.png</v>
      </c>
      <c r="W78" s="93">
        <v>44576.67865740741</v>
      </c>
      <c r="X78" s="102">
        <v>44576</v>
      </c>
      <c r="Y78" s="97" t="s">
        <v>627</v>
      </c>
      <c r="Z78" s="95" t="str">
        <f>HYPERLINK("https://twitter.com/humandildo/status/1482386412494331909")</f>
        <v>https://twitter.com/humandildo/status/1482386412494331909</v>
      </c>
      <c r="AA78" s="90"/>
      <c r="AB78" s="90"/>
      <c r="AC78" s="97" t="s">
        <v>868</v>
      </c>
      <c r="AD78" s="97" t="s">
        <v>867</v>
      </c>
      <c r="AE78" s="90" t="b">
        <v>0</v>
      </c>
      <c r="AF78" s="90">
        <v>0</v>
      </c>
      <c r="AG78" s="97" t="s">
        <v>1101</v>
      </c>
      <c r="AH78" s="90" t="b">
        <v>0</v>
      </c>
      <c r="AI78" s="90" t="s">
        <v>1127</v>
      </c>
      <c r="AJ78" s="90"/>
      <c r="AK78" s="97" t="s">
        <v>1087</v>
      </c>
      <c r="AL78" s="90" t="b">
        <v>0</v>
      </c>
      <c r="AM78" s="90">
        <v>0</v>
      </c>
      <c r="AN78" s="97" t="s">
        <v>1087</v>
      </c>
      <c r="AO78" s="97" t="s">
        <v>1132</v>
      </c>
      <c r="AP78" s="90" t="b">
        <v>0</v>
      </c>
      <c r="AQ78" s="97" t="s">
        <v>867</v>
      </c>
      <c r="AR78" s="90" t="s">
        <v>178</v>
      </c>
      <c r="AS78" s="90">
        <v>0</v>
      </c>
      <c r="AT78" s="90">
        <v>0</v>
      </c>
      <c r="AU78" s="90"/>
      <c r="AV78" s="90"/>
      <c r="AW78" s="90"/>
      <c r="AX78" s="90"/>
      <c r="AY78" s="90"/>
      <c r="AZ78" s="90"/>
      <c r="BA78" s="90"/>
      <c r="BB78" s="90"/>
      <c r="BC78">
        <v>2</v>
      </c>
      <c r="BD78" s="89" t="str">
        <f>REPLACE(INDEX(GroupVertices[Group],MATCH(Edges[[#This Row],[Vertex 1]],GroupVertices[Vertex],0)),1,1,"")</f>
        <v>3</v>
      </c>
      <c r="BE78" s="89" t="str">
        <f>REPLACE(INDEX(GroupVertices[Group],MATCH(Edges[[#This Row],[Vertex 2]],GroupVertices[Vertex],0)),1,1,"")</f>
        <v>3</v>
      </c>
      <c r="BF78" s="49">
        <v>0</v>
      </c>
      <c r="BG78" s="50">
        <v>0</v>
      </c>
      <c r="BH78" s="49">
        <v>0</v>
      </c>
      <c r="BI78" s="50">
        <v>0</v>
      </c>
      <c r="BJ78" s="49">
        <v>0</v>
      </c>
      <c r="BK78" s="50">
        <v>0</v>
      </c>
      <c r="BL78" s="49">
        <v>40</v>
      </c>
      <c r="BM78" s="50">
        <v>100</v>
      </c>
      <c r="BN78" s="49">
        <v>40</v>
      </c>
    </row>
    <row r="79" spans="1:66" ht="15">
      <c r="A79" s="65" t="s">
        <v>266</v>
      </c>
      <c r="B79" s="65" t="s">
        <v>416</v>
      </c>
      <c r="C79" s="66" t="s">
        <v>4406</v>
      </c>
      <c r="D79" s="67">
        <v>1</v>
      </c>
      <c r="E79" s="68" t="s">
        <v>132</v>
      </c>
      <c r="F79" s="69">
        <v>32</v>
      </c>
      <c r="G79" s="66" t="s">
        <v>51</v>
      </c>
      <c r="H79" s="70"/>
      <c r="I79" s="71"/>
      <c r="J79" s="71"/>
      <c r="K79" s="35" t="s">
        <v>65</v>
      </c>
      <c r="L79" s="79">
        <v>79</v>
      </c>
      <c r="M79" s="79"/>
      <c r="N79" s="73"/>
      <c r="O79" s="90" t="s">
        <v>449</v>
      </c>
      <c r="P79" s="93">
        <v>44576.68</v>
      </c>
      <c r="Q79" s="90" t="s">
        <v>477</v>
      </c>
      <c r="R79" s="90"/>
      <c r="S79" s="90"/>
      <c r="T79" s="97" t="s">
        <v>561</v>
      </c>
      <c r="U79" s="90"/>
      <c r="V79" s="95" t="str">
        <f>HYPERLINK("https://abs.twimg.com/sticky/default_profile_images/default_profile_normal.png")</f>
        <v>https://abs.twimg.com/sticky/default_profile_images/default_profile_normal.png</v>
      </c>
      <c r="W79" s="93">
        <v>44576.68</v>
      </c>
      <c r="X79" s="102">
        <v>44576</v>
      </c>
      <c r="Y79" s="97" t="s">
        <v>628</v>
      </c>
      <c r="Z79" s="95" t="str">
        <f>HYPERLINK("https://twitter.com/humandildo/status/1482386896210829316")</f>
        <v>https://twitter.com/humandildo/status/1482386896210829316</v>
      </c>
      <c r="AA79" s="90"/>
      <c r="AB79" s="90"/>
      <c r="AC79" s="97" t="s">
        <v>869</v>
      </c>
      <c r="AD79" s="97" t="s">
        <v>868</v>
      </c>
      <c r="AE79" s="90" t="b">
        <v>0</v>
      </c>
      <c r="AF79" s="90">
        <v>1</v>
      </c>
      <c r="AG79" s="97" t="s">
        <v>1102</v>
      </c>
      <c r="AH79" s="90" t="b">
        <v>0</v>
      </c>
      <c r="AI79" s="90" t="s">
        <v>1127</v>
      </c>
      <c r="AJ79" s="90"/>
      <c r="AK79" s="97" t="s">
        <v>1087</v>
      </c>
      <c r="AL79" s="90" t="b">
        <v>0</v>
      </c>
      <c r="AM79" s="90">
        <v>0</v>
      </c>
      <c r="AN79" s="97" t="s">
        <v>1087</v>
      </c>
      <c r="AO79" s="97" t="s">
        <v>1132</v>
      </c>
      <c r="AP79" s="90" t="b">
        <v>0</v>
      </c>
      <c r="AQ79" s="97" t="s">
        <v>868</v>
      </c>
      <c r="AR79" s="90" t="s">
        <v>178</v>
      </c>
      <c r="AS79" s="90">
        <v>0</v>
      </c>
      <c r="AT79" s="90">
        <v>0</v>
      </c>
      <c r="AU79" s="90"/>
      <c r="AV79" s="90"/>
      <c r="AW79" s="90"/>
      <c r="AX79" s="90"/>
      <c r="AY79" s="90"/>
      <c r="AZ79" s="90"/>
      <c r="BA79" s="90"/>
      <c r="BB79" s="90"/>
      <c r="BC79">
        <v>2</v>
      </c>
      <c r="BD79" s="89" t="str">
        <f>REPLACE(INDEX(GroupVertices[Group],MATCH(Edges[[#This Row],[Vertex 1]],GroupVertices[Vertex],0)),1,1,"")</f>
        <v>3</v>
      </c>
      <c r="BE79" s="89" t="str">
        <f>REPLACE(INDEX(GroupVertices[Group],MATCH(Edges[[#This Row],[Vertex 2]],GroupVertices[Vertex],0)),1,1,"")</f>
        <v>3</v>
      </c>
      <c r="BF79" s="49">
        <v>0</v>
      </c>
      <c r="BG79" s="50">
        <v>0</v>
      </c>
      <c r="BH79" s="49">
        <v>0</v>
      </c>
      <c r="BI79" s="50">
        <v>0</v>
      </c>
      <c r="BJ79" s="49">
        <v>0</v>
      </c>
      <c r="BK79" s="50">
        <v>0</v>
      </c>
      <c r="BL79" s="49">
        <v>40</v>
      </c>
      <c r="BM79" s="50">
        <v>100</v>
      </c>
      <c r="BN79" s="49">
        <v>40</v>
      </c>
    </row>
    <row r="80" spans="1:66" ht="15">
      <c r="A80" s="65" t="s">
        <v>267</v>
      </c>
      <c r="B80" s="65" t="s">
        <v>423</v>
      </c>
      <c r="C80" s="66" t="s">
        <v>4405</v>
      </c>
      <c r="D80" s="67">
        <v>1</v>
      </c>
      <c r="E80" s="68" t="s">
        <v>132</v>
      </c>
      <c r="F80" s="69">
        <v>32</v>
      </c>
      <c r="G80" s="66" t="s">
        <v>51</v>
      </c>
      <c r="H80" s="70"/>
      <c r="I80" s="71"/>
      <c r="J80" s="71"/>
      <c r="K80" s="35" t="s">
        <v>65</v>
      </c>
      <c r="L80" s="79">
        <v>80</v>
      </c>
      <c r="M80" s="79"/>
      <c r="N80" s="73"/>
      <c r="O80" s="90" t="s">
        <v>448</v>
      </c>
      <c r="P80" s="93">
        <v>44576.70719907407</v>
      </c>
      <c r="Q80" s="90" t="s">
        <v>478</v>
      </c>
      <c r="R80" s="90"/>
      <c r="S80" s="90"/>
      <c r="T80" s="90"/>
      <c r="U80" s="90"/>
      <c r="V80" s="95" t="str">
        <f>HYPERLINK("https://pbs.twimg.com/profile_images/1478409671857872901/9i3zL67g_normal.jpg")</f>
        <v>https://pbs.twimg.com/profile_images/1478409671857872901/9i3zL67g_normal.jpg</v>
      </c>
      <c r="W80" s="93">
        <v>44576.70719907407</v>
      </c>
      <c r="X80" s="102">
        <v>44576</v>
      </c>
      <c r="Y80" s="97" t="s">
        <v>629</v>
      </c>
      <c r="Z80" s="95" t="str">
        <f>HYPERLINK("https://twitter.com/nokelainenmikko/status/1482396753257242628")</f>
        <v>https://twitter.com/nokelainenmikko/status/1482396753257242628</v>
      </c>
      <c r="AA80" s="90"/>
      <c r="AB80" s="90"/>
      <c r="AC80" s="97" t="s">
        <v>870</v>
      </c>
      <c r="AD80" s="97" t="s">
        <v>1060</v>
      </c>
      <c r="AE80" s="90" t="b">
        <v>0</v>
      </c>
      <c r="AF80" s="90">
        <v>3</v>
      </c>
      <c r="AG80" s="97" t="s">
        <v>1099</v>
      </c>
      <c r="AH80" s="90" t="b">
        <v>0</v>
      </c>
      <c r="AI80" s="90" t="s">
        <v>1127</v>
      </c>
      <c r="AJ80" s="90"/>
      <c r="AK80" s="97" t="s">
        <v>1087</v>
      </c>
      <c r="AL80" s="90" t="b">
        <v>0</v>
      </c>
      <c r="AM80" s="90">
        <v>0</v>
      </c>
      <c r="AN80" s="97" t="s">
        <v>1087</v>
      </c>
      <c r="AO80" s="97" t="s">
        <v>1133</v>
      </c>
      <c r="AP80" s="90" t="b">
        <v>0</v>
      </c>
      <c r="AQ80" s="97" t="s">
        <v>1060</v>
      </c>
      <c r="AR80" s="90" t="s">
        <v>178</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9</v>
      </c>
      <c r="BM80" s="50">
        <v>100</v>
      </c>
      <c r="BN80" s="49">
        <v>9</v>
      </c>
    </row>
    <row r="81" spans="1:66" ht="15">
      <c r="A81" s="65" t="s">
        <v>268</v>
      </c>
      <c r="B81" s="65" t="s">
        <v>268</v>
      </c>
      <c r="C81" s="66" t="s">
        <v>4405</v>
      </c>
      <c r="D81" s="67">
        <v>1</v>
      </c>
      <c r="E81" s="68" t="s">
        <v>132</v>
      </c>
      <c r="F81" s="69">
        <v>32</v>
      </c>
      <c r="G81" s="66" t="s">
        <v>51</v>
      </c>
      <c r="H81" s="70"/>
      <c r="I81" s="71"/>
      <c r="J81" s="71"/>
      <c r="K81" s="35" t="s">
        <v>65</v>
      </c>
      <c r="L81" s="79">
        <v>81</v>
      </c>
      <c r="M81" s="79"/>
      <c r="N81" s="73"/>
      <c r="O81" s="90" t="s">
        <v>178</v>
      </c>
      <c r="P81" s="93">
        <v>44576.72450231481</v>
      </c>
      <c r="Q81" s="90" t="s">
        <v>479</v>
      </c>
      <c r="R81" s="90"/>
      <c r="S81" s="90"/>
      <c r="T81" s="90"/>
      <c r="U81" s="90"/>
      <c r="V81" s="95" t="str">
        <f>HYPERLINK("https://pbs.twimg.com/profile_images/1442584193330860033/ZNktSmfO_normal.jpg")</f>
        <v>https://pbs.twimg.com/profile_images/1442584193330860033/ZNktSmfO_normal.jpg</v>
      </c>
      <c r="W81" s="93">
        <v>44576.72450231481</v>
      </c>
      <c r="X81" s="102">
        <v>44576</v>
      </c>
      <c r="Y81" s="97" t="s">
        <v>630</v>
      </c>
      <c r="Z81" s="95" t="str">
        <f>HYPERLINK("https://twitter.com/railistordell/status/1482403024375103490")</f>
        <v>https://twitter.com/railistordell/status/1482403024375103490</v>
      </c>
      <c r="AA81" s="90"/>
      <c r="AB81" s="90"/>
      <c r="AC81" s="97" t="s">
        <v>871</v>
      </c>
      <c r="AD81" s="90"/>
      <c r="AE81" s="90" t="b">
        <v>0</v>
      </c>
      <c r="AF81" s="90">
        <v>1</v>
      </c>
      <c r="AG81" s="97" t="s">
        <v>1087</v>
      </c>
      <c r="AH81" s="90" t="b">
        <v>0</v>
      </c>
      <c r="AI81" s="90" t="s">
        <v>1127</v>
      </c>
      <c r="AJ81" s="90"/>
      <c r="AK81" s="97" t="s">
        <v>1087</v>
      </c>
      <c r="AL81" s="90" t="b">
        <v>0</v>
      </c>
      <c r="AM81" s="90">
        <v>0</v>
      </c>
      <c r="AN81" s="97" t="s">
        <v>1087</v>
      </c>
      <c r="AO81" s="97" t="s">
        <v>1133</v>
      </c>
      <c r="AP81" s="90" t="b">
        <v>0</v>
      </c>
      <c r="AQ81" s="97" t="s">
        <v>871</v>
      </c>
      <c r="AR81" s="90" t="s">
        <v>178</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v>1</v>
      </c>
      <c r="BG81" s="50">
        <v>6.25</v>
      </c>
      <c r="BH81" s="49">
        <v>0</v>
      </c>
      <c r="BI81" s="50">
        <v>0</v>
      </c>
      <c r="BJ81" s="49">
        <v>0</v>
      </c>
      <c r="BK81" s="50">
        <v>0</v>
      </c>
      <c r="BL81" s="49">
        <v>15</v>
      </c>
      <c r="BM81" s="50">
        <v>93.75</v>
      </c>
      <c r="BN81" s="49">
        <v>16</v>
      </c>
    </row>
    <row r="82" spans="1:66" ht="15">
      <c r="A82" s="65" t="s">
        <v>269</v>
      </c>
      <c r="B82" s="65" t="s">
        <v>416</v>
      </c>
      <c r="C82" s="66" t="s">
        <v>4405</v>
      </c>
      <c r="D82" s="67">
        <v>1</v>
      </c>
      <c r="E82" s="68" t="s">
        <v>132</v>
      </c>
      <c r="F82" s="69">
        <v>32</v>
      </c>
      <c r="G82" s="66" t="s">
        <v>51</v>
      </c>
      <c r="H82" s="70"/>
      <c r="I82" s="71"/>
      <c r="J82" s="71"/>
      <c r="K82" s="35" t="s">
        <v>65</v>
      </c>
      <c r="L82" s="79">
        <v>82</v>
      </c>
      <c r="M82" s="79"/>
      <c r="N82" s="73"/>
      <c r="O82" s="90" t="s">
        <v>448</v>
      </c>
      <c r="P82" s="93">
        <v>44576.73631944445</v>
      </c>
      <c r="Q82" s="90" t="s">
        <v>480</v>
      </c>
      <c r="R82" s="90"/>
      <c r="S82" s="90"/>
      <c r="T82" s="90"/>
      <c r="U82" s="90"/>
      <c r="V82" s="95" t="str">
        <f>HYPERLINK("https://abs.twimg.com/sticky/default_profile_images/default_profile_normal.png")</f>
        <v>https://abs.twimg.com/sticky/default_profile_images/default_profile_normal.png</v>
      </c>
      <c r="W82" s="93">
        <v>44576.73631944445</v>
      </c>
      <c r="X82" s="102">
        <v>44576</v>
      </c>
      <c r="Y82" s="97" t="s">
        <v>631</v>
      </c>
      <c r="Z82" s="95" t="str">
        <f>HYPERLINK("https://twitter.com/jannejuhani1/status/1482407306721693700")</f>
        <v>https://twitter.com/jannejuhani1/status/1482407306721693700</v>
      </c>
      <c r="AA82" s="90"/>
      <c r="AB82" s="90"/>
      <c r="AC82" s="97" t="s">
        <v>872</v>
      </c>
      <c r="AD82" s="90"/>
      <c r="AE82" s="90" t="b">
        <v>0</v>
      </c>
      <c r="AF82" s="90">
        <v>0</v>
      </c>
      <c r="AG82" s="97" t="s">
        <v>1092</v>
      </c>
      <c r="AH82" s="90" t="b">
        <v>0</v>
      </c>
      <c r="AI82" s="90" t="s">
        <v>1127</v>
      </c>
      <c r="AJ82" s="90"/>
      <c r="AK82" s="97" t="s">
        <v>1087</v>
      </c>
      <c r="AL82" s="90" t="b">
        <v>0</v>
      </c>
      <c r="AM82" s="90">
        <v>0</v>
      </c>
      <c r="AN82" s="97" t="s">
        <v>1087</v>
      </c>
      <c r="AO82" s="97" t="s">
        <v>1133</v>
      </c>
      <c r="AP82" s="90" t="b">
        <v>0</v>
      </c>
      <c r="AQ82" s="97" t="s">
        <v>872</v>
      </c>
      <c r="AR82" s="90" t="s">
        <v>178</v>
      </c>
      <c r="AS82" s="90">
        <v>0</v>
      </c>
      <c r="AT82" s="90">
        <v>0</v>
      </c>
      <c r="AU82" s="90"/>
      <c r="AV82" s="90"/>
      <c r="AW82" s="90"/>
      <c r="AX82" s="90"/>
      <c r="AY82" s="90"/>
      <c r="AZ82" s="90"/>
      <c r="BA82" s="90"/>
      <c r="BB82" s="90"/>
      <c r="BC82">
        <v>1</v>
      </c>
      <c r="BD82" s="89" t="str">
        <f>REPLACE(INDEX(GroupVertices[Group],MATCH(Edges[[#This Row],[Vertex 1]],GroupVertices[Vertex],0)),1,1,"")</f>
        <v>3</v>
      </c>
      <c r="BE82" s="89"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5" t="s">
        <v>270</v>
      </c>
      <c r="B83" s="65" t="s">
        <v>425</v>
      </c>
      <c r="C83" s="66" t="s">
        <v>4405</v>
      </c>
      <c r="D83" s="67">
        <v>1</v>
      </c>
      <c r="E83" s="68" t="s">
        <v>132</v>
      </c>
      <c r="F83" s="69">
        <v>32</v>
      </c>
      <c r="G83" s="66" t="s">
        <v>51</v>
      </c>
      <c r="H83" s="70"/>
      <c r="I83" s="71"/>
      <c r="J83" s="71"/>
      <c r="K83" s="35" t="s">
        <v>65</v>
      </c>
      <c r="L83" s="79">
        <v>83</v>
      </c>
      <c r="M83" s="79"/>
      <c r="N83" s="73"/>
      <c r="O83" s="90" t="s">
        <v>449</v>
      </c>
      <c r="P83" s="93">
        <v>44576.659050925926</v>
      </c>
      <c r="Q83" s="90" t="s">
        <v>481</v>
      </c>
      <c r="R83" s="90"/>
      <c r="S83" s="90"/>
      <c r="T83" s="90"/>
      <c r="U83" s="90"/>
      <c r="V83" s="95" t="str">
        <f>HYPERLINK("https://pbs.twimg.com/profile_images/1469228849963712515/HCtD1szP_normal.jpg")</f>
        <v>https://pbs.twimg.com/profile_images/1469228849963712515/HCtD1szP_normal.jpg</v>
      </c>
      <c r="W83" s="93">
        <v>44576.659050925926</v>
      </c>
      <c r="X83" s="102">
        <v>44576</v>
      </c>
      <c r="Y83" s="97" t="s">
        <v>632</v>
      </c>
      <c r="Z83" s="95" t="str">
        <f>HYPERLINK("https://twitter.com/janinadarc7/status/1482379305862762506")</f>
        <v>https://twitter.com/janinadarc7/status/1482379305862762506</v>
      </c>
      <c r="AA83" s="90"/>
      <c r="AB83" s="90"/>
      <c r="AC83" s="97" t="s">
        <v>873</v>
      </c>
      <c r="AD83" s="97" t="s">
        <v>1062</v>
      </c>
      <c r="AE83" s="90" t="b">
        <v>0</v>
      </c>
      <c r="AF83" s="90">
        <v>0</v>
      </c>
      <c r="AG83" s="97" t="s">
        <v>1103</v>
      </c>
      <c r="AH83" s="90" t="b">
        <v>0</v>
      </c>
      <c r="AI83" s="90" t="s">
        <v>1128</v>
      </c>
      <c r="AJ83" s="90"/>
      <c r="AK83" s="97" t="s">
        <v>1087</v>
      </c>
      <c r="AL83" s="90" t="b">
        <v>0</v>
      </c>
      <c r="AM83" s="90">
        <v>0</v>
      </c>
      <c r="AN83" s="97" t="s">
        <v>1087</v>
      </c>
      <c r="AO83" s="97" t="s">
        <v>1134</v>
      </c>
      <c r="AP83" s="90" t="b">
        <v>0</v>
      </c>
      <c r="AQ83" s="97" t="s">
        <v>1062</v>
      </c>
      <c r="AR83" s="90" t="s">
        <v>178</v>
      </c>
      <c r="AS83" s="90">
        <v>0</v>
      </c>
      <c r="AT83" s="90">
        <v>0</v>
      </c>
      <c r="AU83" s="90"/>
      <c r="AV83" s="90"/>
      <c r="AW83" s="90"/>
      <c r="AX83" s="90"/>
      <c r="AY83" s="90"/>
      <c r="AZ83" s="90"/>
      <c r="BA83" s="90"/>
      <c r="BB83" s="90"/>
      <c r="BC83">
        <v>1</v>
      </c>
      <c r="BD83" s="89" t="str">
        <f>REPLACE(INDEX(GroupVertices[Group],MATCH(Edges[[#This Row],[Vertex 1]],GroupVertices[Vertex],0)),1,1,"")</f>
        <v>3</v>
      </c>
      <c r="BE83" s="89" t="str">
        <f>REPLACE(INDEX(GroupVertices[Group],MATCH(Edges[[#This Row],[Vertex 2]],GroupVertices[Vertex],0)),1,1,"")</f>
        <v>3</v>
      </c>
      <c r="BF83" s="49"/>
      <c r="BG83" s="50"/>
      <c r="BH83" s="49"/>
      <c r="BI83" s="50"/>
      <c r="BJ83" s="49"/>
      <c r="BK83" s="50"/>
      <c r="BL83" s="49"/>
      <c r="BM83" s="50"/>
      <c r="BN83" s="49"/>
    </row>
    <row r="84" spans="1:66" ht="15">
      <c r="A84" s="65" t="s">
        <v>270</v>
      </c>
      <c r="B84" s="65" t="s">
        <v>426</v>
      </c>
      <c r="C84" s="66" t="s">
        <v>4405</v>
      </c>
      <c r="D84" s="67">
        <v>1</v>
      </c>
      <c r="E84" s="68" t="s">
        <v>132</v>
      </c>
      <c r="F84" s="69">
        <v>32</v>
      </c>
      <c r="G84" s="66" t="s">
        <v>51</v>
      </c>
      <c r="H84" s="70"/>
      <c r="I84" s="71"/>
      <c r="J84" s="71"/>
      <c r="K84" s="35" t="s">
        <v>65</v>
      </c>
      <c r="L84" s="79">
        <v>84</v>
      </c>
      <c r="M84" s="79"/>
      <c r="N84" s="73"/>
      <c r="O84" s="90" t="s">
        <v>448</v>
      </c>
      <c r="P84" s="93">
        <v>44576.659050925926</v>
      </c>
      <c r="Q84" s="90" t="s">
        <v>481</v>
      </c>
      <c r="R84" s="90"/>
      <c r="S84" s="90"/>
      <c r="T84" s="90"/>
      <c r="U84" s="90"/>
      <c r="V84" s="95" t="str">
        <f>HYPERLINK("https://pbs.twimg.com/profile_images/1469228849963712515/HCtD1szP_normal.jpg")</f>
        <v>https://pbs.twimg.com/profile_images/1469228849963712515/HCtD1szP_normal.jpg</v>
      </c>
      <c r="W84" s="93">
        <v>44576.659050925926</v>
      </c>
      <c r="X84" s="102">
        <v>44576</v>
      </c>
      <c r="Y84" s="97" t="s">
        <v>632</v>
      </c>
      <c r="Z84" s="95" t="str">
        <f>HYPERLINK("https://twitter.com/janinadarc7/status/1482379305862762506")</f>
        <v>https://twitter.com/janinadarc7/status/1482379305862762506</v>
      </c>
      <c r="AA84" s="90"/>
      <c r="AB84" s="90"/>
      <c r="AC84" s="97" t="s">
        <v>873</v>
      </c>
      <c r="AD84" s="97" t="s">
        <v>1062</v>
      </c>
      <c r="AE84" s="90" t="b">
        <v>0</v>
      </c>
      <c r="AF84" s="90">
        <v>0</v>
      </c>
      <c r="AG84" s="97" t="s">
        <v>1103</v>
      </c>
      <c r="AH84" s="90" t="b">
        <v>0</v>
      </c>
      <c r="AI84" s="90" t="s">
        <v>1128</v>
      </c>
      <c r="AJ84" s="90"/>
      <c r="AK84" s="97" t="s">
        <v>1087</v>
      </c>
      <c r="AL84" s="90" t="b">
        <v>0</v>
      </c>
      <c r="AM84" s="90">
        <v>0</v>
      </c>
      <c r="AN84" s="97" t="s">
        <v>1087</v>
      </c>
      <c r="AO84" s="97" t="s">
        <v>1134</v>
      </c>
      <c r="AP84" s="90" t="b">
        <v>0</v>
      </c>
      <c r="AQ84" s="97" t="s">
        <v>1062</v>
      </c>
      <c r="AR84" s="90" t="s">
        <v>178</v>
      </c>
      <c r="AS84" s="90">
        <v>0</v>
      </c>
      <c r="AT84" s="90">
        <v>0</v>
      </c>
      <c r="AU84" s="90"/>
      <c r="AV84" s="90"/>
      <c r="AW84" s="90"/>
      <c r="AX84" s="90"/>
      <c r="AY84" s="90"/>
      <c r="AZ84" s="90"/>
      <c r="BA84" s="90"/>
      <c r="BB84" s="90"/>
      <c r="BC84">
        <v>1</v>
      </c>
      <c r="BD84" s="89" t="str">
        <f>REPLACE(INDEX(GroupVertices[Group],MATCH(Edges[[#This Row],[Vertex 1]],GroupVertices[Vertex],0)),1,1,"")</f>
        <v>3</v>
      </c>
      <c r="BE84" s="89" t="str">
        <f>REPLACE(INDEX(GroupVertices[Group],MATCH(Edges[[#This Row],[Vertex 2]],GroupVertices[Vertex],0)),1,1,"")</f>
        <v>3</v>
      </c>
      <c r="BF84" s="49"/>
      <c r="BG84" s="50"/>
      <c r="BH84" s="49"/>
      <c r="BI84" s="50"/>
      <c r="BJ84" s="49"/>
      <c r="BK84" s="50"/>
      <c r="BL84" s="49"/>
      <c r="BM84" s="50"/>
      <c r="BN84" s="49"/>
    </row>
    <row r="85" spans="1:66" ht="15">
      <c r="A85" s="65" t="s">
        <v>271</v>
      </c>
      <c r="B85" s="65" t="s">
        <v>271</v>
      </c>
      <c r="C85" s="66" t="s">
        <v>4405</v>
      </c>
      <c r="D85" s="67">
        <v>1</v>
      </c>
      <c r="E85" s="68" t="s">
        <v>132</v>
      </c>
      <c r="F85" s="69">
        <v>32</v>
      </c>
      <c r="G85" s="66" t="s">
        <v>51</v>
      </c>
      <c r="H85" s="70"/>
      <c r="I85" s="71"/>
      <c r="J85" s="71"/>
      <c r="K85" s="35" t="s">
        <v>65</v>
      </c>
      <c r="L85" s="79">
        <v>85</v>
      </c>
      <c r="M85" s="79"/>
      <c r="N85" s="73"/>
      <c r="O85" s="90" t="s">
        <v>178</v>
      </c>
      <c r="P85" s="93">
        <v>44576.668703703705</v>
      </c>
      <c r="Q85" s="90" t="s">
        <v>482</v>
      </c>
      <c r="R85" s="95" t="str">
        <f>HYPERLINK("https://www.instagram.com/p/CYtIKCHNv7w/")</f>
        <v>https://www.instagram.com/p/CYtIKCHNv7w/</v>
      </c>
      <c r="S85" s="90" t="s">
        <v>548</v>
      </c>
      <c r="T85" s="97" t="s">
        <v>562</v>
      </c>
      <c r="U85" s="90"/>
      <c r="V85" s="95" t="str">
        <f>HYPERLINK("https://pbs.twimg.com/profile_images/1331636457275084801/Dc8uQQVW_normal.jpg")</f>
        <v>https://pbs.twimg.com/profile_images/1331636457275084801/Dc8uQQVW_normal.jpg</v>
      </c>
      <c r="W85" s="93">
        <v>44576.668703703705</v>
      </c>
      <c r="X85" s="102">
        <v>44576</v>
      </c>
      <c r="Y85" s="97" t="s">
        <v>633</v>
      </c>
      <c r="Z85" s="95" t="str">
        <f>HYPERLINK("https://twitter.com/olliposti/status/1482382805812264961")</f>
        <v>https://twitter.com/olliposti/status/1482382805812264961</v>
      </c>
      <c r="AA85" s="90"/>
      <c r="AB85" s="90"/>
      <c r="AC85" s="97" t="s">
        <v>874</v>
      </c>
      <c r="AD85" s="90"/>
      <c r="AE85" s="90" t="b">
        <v>0</v>
      </c>
      <c r="AF85" s="90">
        <v>59</v>
      </c>
      <c r="AG85" s="97" t="s">
        <v>1087</v>
      </c>
      <c r="AH85" s="90" t="b">
        <v>0</v>
      </c>
      <c r="AI85" s="90" t="s">
        <v>1127</v>
      </c>
      <c r="AJ85" s="90"/>
      <c r="AK85" s="97" t="s">
        <v>1087</v>
      </c>
      <c r="AL85" s="90" t="b">
        <v>0</v>
      </c>
      <c r="AM85" s="90">
        <v>4</v>
      </c>
      <c r="AN85" s="97" t="s">
        <v>1087</v>
      </c>
      <c r="AO85" s="97" t="s">
        <v>1132</v>
      </c>
      <c r="AP85" s="90" t="b">
        <v>0</v>
      </c>
      <c r="AQ85" s="97" t="s">
        <v>874</v>
      </c>
      <c r="AR85" s="90" t="s">
        <v>178</v>
      </c>
      <c r="AS85" s="90">
        <v>0</v>
      </c>
      <c r="AT85" s="90">
        <v>0</v>
      </c>
      <c r="AU85" s="90"/>
      <c r="AV85" s="90"/>
      <c r="AW85" s="90"/>
      <c r="AX85" s="90"/>
      <c r="AY85" s="90"/>
      <c r="AZ85" s="90"/>
      <c r="BA85" s="90"/>
      <c r="BB85" s="90"/>
      <c r="BC85">
        <v>1</v>
      </c>
      <c r="BD85" s="89" t="str">
        <f>REPLACE(INDEX(GroupVertices[Group],MATCH(Edges[[#This Row],[Vertex 1]],GroupVertices[Vertex],0)),1,1,"")</f>
        <v>3</v>
      </c>
      <c r="BE85" s="89" t="str">
        <f>REPLACE(INDEX(GroupVertices[Group],MATCH(Edges[[#This Row],[Vertex 2]],GroupVertices[Vertex],0)),1,1,"")</f>
        <v>3</v>
      </c>
      <c r="BF85" s="49">
        <v>0</v>
      </c>
      <c r="BG85" s="50">
        <v>0</v>
      </c>
      <c r="BH85" s="49">
        <v>0</v>
      </c>
      <c r="BI85" s="50">
        <v>0</v>
      </c>
      <c r="BJ85" s="49">
        <v>0</v>
      </c>
      <c r="BK85" s="50">
        <v>0</v>
      </c>
      <c r="BL85" s="49">
        <v>21</v>
      </c>
      <c r="BM85" s="50">
        <v>100</v>
      </c>
      <c r="BN85" s="49">
        <v>21</v>
      </c>
    </row>
    <row r="86" spans="1:66" ht="15">
      <c r="A86" s="65" t="s">
        <v>270</v>
      </c>
      <c r="B86" s="65" t="s">
        <v>271</v>
      </c>
      <c r="C86" s="66" t="s">
        <v>4405</v>
      </c>
      <c r="D86" s="67">
        <v>1</v>
      </c>
      <c r="E86" s="68" t="s">
        <v>132</v>
      </c>
      <c r="F86" s="69">
        <v>32</v>
      </c>
      <c r="G86" s="66" t="s">
        <v>51</v>
      </c>
      <c r="H86" s="70"/>
      <c r="I86" s="71"/>
      <c r="J86" s="71"/>
      <c r="K86" s="35" t="s">
        <v>65</v>
      </c>
      <c r="L86" s="79">
        <v>86</v>
      </c>
      <c r="M86" s="79"/>
      <c r="N86" s="73"/>
      <c r="O86" s="90" t="s">
        <v>448</v>
      </c>
      <c r="P86" s="93">
        <v>44576.77224537037</v>
      </c>
      <c r="Q86" s="90" t="s">
        <v>483</v>
      </c>
      <c r="R86" s="90"/>
      <c r="S86" s="90"/>
      <c r="T86" s="90"/>
      <c r="U86" s="90"/>
      <c r="V86" s="95" t="str">
        <f>HYPERLINK("https://pbs.twimg.com/profile_images/1469228849963712515/HCtD1szP_normal.jpg")</f>
        <v>https://pbs.twimg.com/profile_images/1469228849963712515/HCtD1szP_normal.jpg</v>
      </c>
      <c r="W86" s="93">
        <v>44576.77224537037</v>
      </c>
      <c r="X86" s="102">
        <v>44576</v>
      </c>
      <c r="Y86" s="97" t="s">
        <v>634</v>
      </c>
      <c r="Z86" s="95" t="str">
        <f>HYPERLINK("https://twitter.com/janinadarc7/status/1482420324973125638")</f>
        <v>https://twitter.com/janinadarc7/status/1482420324973125638</v>
      </c>
      <c r="AA86" s="90"/>
      <c r="AB86" s="90"/>
      <c r="AC86" s="97" t="s">
        <v>875</v>
      </c>
      <c r="AD86" s="97" t="s">
        <v>1063</v>
      </c>
      <c r="AE86" s="90" t="b">
        <v>0</v>
      </c>
      <c r="AF86" s="90">
        <v>0</v>
      </c>
      <c r="AG86" s="97" t="s">
        <v>1104</v>
      </c>
      <c r="AH86" s="90" t="b">
        <v>0</v>
      </c>
      <c r="AI86" s="90" t="s">
        <v>1127</v>
      </c>
      <c r="AJ86" s="90"/>
      <c r="AK86" s="97" t="s">
        <v>1087</v>
      </c>
      <c r="AL86" s="90" t="b">
        <v>0</v>
      </c>
      <c r="AM86" s="90">
        <v>0</v>
      </c>
      <c r="AN86" s="97" t="s">
        <v>1087</v>
      </c>
      <c r="AO86" s="97" t="s">
        <v>1134</v>
      </c>
      <c r="AP86" s="90" t="b">
        <v>0</v>
      </c>
      <c r="AQ86" s="97" t="s">
        <v>1063</v>
      </c>
      <c r="AR86" s="90" t="s">
        <v>178</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v>0</v>
      </c>
      <c r="BG86" s="50">
        <v>0</v>
      </c>
      <c r="BH86" s="49">
        <v>0</v>
      </c>
      <c r="BI86" s="50">
        <v>0</v>
      </c>
      <c r="BJ86" s="49">
        <v>0</v>
      </c>
      <c r="BK86" s="50">
        <v>0</v>
      </c>
      <c r="BL86" s="49">
        <v>31</v>
      </c>
      <c r="BM86" s="50">
        <v>100</v>
      </c>
      <c r="BN86" s="49">
        <v>31</v>
      </c>
    </row>
    <row r="87" spans="1:66" ht="15">
      <c r="A87" s="65" t="s">
        <v>270</v>
      </c>
      <c r="B87" s="65" t="s">
        <v>416</v>
      </c>
      <c r="C87" s="66" t="s">
        <v>4405</v>
      </c>
      <c r="D87" s="67">
        <v>1</v>
      </c>
      <c r="E87" s="68" t="s">
        <v>132</v>
      </c>
      <c r="F87" s="69">
        <v>32</v>
      </c>
      <c r="G87" s="66" t="s">
        <v>51</v>
      </c>
      <c r="H87" s="70"/>
      <c r="I87" s="71"/>
      <c r="J87" s="71"/>
      <c r="K87" s="35" t="s">
        <v>65</v>
      </c>
      <c r="L87" s="79">
        <v>87</v>
      </c>
      <c r="M87" s="79"/>
      <c r="N87" s="73"/>
      <c r="O87" s="90" t="s">
        <v>449</v>
      </c>
      <c r="P87" s="93">
        <v>44576.659050925926</v>
      </c>
      <c r="Q87" s="90" t="s">
        <v>481</v>
      </c>
      <c r="R87" s="90"/>
      <c r="S87" s="90"/>
      <c r="T87" s="90"/>
      <c r="U87" s="90"/>
      <c r="V87" s="95" t="str">
        <f>HYPERLINK("https://pbs.twimg.com/profile_images/1469228849963712515/HCtD1szP_normal.jpg")</f>
        <v>https://pbs.twimg.com/profile_images/1469228849963712515/HCtD1szP_normal.jpg</v>
      </c>
      <c r="W87" s="93">
        <v>44576.659050925926</v>
      </c>
      <c r="X87" s="102">
        <v>44576</v>
      </c>
      <c r="Y87" s="97" t="s">
        <v>632</v>
      </c>
      <c r="Z87" s="95" t="str">
        <f>HYPERLINK("https://twitter.com/janinadarc7/status/1482379305862762506")</f>
        <v>https://twitter.com/janinadarc7/status/1482379305862762506</v>
      </c>
      <c r="AA87" s="90"/>
      <c r="AB87" s="90"/>
      <c r="AC87" s="97" t="s">
        <v>873</v>
      </c>
      <c r="AD87" s="97" t="s">
        <v>1062</v>
      </c>
      <c r="AE87" s="90" t="b">
        <v>0</v>
      </c>
      <c r="AF87" s="90">
        <v>0</v>
      </c>
      <c r="AG87" s="97" t="s">
        <v>1103</v>
      </c>
      <c r="AH87" s="90" t="b">
        <v>0</v>
      </c>
      <c r="AI87" s="90" t="s">
        <v>1128</v>
      </c>
      <c r="AJ87" s="90"/>
      <c r="AK87" s="97" t="s">
        <v>1087</v>
      </c>
      <c r="AL87" s="90" t="b">
        <v>0</v>
      </c>
      <c r="AM87" s="90">
        <v>0</v>
      </c>
      <c r="AN87" s="97" t="s">
        <v>1087</v>
      </c>
      <c r="AO87" s="97" t="s">
        <v>1134</v>
      </c>
      <c r="AP87" s="90" t="b">
        <v>0</v>
      </c>
      <c r="AQ87" s="97" t="s">
        <v>1062</v>
      </c>
      <c r="AR87" s="90" t="s">
        <v>178</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c r="BG87" s="50"/>
      <c r="BH87" s="49"/>
      <c r="BI87" s="50"/>
      <c r="BJ87" s="49"/>
      <c r="BK87" s="50"/>
      <c r="BL87" s="49"/>
      <c r="BM87" s="50"/>
      <c r="BN87" s="49"/>
    </row>
    <row r="88" spans="1:66" ht="15">
      <c r="A88" s="65" t="s">
        <v>270</v>
      </c>
      <c r="B88" s="65" t="s">
        <v>427</v>
      </c>
      <c r="C88" s="66" t="s">
        <v>4405</v>
      </c>
      <c r="D88" s="67">
        <v>1</v>
      </c>
      <c r="E88" s="68" t="s">
        <v>132</v>
      </c>
      <c r="F88" s="69">
        <v>32</v>
      </c>
      <c r="G88" s="66" t="s">
        <v>51</v>
      </c>
      <c r="H88" s="70"/>
      <c r="I88" s="71"/>
      <c r="J88" s="71"/>
      <c r="K88" s="35" t="s">
        <v>65</v>
      </c>
      <c r="L88" s="79">
        <v>88</v>
      </c>
      <c r="M88" s="79"/>
      <c r="N88" s="73"/>
      <c r="O88" s="90" t="s">
        <v>449</v>
      </c>
      <c r="P88" s="93">
        <v>44576.659050925926</v>
      </c>
      <c r="Q88" s="90" t="s">
        <v>481</v>
      </c>
      <c r="R88" s="90"/>
      <c r="S88" s="90"/>
      <c r="T88" s="90"/>
      <c r="U88" s="90"/>
      <c r="V88" s="95" t="str">
        <f>HYPERLINK("https://pbs.twimg.com/profile_images/1469228849963712515/HCtD1szP_normal.jpg")</f>
        <v>https://pbs.twimg.com/profile_images/1469228849963712515/HCtD1szP_normal.jpg</v>
      </c>
      <c r="W88" s="93">
        <v>44576.659050925926</v>
      </c>
      <c r="X88" s="102">
        <v>44576</v>
      </c>
      <c r="Y88" s="97" t="s">
        <v>632</v>
      </c>
      <c r="Z88" s="95" t="str">
        <f>HYPERLINK("https://twitter.com/janinadarc7/status/1482379305862762506")</f>
        <v>https://twitter.com/janinadarc7/status/1482379305862762506</v>
      </c>
      <c r="AA88" s="90"/>
      <c r="AB88" s="90"/>
      <c r="AC88" s="97" t="s">
        <v>873</v>
      </c>
      <c r="AD88" s="97" t="s">
        <v>1062</v>
      </c>
      <c r="AE88" s="90" t="b">
        <v>0</v>
      </c>
      <c r="AF88" s="90">
        <v>0</v>
      </c>
      <c r="AG88" s="97" t="s">
        <v>1103</v>
      </c>
      <c r="AH88" s="90" t="b">
        <v>0</v>
      </c>
      <c r="AI88" s="90" t="s">
        <v>1128</v>
      </c>
      <c r="AJ88" s="90"/>
      <c r="AK88" s="97" t="s">
        <v>1087</v>
      </c>
      <c r="AL88" s="90" t="b">
        <v>0</v>
      </c>
      <c r="AM88" s="90">
        <v>0</v>
      </c>
      <c r="AN88" s="97" t="s">
        <v>1087</v>
      </c>
      <c r="AO88" s="97" t="s">
        <v>1134</v>
      </c>
      <c r="AP88" s="90" t="b">
        <v>0</v>
      </c>
      <c r="AQ88" s="97" t="s">
        <v>1062</v>
      </c>
      <c r="AR88" s="90" t="s">
        <v>178</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0</v>
      </c>
      <c r="BG88" s="50">
        <v>0</v>
      </c>
      <c r="BH88" s="49">
        <v>0</v>
      </c>
      <c r="BI88" s="50">
        <v>0</v>
      </c>
      <c r="BJ88" s="49">
        <v>0</v>
      </c>
      <c r="BK88" s="50">
        <v>0</v>
      </c>
      <c r="BL88" s="49">
        <v>4</v>
      </c>
      <c r="BM88" s="50">
        <v>100</v>
      </c>
      <c r="BN88" s="49">
        <v>4</v>
      </c>
    </row>
    <row r="89" spans="1:66" ht="15">
      <c r="A89" s="65" t="s">
        <v>272</v>
      </c>
      <c r="B89" s="65" t="s">
        <v>423</v>
      </c>
      <c r="C89" s="66" t="s">
        <v>4405</v>
      </c>
      <c r="D89" s="67">
        <v>1</v>
      </c>
      <c r="E89" s="68" t="s">
        <v>132</v>
      </c>
      <c r="F89" s="69">
        <v>32</v>
      </c>
      <c r="G89" s="66" t="s">
        <v>51</v>
      </c>
      <c r="H89" s="70"/>
      <c r="I89" s="71"/>
      <c r="J89" s="71"/>
      <c r="K89" s="35" t="s">
        <v>65</v>
      </c>
      <c r="L89" s="79">
        <v>89</v>
      </c>
      <c r="M89" s="79"/>
      <c r="N89" s="73"/>
      <c r="O89" s="90" t="s">
        <v>448</v>
      </c>
      <c r="P89" s="93">
        <v>44576.64324074074</v>
      </c>
      <c r="Q89" s="90" t="s">
        <v>484</v>
      </c>
      <c r="R89" s="90"/>
      <c r="S89" s="90"/>
      <c r="T89" s="90"/>
      <c r="U89" s="90"/>
      <c r="V89" s="95" t="str">
        <f>HYPERLINK("https://pbs.twimg.com/profile_images/1230669364971610112/Km_WlxYr_normal.jpg")</f>
        <v>https://pbs.twimg.com/profile_images/1230669364971610112/Km_WlxYr_normal.jpg</v>
      </c>
      <c r="W89" s="93">
        <v>44576.64324074074</v>
      </c>
      <c r="X89" s="102">
        <v>44576</v>
      </c>
      <c r="Y89" s="97" t="s">
        <v>635</v>
      </c>
      <c r="Z89" s="95" t="str">
        <f>HYPERLINK("https://twitter.com/tommisiniluoto/status/1482373577433305089")</f>
        <v>https://twitter.com/tommisiniluoto/status/1482373577433305089</v>
      </c>
      <c r="AA89" s="90"/>
      <c r="AB89" s="90"/>
      <c r="AC89" s="97" t="s">
        <v>876</v>
      </c>
      <c r="AD89" s="97" t="s">
        <v>1060</v>
      </c>
      <c r="AE89" s="90" t="b">
        <v>0</v>
      </c>
      <c r="AF89" s="90">
        <v>13</v>
      </c>
      <c r="AG89" s="97" t="s">
        <v>1099</v>
      </c>
      <c r="AH89" s="90" t="b">
        <v>0</v>
      </c>
      <c r="AI89" s="90" t="s">
        <v>1127</v>
      </c>
      <c r="AJ89" s="90"/>
      <c r="AK89" s="97" t="s">
        <v>1087</v>
      </c>
      <c r="AL89" s="90" t="b">
        <v>0</v>
      </c>
      <c r="AM89" s="90">
        <v>0</v>
      </c>
      <c r="AN89" s="97" t="s">
        <v>1087</v>
      </c>
      <c r="AO89" s="97" t="s">
        <v>1132</v>
      </c>
      <c r="AP89" s="90" t="b">
        <v>0</v>
      </c>
      <c r="AQ89" s="97" t="s">
        <v>1060</v>
      </c>
      <c r="AR89" s="90" t="s">
        <v>178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6</v>
      </c>
      <c r="BM89" s="50">
        <v>100</v>
      </c>
      <c r="BN89" s="49">
        <v>6</v>
      </c>
    </row>
    <row r="90" spans="1:66" ht="15">
      <c r="A90" s="65" t="s">
        <v>273</v>
      </c>
      <c r="B90" s="65" t="s">
        <v>384</v>
      </c>
      <c r="C90" s="66" t="s">
        <v>4406</v>
      </c>
      <c r="D90" s="67">
        <v>1</v>
      </c>
      <c r="E90" s="68" t="s">
        <v>132</v>
      </c>
      <c r="F90" s="69">
        <v>32</v>
      </c>
      <c r="G90" s="66" t="s">
        <v>51</v>
      </c>
      <c r="H90" s="70"/>
      <c r="I90" s="71"/>
      <c r="J90" s="71"/>
      <c r="K90" s="35" t="s">
        <v>65</v>
      </c>
      <c r="L90" s="79">
        <v>90</v>
      </c>
      <c r="M90" s="79"/>
      <c r="N90" s="73"/>
      <c r="O90" s="90" t="s">
        <v>448</v>
      </c>
      <c r="P90" s="93">
        <v>44575.664618055554</v>
      </c>
      <c r="Q90" s="90" t="s">
        <v>465</v>
      </c>
      <c r="R90" s="90"/>
      <c r="S90" s="90"/>
      <c r="T90" s="97" t="s">
        <v>556</v>
      </c>
      <c r="U90" s="95" t="str">
        <f>HYPERLINK("https://pbs.twimg.com/media/FJEwXfZXoAIAH0t.jpg")</f>
        <v>https://pbs.twimg.com/media/FJEwXfZXoAIAH0t.jpg</v>
      </c>
      <c r="V90" s="95" t="str">
        <f>HYPERLINK("https://pbs.twimg.com/media/FJEwXfZXoAIAH0t.jpg")</f>
        <v>https://pbs.twimg.com/media/FJEwXfZXoAIAH0t.jpg</v>
      </c>
      <c r="W90" s="93">
        <v>44575.664618055554</v>
      </c>
      <c r="X90" s="102">
        <v>44575</v>
      </c>
      <c r="Y90" s="97" t="s">
        <v>636</v>
      </c>
      <c r="Z90" s="95" t="str">
        <f>HYPERLINK("https://twitter.com/tolonensari/status/1482018937218949127")</f>
        <v>https://twitter.com/tolonensari/status/1482018937218949127</v>
      </c>
      <c r="AA90" s="90"/>
      <c r="AB90" s="90"/>
      <c r="AC90" s="97" t="s">
        <v>877</v>
      </c>
      <c r="AD90" s="97" t="s">
        <v>1022</v>
      </c>
      <c r="AE90" s="90" t="b">
        <v>0</v>
      </c>
      <c r="AF90" s="90">
        <v>61</v>
      </c>
      <c r="AG90" s="97" t="s">
        <v>1089</v>
      </c>
      <c r="AH90" s="90" t="b">
        <v>0</v>
      </c>
      <c r="AI90" s="90" t="s">
        <v>1127</v>
      </c>
      <c r="AJ90" s="90"/>
      <c r="AK90" s="97" t="s">
        <v>1087</v>
      </c>
      <c r="AL90" s="90" t="b">
        <v>0</v>
      </c>
      <c r="AM90" s="90">
        <v>3</v>
      </c>
      <c r="AN90" s="97" t="s">
        <v>1087</v>
      </c>
      <c r="AO90" s="97" t="s">
        <v>1134</v>
      </c>
      <c r="AP90" s="90" t="b">
        <v>0</v>
      </c>
      <c r="AQ90" s="97" t="s">
        <v>1022</v>
      </c>
      <c r="AR90" s="90" t="s">
        <v>178</v>
      </c>
      <c r="AS90" s="90">
        <v>0</v>
      </c>
      <c r="AT90" s="90">
        <v>0</v>
      </c>
      <c r="AU90" s="90"/>
      <c r="AV90" s="90"/>
      <c r="AW90" s="90"/>
      <c r="AX90" s="90"/>
      <c r="AY90" s="90"/>
      <c r="AZ90" s="90"/>
      <c r="BA90" s="90"/>
      <c r="BB90" s="90"/>
      <c r="BC90">
        <v>2</v>
      </c>
      <c r="BD90" s="89" t="str">
        <f>REPLACE(INDEX(GroupVertices[Group],MATCH(Edges[[#This Row],[Vertex 1]],GroupVertices[Vertex],0)),1,1,"")</f>
        <v>2</v>
      </c>
      <c r="BE90" s="89" t="str">
        <f>REPLACE(INDEX(GroupVertices[Group],MATCH(Edges[[#This Row],[Vertex 2]],GroupVertices[Vertex],0)),1,1,"")</f>
        <v>2</v>
      </c>
      <c r="BF90" s="49">
        <v>0</v>
      </c>
      <c r="BG90" s="50">
        <v>0</v>
      </c>
      <c r="BH90" s="49">
        <v>0</v>
      </c>
      <c r="BI90" s="50">
        <v>0</v>
      </c>
      <c r="BJ90" s="49">
        <v>0</v>
      </c>
      <c r="BK90" s="50">
        <v>0</v>
      </c>
      <c r="BL90" s="49">
        <v>38</v>
      </c>
      <c r="BM90" s="50">
        <v>100</v>
      </c>
      <c r="BN90" s="49">
        <v>38</v>
      </c>
    </row>
    <row r="91" spans="1:66" ht="15">
      <c r="A91" s="65" t="s">
        <v>273</v>
      </c>
      <c r="B91" s="65" t="s">
        <v>420</v>
      </c>
      <c r="C91" s="66" t="s">
        <v>4405</v>
      </c>
      <c r="D91" s="67">
        <v>1</v>
      </c>
      <c r="E91" s="68" t="s">
        <v>132</v>
      </c>
      <c r="F91" s="69">
        <v>32</v>
      </c>
      <c r="G91" s="66" t="s">
        <v>51</v>
      </c>
      <c r="H91" s="70"/>
      <c r="I91" s="71"/>
      <c r="J91" s="71"/>
      <c r="K91" s="35" t="s">
        <v>65</v>
      </c>
      <c r="L91" s="79">
        <v>91</v>
      </c>
      <c r="M91" s="79"/>
      <c r="N91" s="73"/>
      <c r="O91" s="90" t="s">
        <v>449</v>
      </c>
      <c r="P91" s="93">
        <v>44575.88818287037</v>
      </c>
      <c r="Q91" s="90" t="s">
        <v>464</v>
      </c>
      <c r="R91" s="90"/>
      <c r="S91" s="90"/>
      <c r="T91" s="97" t="s">
        <v>558</v>
      </c>
      <c r="U91" s="95" t="str">
        <f>HYPERLINK("https://pbs.twimg.com/media/FJF6DM-XsAIGpDI.jpg")</f>
        <v>https://pbs.twimg.com/media/FJF6DM-XsAIGpDI.jpg</v>
      </c>
      <c r="V91" s="95" t="str">
        <f>HYPERLINK("https://pbs.twimg.com/media/FJF6DM-XsAIGpDI.jpg")</f>
        <v>https://pbs.twimg.com/media/FJF6DM-XsAIGpDI.jpg</v>
      </c>
      <c r="W91" s="93">
        <v>44575.88818287037</v>
      </c>
      <c r="X91" s="102">
        <v>44575</v>
      </c>
      <c r="Y91" s="97" t="s">
        <v>637</v>
      </c>
      <c r="Z91" s="95" t="str">
        <f>HYPERLINK("https://twitter.com/tolonensari/status/1482099953988247564")</f>
        <v>https://twitter.com/tolonensari/status/1482099953988247564</v>
      </c>
      <c r="AA91" s="90"/>
      <c r="AB91" s="90"/>
      <c r="AC91" s="97" t="s">
        <v>878</v>
      </c>
      <c r="AD91" s="97" t="s">
        <v>877</v>
      </c>
      <c r="AE91" s="90" t="b">
        <v>0</v>
      </c>
      <c r="AF91" s="90">
        <v>28</v>
      </c>
      <c r="AG91" s="97" t="s">
        <v>1105</v>
      </c>
      <c r="AH91" s="90" t="b">
        <v>0</v>
      </c>
      <c r="AI91" s="90" t="s">
        <v>1127</v>
      </c>
      <c r="AJ91" s="90"/>
      <c r="AK91" s="97" t="s">
        <v>1087</v>
      </c>
      <c r="AL91" s="90" t="b">
        <v>0</v>
      </c>
      <c r="AM91" s="90">
        <v>2</v>
      </c>
      <c r="AN91" s="97" t="s">
        <v>1087</v>
      </c>
      <c r="AO91" s="97" t="s">
        <v>1134</v>
      </c>
      <c r="AP91" s="90" t="b">
        <v>0</v>
      </c>
      <c r="AQ91" s="97" t="s">
        <v>877</v>
      </c>
      <c r="AR91" s="90" t="s">
        <v>178</v>
      </c>
      <c r="AS91" s="90">
        <v>0</v>
      </c>
      <c r="AT91" s="90">
        <v>0</v>
      </c>
      <c r="AU91" s="90"/>
      <c r="AV91" s="90"/>
      <c r="AW91" s="90"/>
      <c r="AX91" s="90"/>
      <c r="AY91" s="90"/>
      <c r="AZ91" s="90"/>
      <c r="BA91" s="90"/>
      <c r="BB91" s="90"/>
      <c r="BC91">
        <v>1</v>
      </c>
      <c r="BD91" s="89" t="str">
        <f>REPLACE(INDEX(GroupVertices[Group],MATCH(Edges[[#This Row],[Vertex 1]],GroupVertices[Vertex],0)),1,1,"")</f>
        <v>2</v>
      </c>
      <c r="BE91" s="89" t="str">
        <f>REPLACE(INDEX(GroupVertices[Group],MATCH(Edges[[#This Row],[Vertex 2]],GroupVertices[Vertex],0)),1,1,"")</f>
        <v>2</v>
      </c>
      <c r="BF91" s="49"/>
      <c r="BG91" s="50"/>
      <c r="BH91" s="49"/>
      <c r="BI91" s="50"/>
      <c r="BJ91" s="49"/>
      <c r="BK91" s="50"/>
      <c r="BL91" s="49"/>
      <c r="BM91" s="50"/>
      <c r="BN91" s="49"/>
    </row>
    <row r="92" spans="1:66" ht="15">
      <c r="A92" s="65" t="s">
        <v>273</v>
      </c>
      <c r="B92" s="65" t="s">
        <v>384</v>
      </c>
      <c r="C92" s="66" t="s">
        <v>4406</v>
      </c>
      <c r="D92" s="67">
        <v>1</v>
      </c>
      <c r="E92" s="68" t="s">
        <v>132</v>
      </c>
      <c r="F92" s="69">
        <v>32</v>
      </c>
      <c r="G92" s="66" t="s">
        <v>51</v>
      </c>
      <c r="H92" s="70"/>
      <c r="I92" s="71"/>
      <c r="J92" s="71"/>
      <c r="K92" s="35" t="s">
        <v>65</v>
      </c>
      <c r="L92" s="79">
        <v>92</v>
      </c>
      <c r="M92" s="79"/>
      <c r="N92" s="73"/>
      <c r="O92" s="90" t="s">
        <v>448</v>
      </c>
      <c r="P92" s="93">
        <v>44575.88818287037</v>
      </c>
      <c r="Q92" s="90" t="s">
        <v>464</v>
      </c>
      <c r="R92" s="90"/>
      <c r="S92" s="90"/>
      <c r="T92" s="97" t="s">
        <v>558</v>
      </c>
      <c r="U92" s="95" t="str">
        <f>HYPERLINK("https://pbs.twimg.com/media/FJF6DM-XsAIGpDI.jpg")</f>
        <v>https://pbs.twimg.com/media/FJF6DM-XsAIGpDI.jpg</v>
      </c>
      <c r="V92" s="95" t="str">
        <f>HYPERLINK("https://pbs.twimg.com/media/FJF6DM-XsAIGpDI.jpg")</f>
        <v>https://pbs.twimg.com/media/FJF6DM-XsAIGpDI.jpg</v>
      </c>
      <c r="W92" s="93">
        <v>44575.88818287037</v>
      </c>
      <c r="X92" s="102">
        <v>44575</v>
      </c>
      <c r="Y92" s="97" t="s">
        <v>637</v>
      </c>
      <c r="Z92" s="95" t="str">
        <f>HYPERLINK("https://twitter.com/tolonensari/status/1482099953988247564")</f>
        <v>https://twitter.com/tolonensari/status/1482099953988247564</v>
      </c>
      <c r="AA92" s="90"/>
      <c r="AB92" s="90"/>
      <c r="AC92" s="97" t="s">
        <v>878</v>
      </c>
      <c r="AD92" s="97" t="s">
        <v>877</v>
      </c>
      <c r="AE92" s="90" t="b">
        <v>0</v>
      </c>
      <c r="AF92" s="90">
        <v>28</v>
      </c>
      <c r="AG92" s="97" t="s">
        <v>1105</v>
      </c>
      <c r="AH92" s="90" t="b">
        <v>0</v>
      </c>
      <c r="AI92" s="90" t="s">
        <v>1127</v>
      </c>
      <c r="AJ92" s="90"/>
      <c r="AK92" s="97" t="s">
        <v>1087</v>
      </c>
      <c r="AL92" s="90" t="b">
        <v>0</v>
      </c>
      <c r="AM92" s="90">
        <v>2</v>
      </c>
      <c r="AN92" s="97" t="s">
        <v>1087</v>
      </c>
      <c r="AO92" s="97" t="s">
        <v>1134</v>
      </c>
      <c r="AP92" s="90" t="b">
        <v>0</v>
      </c>
      <c r="AQ92" s="97" t="s">
        <v>877</v>
      </c>
      <c r="AR92" s="90" t="s">
        <v>178</v>
      </c>
      <c r="AS92" s="90">
        <v>0</v>
      </c>
      <c r="AT92" s="90">
        <v>0</v>
      </c>
      <c r="AU92" s="90"/>
      <c r="AV92" s="90"/>
      <c r="AW92" s="90"/>
      <c r="AX92" s="90"/>
      <c r="AY92" s="90"/>
      <c r="AZ92" s="90"/>
      <c r="BA92" s="90"/>
      <c r="BB92" s="90"/>
      <c r="BC92">
        <v>2</v>
      </c>
      <c r="BD92" s="89" t="str">
        <f>REPLACE(INDEX(GroupVertices[Group],MATCH(Edges[[#This Row],[Vertex 1]],GroupVertices[Vertex],0)),1,1,"")</f>
        <v>2</v>
      </c>
      <c r="BE92" s="89" t="str">
        <f>REPLACE(INDEX(GroupVertices[Group],MATCH(Edges[[#This Row],[Vertex 2]],GroupVertices[Vertex],0)),1,1,"")</f>
        <v>2</v>
      </c>
      <c r="BF92" s="49">
        <v>0</v>
      </c>
      <c r="BG92" s="50">
        <v>0</v>
      </c>
      <c r="BH92" s="49">
        <v>0</v>
      </c>
      <c r="BI92" s="50">
        <v>0</v>
      </c>
      <c r="BJ92" s="49">
        <v>0</v>
      </c>
      <c r="BK92" s="50">
        <v>0</v>
      </c>
      <c r="BL92" s="49">
        <v>9</v>
      </c>
      <c r="BM92" s="50">
        <v>100</v>
      </c>
      <c r="BN92" s="49">
        <v>9</v>
      </c>
    </row>
    <row r="93" spans="1:66" ht="15">
      <c r="A93" s="65" t="s">
        <v>273</v>
      </c>
      <c r="B93" s="65" t="s">
        <v>333</v>
      </c>
      <c r="C93" s="66" t="s">
        <v>4405</v>
      </c>
      <c r="D93" s="67">
        <v>1</v>
      </c>
      <c r="E93" s="68" t="s">
        <v>132</v>
      </c>
      <c r="F93" s="69">
        <v>32</v>
      </c>
      <c r="G93" s="66" t="s">
        <v>51</v>
      </c>
      <c r="H93" s="70"/>
      <c r="I93" s="71"/>
      <c r="J93" s="71"/>
      <c r="K93" s="35" t="s">
        <v>65</v>
      </c>
      <c r="L93" s="79">
        <v>93</v>
      </c>
      <c r="M93" s="79"/>
      <c r="N93" s="73"/>
      <c r="O93" s="90" t="s">
        <v>448</v>
      </c>
      <c r="P93" s="93">
        <v>44576.73186342593</v>
      </c>
      <c r="Q93" s="90" t="s">
        <v>485</v>
      </c>
      <c r="R93" s="90"/>
      <c r="S93" s="90"/>
      <c r="T93" s="97" t="s">
        <v>556</v>
      </c>
      <c r="U93" s="90"/>
      <c r="V93" s="95" t="str">
        <f>HYPERLINK("https://pbs.twimg.com/profile_images/1467047380168187905/-_EXN5Eq_normal.jpg")</f>
        <v>https://pbs.twimg.com/profile_images/1467047380168187905/-_EXN5Eq_normal.jpg</v>
      </c>
      <c r="W93" s="93">
        <v>44576.73186342593</v>
      </c>
      <c r="X93" s="102">
        <v>44576</v>
      </c>
      <c r="Y93" s="97" t="s">
        <v>638</v>
      </c>
      <c r="Z93" s="95" t="str">
        <f>HYPERLINK("https://twitter.com/tolonensari/status/1482405691059056642")</f>
        <v>https://twitter.com/tolonensari/status/1482405691059056642</v>
      </c>
      <c r="AA93" s="90"/>
      <c r="AB93" s="90"/>
      <c r="AC93" s="97" t="s">
        <v>879</v>
      </c>
      <c r="AD93" s="97" t="s">
        <v>1064</v>
      </c>
      <c r="AE93" s="90" t="b">
        <v>0</v>
      </c>
      <c r="AF93" s="90">
        <v>0</v>
      </c>
      <c r="AG93" s="97" t="s">
        <v>1106</v>
      </c>
      <c r="AH93" s="90" t="b">
        <v>0</v>
      </c>
      <c r="AI93" s="90" t="s">
        <v>1127</v>
      </c>
      <c r="AJ93" s="90"/>
      <c r="AK93" s="97" t="s">
        <v>1087</v>
      </c>
      <c r="AL93" s="90" t="b">
        <v>0</v>
      </c>
      <c r="AM93" s="90">
        <v>0</v>
      </c>
      <c r="AN93" s="97" t="s">
        <v>1087</v>
      </c>
      <c r="AO93" s="97" t="s">
        <v>1134</v>
      </c>
      <c r="AP93" s="90" t="b">
        <v>0</v>
      </c>
      <c r="AQ93" s="97" t="s">
        <v>1064</v>
      </c>
      <c r="AR93" s="90" t="s">
        <v>178</v>
      </c>
      <c r="AS93" s="90">
        <v>0</v>
      </c>
      <c r="AT93" s="90">
        <v>0</v>
      </c>
      <c r="AU93" s="90"/>
      <c r="AV93" s="90"/>
      <c r="AW93" s="90"/>
      <c r="AX93" s="90"/>
      <c r="AY93" s="90"/>
      <c r="AZ93" s="90"/>
      <c r="BA93" s="90"/>
      <c r="BB93" s="90"/>
      <c r="BC93">
        <v>1</v>
      </c>
      <c r="BD93" s="89" t="str">
        <f>REPLACE(INDEX(GroupVertices[Group],MATCH(Edges[[#This Row],[Vertex 1]],GroupVertices[Vertex],0)),1,1,"")</f>
        <v>2</v>
      </c>
      <c r="BE93" s="89" t="str">
        <f>REPLACE(INDEX(GroupVertices[Group],MATCH(Edges[[#This Row],[Vertex 2]],GroupVertices[Vertex],0)),1,1,"")</f>
        <v>6</v>
      </c>
      <c r="BF93" s="49">
        <v>0</v>
      </c>
      <c r="BG93" s="50">
        <v>0</v>
      </c>
      <c r="BH93" s="49">
        <v>0</v>
      </c>
      <c r="BI93" s="50">
        <v>0</v>
      </c>
      <c r="BJ93" s="49">
        <v>0</v>
      </c>
      <c r="BK93" s="50">
        <v>0</v>
      </c>
      <c r="BL93" s="49">
        <v>20</v>
      </c>
      <c r="BM93" s="50">
        <v>100</v>
      </c>
      <c r="BN93" s="49">
        <v>20</v>
      </c>
    </row>
    <row r="94" spans="1:66" ht="15">
      <c r="A94" s="65" t="s">
        <v>272</v>
      </c>
      <c r="B94" s="65" t="s">
        <v>273</v>
      </c>
      <c r="C94" s="66" t="s">
        <v>4405</v>
      </c>
      <c r="D94" s="67">
        <v>1</v>
      </c>
      <c r="E94" s="68" t="s">
        <v>132</v>
      </c>
      <c r="F94" s="69">
        <v>32</v>
      </c>
      <c r="G94" s="66" t="s">
        <v>51</v>
      </c>
      <c r="H94" s="70"/>
      <c r="I94" s="71"/>
      <c r="J94" s="71"/>
      <c r="K94" s="35" t="s">
        <v>65</v>
      </c>
      <c r="L94" s="79">
        <v>94</v>
      </c>
      <c r="M94" s="79"/>
      <c r="N94" s="73"/>
      <c r="O94" s="90" t="s">
        <v>447</v>
      </c>
      <c r="P94" s="93">
        <v>44576.775347222225</v>
      </c>
      <c r="Q94" s="90" t="s">
        <v>465</v>
      </c>
      <c r="R94" s="90"/>
      <c r="S94" s="90"/>
      <c r="T94" s="97" t="s">
        <v>556</v>
      </c>
      <c r="U94" s="95" t="str">
        <f>HYPERLINK("https://pbs.twimg.com/media/FJEwXfZXoAIAH0t.jpg")</f>
        <v>https://pbs.twimg.com/media/FJEwXfZXoAIAH0t.jpg</v>
      </c>
      <c r="V94" s="95" t="str">
        <f>HYPERLINK("https://pbs.twimg.com/media/FJEwXfZXoAIAH0t.jpg")</f>
        <v>https://pbs.twimg.com/media/FJEwXfZXoAIAH0t.jpg</v>
      </c>
      <c r="W94" s="93">
        <v>44576.775347222225</v>
      </c>
      <c r="X94" s="102">
        <v>44576</v>
      </c>
      <c r="Y94" s="97" t="s">
        <v>639</v>
      </c>
      <c r="Z94" s="95" t="str">
        <f>HYPERLINK("https://twitter.com/tommisiniluoto/status/1482421451433070597")</f>
        <v>https://twitter.com/tommisiniluoto/status/1482421451433070597</v>
      </c>
      <c r="AA94" s="90"/>
      <c r="AB94" s="90"/>
      <c r="AC94" s="97" t="s">
        <v>880</v>
      </c>
      <c r="AD94" s="90"/>
      <c r="AE94" s="90" t="b">
        <v>0</v>
      </c>
      <c r="AF94" s="90">
        <v>0</v>
      </c>
      <c r="AG94" s="97" t="s">
        <v>1087</v>
      </c>
      <c r="AH94" s="90" t="b">
        <v>0</v>
      </c>
      <c r="AI94" s="90" t="s">
        <v>1127</v>
      </c>
      <c r="AJ94" s="90"/>
      <c r="AK94" s="97" t="s">
        <v>1087</v>
      </c>
      <c r="AL94" s="90" t="b">
        <v>0</v>
      </c>
      <c r="AM94" s="90">
        <v>3</v>
      </c>
      <c r="AN94" s="97" t="s">
        <v>877</v>
      </c>
      <c r="AO94" s="97" t="s">
        <v>1132</v>
      </c>
      <c r="AP94" s="90" t="b">
        <v>0</v>
      </c>
      <c r="AQ94" s="97" t="s">
        <v>877</v>
      </c>
      <c r="AR94" s="90" t="s">
        <v>178</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c r="BG94" s="50"/>
      <c r="BH94" s="49"/>
      <c r="BI94" s="50"/>
      <c r="BJ94" s="49"/>
      <c r="BK94" s="50"/>
      <c r="BL94" s="49"/>
      <c r="BM94" s="50"/>
      <c r="BN94" s="49"/>
    </row>
    <row r="95" spans="1:66" ht="15">
      <c r="A95" s="65" t="s">
        <v>272</v>
      </c>
      <c r="B95" s="65" t="s">
        <v>384</v>
      </c>
      <c r="C95" s="66" t="s">
        <v>4405</v>
      </c>
      <c r="D95" s="67">
        <v>1</v>
      </c>
      <c r="E95" s="68" t="s">
        <v>132</v>
      </c>
      <c r="F95" s="69">
        <v>32</v>
      </c>
      <c r="G95" s="66" t="s">
        <v>51</v>
      </c>
      <c r="H95" s="70"/>
      <c r="I95" s="71"/>
      <c r="J95" s="71"/>
      <c r="K95" s="35" t="s">
        <v>65</v>
      </c>
      <c r="L95" s="79">
        <v>95</v>
      </c>
      <c r="M95" s="79"/>
      <c r="N95" s="73"/>
      <c r="O95" s="90" t="s">
        <v>448</v>
      </c>
      <c r="P95" s="93">
        <v>44576.775347222225</v>
      </c>
      <c r="Q95" s="90" t="s">
        <v>465</v>
      </c>
      <c r="R95" s="90"/>
      <c r="S95" s="90"/>
      <c r="T95" s="97" t="s">
        <v>556</v>
      </c>
      <c r="U95" s="95" t="str">
        <f>HYPERLINK("https://pbs.twimg.com/media/FJEwXfZXoAIAH0t.jpg")</f>
        <v>https://pbs.twimg.com/media/FJEwXfZXoAIAH0t.jpg</v>
      </c>
      <c r="V95" s="95" t="str">
        <f>HYPERLINK("https://pbs.twimg.com/media/FJEwXfZXoAIAH0t.jpg")</f>
        <v>https://pbs.twimg.com/media/FJEwXfZXoAIAH0t.jpg</v>
      </c>
      <c r="W95" s="93">
        <v>44576.775347222225</v>
      </c>
      <c r="X95" s="102">
        <v>44576</v>
      </c>
      <c r="Y95" s="97" t="s">
        <v>639</v>
      </c>
      <c r="Z95" s="95" t="str">
        <f>HYPERLINK("https://twitter.com/tommisiniluoto/status/1482421451433070597")</f>
        <v>https://twitter.com/tommisiniluoto/status/1482421451433070597</v>
      </c>
      <c r="AA95" s="90"/>
      <c r="AB95" s="90"/>
      <c r="AC95" s="97" t="s">
        <v>880</v>
      </c>
      <c r="AD95" s="90"/>
      <c r="AE95" s="90" t="b">
        <v>0</v>
      </c>
      <c r="AF95" s="90">
        <v>0</v>
      </c>
      <c r="AG95" s="97" t="s">
        <v>1087</v>
      </c>
      <c r="AH95" s="90" t="b">
        <v>0</v>
      </c>
      <c r="AI95" s="90" t="s">
        <v>1127</v>
      </c>
      <c r="AJ95" s="90"/>
      <c r="AK95" s="97" t="s">
        <v>1087</v>
      </c>
      <c r="AL95" s="90" t="b">
        <v>0</v>
      </c>
      <c r="AM95" s="90">
        <v>3</v>
      </c>
      <c r="AN95" s="97" t="s">
        <v>877</v>
      </c>
      <c r="AO95" s="97" t="s">
        <v>1132</v>
      </c>
      <c r="AP95" s="90" t="b">
        <v>0</v>
      </c>
      <c r="AQ95" s="97" t="s">
        <v>877</v>
      </c>
      <c r="AR95" s="90" t="s">
        <v>178</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38</v>
      </c>
      <c r="BM95" s="50">
        <v>100</v>
      </c>
      <c r="BN95" s="49">
        <v>38</v>
      </c>
    </row>
    <row r="96" spans="1:66" ht="15">
      <c r="A96" s="65" t="s">
        <v>274</v>
      </c>
      <c r="B96" s="65" t="s">
        <v>428</v>
      </c>
      <c r="C96" s="66" t="s">
        <v>4405</v>
      </c>
      <c r="D96" s="67">
        <v>1</v>
      </c>
      <c r="E96" s="68" t="s">
        <v>132</v>
      </c>
      <c r="F96" s="69">
        <v>32</v>
      </c>
      <c r="G96" s="66" t="s">
        <v>51</v>
      </c>
      <c r="H96" s="70"/>
      <c r="I96" s="71"/>
      <c r="J96" s="71"/>
      <c r="K96" s="35" t="s">
        <v>65</v>
      </c>
      <c r="L96" s="79">
        <v>96</v>
      </c>
      <c r="M96" s="79"/>
      <c r="N96" s="73"/>
      <c r="O96" s="90" t="s">
        <v>448</v>
      </c>
      <c r="P96" s="93">
        <v>44576.78900462963</v>
      </c>
      <c r="Q96" s="90" t="s">
        <v>486</v>
      </c>
      <c r="R96" s="90"/>
      <c r="S96" s="90"/>
      <c r="T96" s="90"/>
      <c r="U96" s="90"/>
      <c r="V96" s="95" t="str">
        <f>HYPERLINK("https://pbs.twimg.com/profile_images/1468659630758928391/jF7j6mLc_normal.jpg")</f>
        <v>https://pbs.twimg.com/profile_images/1468659630758928391/jF7j6mLc_normal.jpg</v>
      </c>
      <c r="W96" s="93">
        <v>44576.78900462963</v>
      </c>
      <c r="X96" s="102">
        <v>44576</v>
      </c>
      <c r="Y96" s="97" t="s">
        <v>640</v>
      </c>
      <c r="Z96" s="95" t="str">
        <f>HYPERLINK("https://twitter.com/elssa_12345678/status/1482426398253932544")</f>
        <v>https://twitter.com/elssa_12345678/status/1482426398253932544</v>
      </c>
      <c r="AA96" s="90"/>
      <c r="AB96" s="90"/>
      <c r="AC96" s="97" t="s">
        <v>881</v>
      </c>
      <c r="AD96" s="97" t="s">
        <v>1065</v>
      </c>
      <c r="AE96" s="90" t="b">
        <v>0</v>
      </c>
      <c r="AF96" s="90">
        <v>1</v>
      </c>
      <c r="AG96" s="97" t="s">
        <v>1107</v>
      </c>
      <c r="AH96" s="90" t="b">
        <v>0</v>
      </c>
      <c r="AI96" s="90" t="s">
        <v>1129</v>
      </c>
      <c r="AJ96" s="90"/>
      <c r="AK96" s="97" t="s">
        <v>1087</v>
      </c>
      <c r="AL96" s="90" t="b">
        <v>0</v>
      </c>
      <c r="AM96" s="90">
        <v>0</v>
      </c>
      <c r="AN96" s="97" t="s">
        <v>1087</v>
      </c>
      <c r="AO96" s="97" t="s">
        <v>1133</v>
      </c>
      <c r="AP96" s="90" t="b">
        <v>0</v>
      </c>
      <c r="AQ96" s="97" t="s">
        <v>1065</v>
      </c>
      <c r="AR96" s="90" t="s">
        <v>178</v>
      </c>
      <c r="AS96" s="90">
        <v>0</v>
      </c>
      <c r="AT96" s="90">
        <v>0</v>
      </c>
      <c r="AU96" s="90"/>
      <c r="AV96" s="90"/>
      <c r="AW96" s="90"/>
      <c r="AX96" s="90"/>
      <c r="AY96" s="90"/>
      <c r="AZ96" s="90"/>
      <c r="BA96" s="90"/>
      <c r="BB96" s="90"/>
      <c r="BC96">
        <v>1</v>
      </c>
      <c r="BD96" s="89" t="str">
        <f>REPLACE(INDEX(GroupVertices[Group],MATCH(Edges[[#This Row],[Vertex 1]],GroupVertices[Vertex],0)),1,1,"")</f>
        <v>13</v>
      </c>
      <c r="BE96" s="89" t="str">
        <f>REPLACE(INDEX(GroupVertices[Group],MATCH(Edges[[#This Row],[Vertex 2]],GroupVertices[Vertex],0)),1,1,"")</f>
        <v>13</v>
      </c>
      <c r="BF96" s="49">
        <v>0</v>
      </c>
      <c r="BG96" s="50">
        <v>0</v>
      </c>
      <c r="BH96" s="49">
        <v>0</v>
      </c>
      <c r="BI96" s="50">
        <v>0</v>
      </c>
      <c r="BJ96" s="49">
        <v>0</v>
      </c>
      <c r="BK96" s="50">
        <v>0</v>
      </c>
      <c r="BL96" s="49">
        <v>4</v>
      </c>
      <c r="BM96" s="50">
        <v>100</v>
      </c>
      <c r="BN96" s="49">
        <v>4</v>
      </c>
    </row>
    <row r="97" spans="1:66" ht="15">
      <c r="A97" s="65" t="s">
        <v>275</v>
      </c>
      <c r="B97" s="65" t="s">
        <v>275</v>
      </c>
      <c r="C97" s="66" t="s">
        <v>4405</v>
      </c>
      <c r="D97" s="67">
        <v>1</v>
      </c>
      <c r="E97" s="68" t="s">
        <v>132</v>
      </c>
      <c r="F97" s="69">
        <v>32</v>
      </c>
      <c r="G97" s="66" t="s">
        <v>51</v>
      </c>
      <c r="H97" s="70"/>
      <c r="I97" s="71"/>
      <c r="J97" s="71"/>
      <c r="K97" s="35" t="s">
        <v>65</v>
      </c>
      <c r="L97" s="79">
        <v>97</v>
      </c>
      <c r="M97" s="79"/>
      <c r="N97" s="73"/>
      <c r="O97" s="90" t="s">
        <v>178</v>
      </c>
      <c r="P97" s="93">
        <v>44576.80263888889</v>
      </c>
      <c r="Q97" s="90" t="s">
        <v>487</v>
      </c>
      <c r="R97" s="90"/>
      <c r="S97" s="90"/>
      <c r="T97" s="97" t="s">
        <v>563</v>
      </c>
      <c r="U97" s="90"/>
      <c r="V97" s="95" t="str">
        <f>HYPERLINK("https://pbs.twimg.com/profile_images/1212250994811248640/V-7GC-WB_normal.jpg")</f>
        <v>https://pbs.twimg.com/profile_images/1212250994811248640/V-7GC-WB_normal.jpg</v>
      </c>
      <c r="W97" s="93">
        <v>44576.80263888889</v>
      </c>
      <c r="X97" s="102">
        <v>44576</v>
      </c>
      <c r="Y97" s="97" t="s">
        <v>641</v>
      </c>
      <c r="Z97" s="95" t="str">
        <f>HYPERLINK("https://twitter.com/sammysojiggy/status/1482431339517431811")</f>
        <v>https://twitter.com/sammysojiggy/status/1482431339517431811</v>
      </c>
      <c r="AA97" s="90"/>
      <c r="AB97" s="90"/>
      <c r="AC97" s="97" t="s">
        <v>882</v>
      </c>
      <c r="AD97" s="90"/>
      <c r="AE97" s="90" t="b">
        <v>0</v>
      </c>
      <c r="AF97" s="90">
        <v>2</v>
      </c>
      <c r="AG97" s="97" t="s">
        <v>1087</v>
      </c>
      <c r="AH97" s="90" t="b">
        <v>0</v>
      </c>
      <c r="AI97" s="90" t="s">
        <v>1127</v>
      </c>
      <c r="AJ97" s="90"/>
      <c r="AK97" s="97" t="s">
        <v>1087</v>
      </c>
      <c r="AL97" s="90" t="b">
        <v>0</v>
      </c>
      <c r="AM97" s="90">
        <v>0</v>
      </c>
      <c r="AN97" s="97" t="s">
        <v>1087</v>
      </c>
      <c r="AO97" s="97" t="s">
        <v>1133</v>
      </c>
      <c r="AP97" s="90" t="b">
        <v>0</v>
      </c>
      <c r="AQ97" s="97" t="s">
        <v>882</v>
      </c>
      <c r="AR97" s="90" t="s">
        <v>178</v>
      </c>
      <c r="AS97" s="90">
        <v>0</v>
      </c>
      <c r="AT97" s="90">
        <v>0</v>
      </c>
      <c r="AU97" s="90"/>
      <c r="AV97" s="90"/>
      <c r="AW97" s="90"/>
      <c r="AX97" s="90"/>
      <c r="AY97" s="90"/>
      <c r="AZ97" s="90"/>
      <c r="BA97" s="90"/>
      <c r="BB97" s="90"/>
      <c r="BC97">
        <v>1</v>
      </c>
      <c r="BD97" s="89" t="str">
        <f>REPLACE(INDEX(GroupVertices[Group],MATCH(Edges[[#This Row],[Vertex 1]],GroupVertices[Vertex],0)),1,1,"")</f>
        <v>7</v>
      </c>
      <c r="BE97" s="89" t="str">
        <f>REPLACE(INDEX(GroupVertices[Group],MATCH(Edges[[#This Row],[Vertex 2]],GroupVertices[Vertex],0)),1,1,"")</f>
        <v>7</v>
      </c>
      <c r="BF97" s="49">
        <v>0</v>
      </c>
      <c r="BG97" s="50">
        <v>0</v>
      </c>
      <c r="BH97" s="49">
        <v>0</v>
      </c>
      <c r="BI97" s="50">
        <v>0</v>
      </c>
      <c r="BJ97" s="49">
        <v>0</v>
      </c>
      <c r="BK97" s="50">
        <v>0</v>
      </c>
      <c r="BL97" s="49">
        <v>28</v>
      </c>
      <c r="BM97" s="50">
        <v>100</v>
      </c>
      <c r="BN97" s="49">
        <v>28</v>
      </c>
    </row>
    <row r="98" spans="1:66" ht="15">
      <c r="A98" s="65" t="s">
        <v>276</v>
      </c>
      <c r="B98" s="65" t="s">
        <v>420</v>
      </c>
      <c r="C98" s="66" t="s">
        <v>4405</v>
      </c>
      <c r="D98" s="67">
        <v>1</v>
      </c>
      <c r="E98" s="68" t="s">
        <v>132</v>
      </c>
      <c r="F98" s="69">
        <v>32</v>
      </c>
      <c r="G98" s="66" t="s">
        <v>51</v>
      </c>
      <c r="H98" s="70"/>
      <c r="I98" s="71"/>
      <c r="J98" s="71"/>
      <c r="K98" s="35" t="s">
        <v>65</v>
      </c>
      <c r="L98" s="79">
        <v>98</v>
      </c>
      <c r="M98" s="79"/>
      <c r="N98" s="73"/>
      <c r="O98" s="90" t="s">
        <v>449</v>
      </c>
      <c r="P98" s="93">
        <v>44576.809432870374</v>
      </c>
      <c r="Q98" s="90" t="s">
        <v>488</v>
      </c>
      <c r="R98" s="90"/>
      <c r="S98" s="90"/>
      <c r="T98" s="97" t="s">
        <v>564</v>
      </c>
      <c r="U98" s="90"/>
      <c r="V98" s="95" t="str">
        <f>HYPERLINK("https://pbs.twimg.com/profile_images/1476259757723947010/HkGeyy9U_normal.jpg")</f>
        <v>https://pbs.twimg.com/profile_images/1476259757723947010/HkGeyy9U_normal.jpg</v>
      </c>
      <c r="W98" s="93">
        <v>44576.809432870374</v>
      </c>
      <c r="X98" s="102">
        <v>44576</v>
      </c>
      <c r="Y98" s="97" t="s">
        <v>642</v>
      </c>
      <c r="Z98" s="95" t="str">
        <f>HYPERLINK("https://twitter.com/canceloitu1/status/1482433802026864643")</f>
        <v>https://twitter.com/canceloitu1/status/1482433802026864643</v>
      </c>
      <c r="AA98" s="90"/>
      <c r="AB98" s="90"/>
      <c r="AC98" s="97" t="s">
        <v>883</v>
      </c>
      <c r="AD98" s="90"/>
      <c r="AE98" s="90" t="b">
        <v>0</v>
      </c>
      <c r="AF98" s="90">
        <v>1</v>
      </c>
      <c r="AG98" s="97" t="s">
        <v>1087</v>
      </c>
      <c r="AH98" s="90" t="b">
        <v>0</v>
      </c>
      <c r="AI98" s="90" t="s">
        <v>1127</v>
      </c>
      <c r="AJ98" s="90"/>
      <c r="AK98" s="97" t="s">
        <v>1087</v>
      </c>
      <c r="AL98" s="90" t="b">
        <v>0</v>
      </c>
      <c r="AM98" s="90">
        <v>0</v>
      </c>
      <c r="AN98" s="97" t="s">
        <v>1087</v>
      </c>
      <c r="AO98" s="97" t="s">
        <v>1134</v>
      </c>
      <c r="AP98" s="90" t="b">
        <v>0</v>
      </c>
      <c r="AQ98" s="97" t="s">
        <v>883</v>
      </c>
      <c r="AR98" s="90" t="s">
        <v>178</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2</v>
      </c>
      <c r="BF98" s="49"/>
      <c r="BG98" s="50"/>
      <c r="BH98" s="49"/>
      <c r="BI98" s="50"/>
      <c r="BJ98" s="49"/>
      <c r="BK98" s="50"/>
      <c r="BL98" s="49"/>
      <c r="BM98" s="50"/>
      <c r="BN98" s="49"/>
    </row>
    <row r="99" spans="1:66" ht="15">
      <c r="A99" s="65" t="s">
        <v>276</v>
      </c>
      <c r="B99" s="65" t="s">
        <v>276</v>
      </c>
      <c r="C99" s="66" t="s">
        <v>4405</v>
      </c>
      <c r="D99" s="67">
        <v>1</v>
      </c>
      <c r="E99" s="68" t="s">
        <v>132</v>
      </c>
      <c r="F99" s="69">
        <v>32</v>
      </c>
      <c r="G99" s="66" t="s">
        <v>51</v>
      </c>
      <c r="H99" s="70"/>
      <c r="I99" s="71"/>
      <c r="J99" s="71"/>
      <c r="K99" s="35" t="s">
        <v>65</v>
      </c>
      <c r="L99" s="79">
        <v>99</v>
      </c>
      <c r="M99" s="79"/>
      <c r="N99" s="73"/>
      <c r="O99" s="90" t="s">
        <v>178</v>
      </c>
      <c r="P99" s="93">
        <v>44575.643275462964</v>
      </c>
      <c r="Q99" s="90" t="s">
        <v>489</v>
      </c>
      <c r="R99" s="95" t="str">
        <f>HYPERLINK("https://twitter.com/jani_ketola/status/1481993569539874819")</f>
        <v>https://twitter.com/jani_ketola/status/1481993569539874819</v>
      </c>
      <c r="S99" s="90" t="s">
        <v>552</v>
      </c>
      <c r="T99" s="90"/>
      <c r="U99" s="90"/>
      <c r="V99" s="95" t="str">
        <f>HYPERLINK("https://pbs.twimg.com/profile_images/1476259757723947010/HkGeyy9U_normal.jpg")</f>
        <v>https://pbs.twimg.com/profile_images/1476259757723947010/HkGeyy9U_normal.jpg</v>
      </c>
      <c r="W99" s="93">
        <v>44575.643275462964</v>
      </c>
      <c r="X99" s="102">
        <v>44575</v>
      </c>
      <c r="Y99" s="97" t="s">
        <v>643</v>
      </c>
      <c r="Z99" s="95" t="str">
        <f>HYPERLINK("https://twitter.com/canceloitu1/status/1482011199483129856")</f>
        <v>https://twitter.com/canceloitu1/status/1482011199483129856</v>
      </c>
      <c r="AA99" s="90"/>
      <c r="AB99" s="90"/>
      <c r="AC99" s="97" t="s">
        <v>884</v>
      </c>
      <c r="AD99" s="90"/>
      <c r="AE99" s="90" t="b">
        <v>0</v>
      </c>
      <c r="AF99" s="90">
        <v>7</v>
      </c>
      <c r="AG99" s="97" t="s">
        <v>1087</v>
      </c>
      <c r="AH99" s="90" t="b">
        <v>1</v>
      </c>
      <c r="AI99" s="90" t="s">
        <v>1127</v>
      </c>
      <c r="AJ99" s="90"/>
      <c r="AK99" s="97" t="s">
        <v>1022</v>
      </c>
      <c r="AL99" s="90" t="b">
        <v>0</v>
      </c>
      <c r="AM99" s="90">
        <v>0</v>
      </c>
      <c r="AN99" s="97" t="s">
        <v>1087</v>
      </c>
      <c r="AO99" s="97" t="s">
        <v>1134</v>
      </c>
      <c r="AP99" s="90" t="b">
        <v>0</v>
      </c>
      <c r="AQ99" s="97" t="s">
        <v>884</v>
      </c>
      <c r="AR99" s="90" t="s">
        <v>178</v>
      </c>
      <c r="AS99" s="90">
        <v>0</v>
      </c>
      <c r="AT99" s="90">
        <v>0</v>
      </c>
      <c r="AU99" s="90"/>
      <c r="AV99" s="90"/>
      <c r="AW99" s="90"/>
      <c r="AX99" s="90"/>
      <c r="AY99" s="90"/>
      <c r="AZ99" s="90"/>
      <c r="BA99" s="90"/>
      <c r="BB99" s="90"/>
      <c r="BC99">
        <v>1</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24</v>
      </c>
      <c r="BM99" s="50">
        <v>100</v>
      </c>
      <c r="BN99" s="49">
        <v>24</v>
      </c>
    </row>
    <row r="100" spans="1:66" ht="15">
      <c r="A100" s="65" t="s">
        <v>276</v>
      </c>
      <c r="B100" s="65" t="s">
        <v>416</v>
      </c>
      <c r="C100" s="66" t="s">
        <v>4405</v>
      </c>
      <c r="D100" s="67">
        <v>1</v>
      </c>
      <c r="E100" s="68" t="s">
        <v>132</v>
      </c>
      <c r="F100" s="69">
        <v>32</v>
      </c>
      <c r="G100" s="66" t="s">
        <v>51</v>
      </c>
      <c r="H100" s="70"/>
      <c r="I100" s="71"/>
      <c r="J100" s="71"/>
      <c r="K100" s="35" t="s">
        <v>65</v>
      </c>
      <c r="L100" s="79">
        <v>100</v>
      </c>
      <c r="M100" s="79"/>
      <c r="N100" s="73"/>
      <c r="O100" s="90" t="s">
        <v>449</v>
      </c>
      <c r="P100" s="93">
        <v>44576.809432870374</v>
      </c>
      <c r="Q100" s="90" t="s">
        <v>488</v>
      </c>
      <c r="R100" s="90"/>
      <c r="S100" s="90"/>
      <c r="T100" s="97" t="s">
        <v>564</v>
      </c>
      <c r="U100" s="90"/>
      <c r="V100" s="95" t="str">
        <f>HYPERLINK("https://pbs.twimg.com/profile_images/1476259757723947010/HkGeyy9U_normal.jpg")</f>
        <v>https://pbs.twimg.com/profile_images/1476259757723947010/HkGeyy9U_normal.jpg</v>
      </c>
      <c r="W100" s="93">
        <v>44576.809432870374</v>
      </c>
      <c r="X100" s="102">
        <v>44576</v>
      </c>
      <c r="Y100" s="97" t="s">
        <v>642</v>
      </c>
      <c r="Z100" s="95" t="str">
        <f>HYPERLINK("https://twitter.com/canceloitu1/status/1482433802026864643")</f>
        <v>https://twitter.com/canceloitu1/status/1482433802026864643</v>
      </c>
      <c r="AA100" s="90"/>
      <c r="AB100" s="90"/>
      <c r="AC100" s="97" t="s">
        <v>883</v>
      </c>
      <c r="AD100" s="90"/>
      <c r="AE100" s="90" t="b">
        <v>0</v>
      </c>
      <c r="AF100" s="90">
        <v>1</v>
      </c>
      <c r="AG100" s="97" t="s">
        <v>1087</v>
      </c>
      <c r="AH100" s="90" t="b">
        <v>0</v>
      </c>
      <c r="AI100" s="90" t="s">
        <v>1127</v>
      </c>
      <c r="AJ100" s="90"/>
      <c r="AK100" s="97" t="s">
        <v>1087</v>
      </c>
      <c r="AL100" s="90" t="b">
        <v>0</v>
      </c>
      <c r="AM100" s="90">
        <v>0</v>
      </c>
      <c r="AN100" s="97" t="s">
        <v>1087</v>
      </c>
      <c r="AO100" s="97" t="s">
        <v>1134</v>
      </c>
      <c r="AP100" s="90" t="b">
        <v>0</v>
      </c>
      <c r="AQ100" s="97" t="s">
        <v>883</v>
      </c>
      <c r="AR100" s="90" t="s">
        <v>178</v>
      </c>
      <c r="AS100" s="90">
        <v>0</v>
      </c>
      <c r="AT100" s="90">
        <v>0</v>
      </c>
      <c r="AU100" s="90"/>
      <c r="AV100" s="90"/>
      <c r="AW100" s="90"/>
      <c r="AX100" s="90"/>
      <c r="AY100" s="90"/>
      <c r="AZ100" s="90"/>
      <c r="BA100" s="90"/>
      <c r="BB100" s="90"/>
      <c r="BC100">
        <v>1</v>
      </c>
      <c r="BD100" s="89" t="str">
        <f>REPLACE(INDEX(GroupVertices[Group],MATCH(Edges[[#This Row],[Vertex 1]],GroupVertices[Vertex],0)),1,1,"")</f>
        <v>2</v>
      </c>
      <c r="BE100" s="89" t="str">
        <f>REPLACE(INDEX(GroupVertices[Group],MATCH(Edges[[#This Row],[Vertex 2]],GroupVertices[Vertex],0)),1,1,"")</f>
        <v>3</v>
      </c>
      <c r="BF100" s="49">
        <v>0</v>
      </c>
      <c r="BG100" s="50">
        <v>0</v>
      </c>
      <c r="BH100" s="49">
        <v>0</v>
      </c>
      <c r="BI100" s="50">
        <v>0</v>
      </c>
      <c r="BJ100" s="49">
        <v>0</v>
      </c>
      <c r="BK100" s="50">
        <v>0</v>
      </c>
      <c r="BL100" s="49">
        <v>30</v>
      </c>
      <c r="BM100" s="50">
        <v>100</v>
      </c>
      <c r="BN100" s="49">
        <v>30</v>
      </c>
    </row>
    <row r="101" spans="1:66" ht="15">
      <c r="A101" s="65" t="s">
        <v>277</v>
      </c>
      <c r="B101" s="65" t="s">
        <v>333</v>
      </c>
      <c r="C101" s="66" t="s">
        <v>4405</v>
      </c>
      <c r="D101" s="67">
        <v>1</v>
      </c>
      <c r="E101" s="68" t="s">
        <v>132</v>
      </c>
      <c r="F101" s="69">
        <v>32</v>
      </c>
      <c r="G101" s="66" t="s">
        <v>51</v>
      </c>
      <c r="H101" s="70"/>
      <c r="I101" s="71"/>
      <c r="J101" s="71"/>
      <c r="K101" s="35" t="s">
        <v>65</v>
      </c>
      <c r="L101" s="79">
        <v>101</v>
      </c>
      <c r="M101" s="79"/>
      <c r="N101" s="73"/>
      <c r="O101" s="90" t="s">
        <v>448</v>
      </c>
      <c r="P101" s="93">
        <v>44576.82046296296</v>
      </c>
      <c r="Q101" s="90" t="s">
        <v>490</v>
      </c>
      <c r="R101" s="90"/>
      <c r="S101" s="90"/>
      <c r="T101" s="97" t="s">
        <v>556</v>
      </c>
      <c r="U101" s="90"/>
      <c r="V101" s="95" t="str">
        <f>HYPERLINK("https://pbs.twimg.com/profile_images/1460541315955974147/HFRa_uig_normal.jpg")</f>
        <v>https://pbs.twimg.com/profile_images/1460541315955974147/HFRa_uig_normal.jpg</v>
      </c>
      <c r="W101" s="93">
        <v>44576.82046296296</v>
      </c>
      <c r="X101" s="102">
        <v>44576</v>
      </c>
      <c r="Y101" s="97" t="s">
        <v>644</v>
      </c>
      <c r="Z101" s="95" t="str">
        <f>HYPERLINK("https://twitter.com/blomerusr/status/1482437798556835843")</f>
        <v>https://twitter.com/blomerusr/status/1482437798556835843</v>
      </c>
      <c r="AA101" s="90"/>
      <c r="AB101" s="90"/>
      <c r="AC101" s="97" t="s">
        <v>885</v>
      </c>
      <c r="AD101" s="97" t="s">
        <v>1064</v>
      </c>
      <c r="AE101" s="90" t="b">
        <v>0</v>
      </c>
      <c r="AF101" s="90">
        <v>6</v>
      </c>
      <c r="AG101" s="97" t="s">
        <v>1106</v>
      </c>
      <c r="AH101" s="90" t="b">
        <v>0</v>
      </c>
      <c r="AI101" s="90" t="s">
        <v>1127</v>
      </c>
      <c r="AJ101" s="90"/>
      <c r="AK101" s="97" t="s">
        <v>1087</v>
      </c>
      <c r="AL101" s="90" t="b">
        <v>0</v>
      </c>
      <c r="AM101" s="90">
        <v>0</v>
      </c>
      <c r="AN101" s="97" t="s">
        <v>1087</v>
      </c>
      <c r="AO101" s="97" t="s">
        <v>1133</v>
      </c>
      <c r="AP101" s="90" t="b">
        <v>0</v>
      </c>
      <c r="AQ101" s="97" t="s">
        <v>1064</v>
      </c>
      <c r="AR101" s="90" t="s">
        <v>178</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18</v>
      </c>
      <c r="BM101" s="50">
        <v>100</v>
      </c>
      <c r="BN101" s="49">
        <v>18</v>
      </c>
    </row>
    <row r="102" spans="1:66" ht="15">
      <c r="A102" s="65" t="s">
        <v>278</v>
      </c>
      <c r="B102" s="65" t="s">
        <v>429</v>
      </c>
      <c r="C102" s="66" t="s">
        <v>4405</v>
      </c>
      <c r="D102" s="67">
        <v>1</v>
      </c>
      <c r="E102" s="68" t="s">
        <v>132</v>
      </c>
      <c r="F102" s="69">
        <v>32</v>
      </c>
      <c r="G102" s="66" t="s">
        <v>51</v>
      </c>
      <c r="H102" s="70"/>
      <c r="I102" s="71"/>
      <c r="J102" s="71"/>
      <c r="K102" s="35" t="s">
        <v>65</v>
      </c>
      <c r="L102" s="79">
        <v>102</v>
      </c>
      <c r="M102" s="79"/>
      <c r="N102" s="73"/>
      <c r="O102" s="90" t="s">
        <v>448</v>
      </c>
      <c r="P102" s="93">
        <v>44576.81982638889</v>
      </c>
      <c r="Q102" s="90" t="s">
        <v>491</v>
      </c>
      <c r="R102" s="90"/>
      <c r="S102" s="90"/>
      <c r="T102" s="90"/>
      <c r="U102" s="90"/>
      <c r="V102" s="95" t="str">
        <f>HYPERLINK("https://pbs.twimg.com/profile_images/738994171797721088/8t4uIHY3_normal.jpg")</f>
        <v>https://pbs.twimg.com/profile_images/738994171797721088/8t4uIHY3_normal.jpg</v>
      </c>
      <c r="W102" s="93">
        <v>44576.81982638889</v>
      </c>
      <c r="X102" s="102">
        <v>44576</v>
      </c>
      <c r="Y102" s="97" t="s">
        <v>645</v>
      </c>
      <c r="Z102" s="95" t="str">
        <f>HYPERLINK("https://twitter.com/jpokero/status/1482437570458001408")</f>
        <v>https://twitter.com/jpokero/status/1482437570458001408</v>
      </c>
      <c r="AA102" s="90"/>
      <c r="AB102" s="90"/>
      <c r="AC102" s="97" t="s">
        <v>886</v>
      </c>
      <c r="AD102" s="97" t="s">
        <v>1066</v>
      </c>
      <c r="AE102" s="90" t="b">
        <v>0</v>
      </c>
      <c r="AF102" s="90">
        <v>0</v>
      </c>
      <c r="AG102" s="97" t="s">
        <v>1108</v>
      </c>
      <c r="AH102" s="90" t="b">
        <v>0</v>
      </c>
      <c r="AI102" s="90" t="s">
        <v>1129</v>
      </c>
      <c r="AJ102" s="90"/>
      <c r="AK102" s="97" t="s">
        <v>1087</v>
      </c>
      <c r="AL102" s="90" t="b">
        <v>0</v>
      </c>
      <c r="AM102" s="90">
        <v>0</v>
      </c>
      <c r="AN102" s="97" t="s">
        <v>1087</v>
      </c>
      <c r="AO102" s="97" t="s">
        <v>1134</v>
      </c>
      <c r="AP102" s="90" t="b">
        <v>0</v>
      </c>
      <c r="AQ102" s="97" t="s">
        <v>1066</v>
      </c>
      <c r="AR102" s="90" t="s">
        <v>178</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v>0</v>
      </c>
      <c r="BG102" s="50">
        <v>0</v>
      </c>
      <c r="BH102" s="49">
        <v>0</v>
      </c>
      <c r="BI102" s="50">
        <v>0</v>
      </c>
      <c r="BJ102" s="49">
        <v>0</v>
      </c>
      <c r="BK102" s="50">
        <v>0</v>
      </c>
      <c r="BL102" s="49">
        <v>4</v>
      </c>
      <c r="BM102" s="50">
        <v>100</v>
      </c>
      <c r="BN102" s="49">
        <v>4</v>
      </c>
    </row>
    <row r="103" spans="1:66" ht="15">
      <c r="A103" s="65" t="s">
        <v>278</v>
      </c>
      <c r="B103" s="65" t="s">
        <v>430</v>
      </c>
      <c r="C103" s="66" t="s">
        <v>4406</v>
      </c>
      <c r="D103" s="67">
        <v>1</v>
      </c>
      <c r="E103" s="68" t="s">
        <v>132</v>
      </c>
      <c r="F103" s="69">
        <v>32</v>
      </c>
      <c r="G103" s="66" t="s">
        <v>51</v>
      </c>
      <c r="H103" s="70"/>
      <c r="I103" s="71"/>
      <c r="J103" s="71"/>
      <c r="K103" s="35" t="s">
        <v>65</v>
      </c>
      <c r="L103" s="79">
        <v>103</v>
      </c>
      <c r="M103" s="79"/>
      <c r="N103" s="73"/>
      <c r="O103" s="90" t="s">
        <v>448</v>
      </c>
      <c r="P103" s="93">
        <v>44576.8596875</v>
      </c>
      <c r="Q103" s="90" t="s">
        <v>492</v>
      </c>
      <c r="R103" s="90"/>
      <c r="S103" s="90"/>
      <c r="T103" s="90"/>
      <c r="U103" s="90"/>
      <c r="V103" s="95" t="str">
        <f>HYPERLINK("https://pbs.twimg.com/profile_images/738994171797721088/8t4uIHY3_normal.jpg")</f>
        <v>https://pbs.twimg.com/profile_images/738994171797721088/8t4uIHY3_normal.jpg</v>
      </c>
      <c r="W103" s="93">
        <v>44576.8596875</v>
      </c>
      <c r="X103" s="102">
        <v>44576</v>
      </c>
      <c r="Y103" s="97" t="s">
        <v>646</v>
      </c>
      <c r="Z103" s="95" t="str">
        <f>HYPERLINK("https://twitter.com/jpokero/status/1482452014051336195")</f>
        <v>https://twitter.com/jpokero/status/1482452014051336195</v>
      </c>
      <c r="AA103" s="90"/>
      <c r="AB103" s="90"/>
      <c r="AC103" s="97" t="s">
        <v>887</v>
      </c>
      <c r="AD103" s="97" t="s">
        <v>1067</v>
      </c>
      <c r="AE103" s="90" t="b">
        <v>0</v>
      </c>
      <c r="AF103" s="90">
        <v>0</v>
      </c>
      <c r="AG103" s="97" t="s">
        <v>1109</v>
      </c>
      <c r="AH103" s="90" t="b">
        <v>0</v>
      </c>
      <c r="AI103" s="90" t="s">
        <v>1127</v>
      </c>
      <c r="AJ103" s="90"/>
      <c r="AK103" s="97" t="s">
        <v>1087</v>
      </c>
      <c r="AL103" s="90" t="b">
        <v>0</v>
      </c>
      <c r="AM103" s="90">
        <v>0</v>
      </c>
      <c r="AN103" s="97" t="s">
        <v>1087</v>
      </c>
      <c r="AO103" s="97" t="s">
        <v>1134</v>
      </c>
      <c r="AP103" s="90" t="b">
        <v>0</v>
      </c>
      <c r="AQ103" s="97" t="s">
        <v>1067</v>
      </c>
      <c r="AR103" s="90" t="s">
        <v>178</v>
      </c>
      <c r="AS103" s="90">
        <v>0</v>
      </c>
      <c r="AT103" s="90">
        <v>0</v>
      </c>
      <c r="AU103" s="90"/>
      <c r="AV103" s="90"/>
      <c r="AW103" s="90"/>
      <c r="AX103" s="90"/>
      <c r="AY103" s="90"/>
      <c r="AZ103" s="90"/>
      <c r="BA103" s="90"/>
      <c r="BB103" s="90"/>
      <c r="BC103">
        <v>3</v>
      </c>
      <c r="BD103" s="89" t="str">
        <f>REPLACE(INDEX(GroupVertices[Group],MATCH(Edges[[#This Row],[Vertex 1]],GroupVertices[Vertex],0)),1,1,"")</f>
        <v>3</v>
      </c>
      <c r="BE103" s="89" t="str">
        <f>REPLACE(INDEX(GroupVertices[Group],MATCH(Edges[[#This Row],[Vertex 2]],GroupVertices[Vertex],0)),1,1,"")</f>
        <v>3</v>
      </c>
      <c r="BF103" s="49">
        <v>0</v>
      </c>
      <c r="BG103" s="50">
        <v>0</v>
      </c>
      <c r="BH103" s="49">
        <v>0</v>
      </c>
      <c r="BI103" s="50">
        <v>0</v>
      </c>
      <c r="BJ103" s="49">
        <v>0</v>
      </c>
      <c r="BK103" s="50">
        <v>0</v>
      </c>
      <c r="BL103" s="49">
        <v>13</v>
      </c>
      <c r="BM103" s="50">
        <v>100</v>
      </c>
      <c r="BN103" s="49">
        <v>13</v>
      </c>
    </row>
    <row r="104" spans="1:66" ht="15">
      <c r="A104" s="65" t="s">
        <v>278</v>
      </c>
      <c r="B104" s="65" t="s">
        <v>430</v>
      </c>
      <c r="C104" s="66" t="s">
        <v>4406</v>
      </c>
      <c r="D104" s="67">
        <v>1</v>
      </c>
      <c r="E104" s="68" t="s">
        <v>132</v>
      </c>
      <c r="F104" s="69">
        <v>32</v>
      </c>
      <c r="G104" s="66" t="s">
        <v>51</v>
      </c>
      <c r="H104" s="70"/>
      <c r="I104" s="71"/>
      <c r="J104" s="71"/>
      <c r="K104" s="35" t="s">
        <v>65</v>
      </c>
      <c r="L104" s="79">
        <v>104</v>
      </c>
      <c r="M104" s="79"/>
      <c r="N104" s="73"/>
      <c r="O104" s="90" t="s">
        <v>448</v>
      </c>
      <c r="P104" s="93">
        <v>44576.861354166664</v>
      </c>
      <c r="Q104" s="90" t="s">
        <v>493</v>
      </c>
      <c r="R104" s="90"/>
      <c r="S104" s="90"/>
      <c r="T104" s="90"/>
      <c r="U104" s="90"/>
      <c r="V104" s="95" t="str">
        <f>HYPERLINK("https://pbs.twimg.com/profile_images/738994171797721088/8t4uIHY3_normal.jpg")</f>
        <v>https://pbs.twimg.com/profile_images/738994171797721088/8t4uIHY3_normal.jpg</v>
      </c>
      <c r="W104" s="93">
        <v>44576.861354166664</v>
      </c>
      <c r="X104" s="102">
        <v>44576</v>
      </c>
      <c r="Y104" s="97" t="s">
        <v>647</v>
      </c>
      <c r="Z104" s="95" t="str">
        <f>HYPERLINK("https://twitter.com/jpokero/status/1482452619360870400")</f>
        <v>https://twitter.com/jpokero/status/1482452619360870400</v>
      </c>
      <c r="AA104" s="90"/>
      <c r="AB104" s="90"/>
      <c r="AC104" s="97" t="s">
        <v>888</v>
      </c>
      <c r="AD104" s="97" t="s">
        <v>1068</v>
      </c>
      <c r="AE104" s="90" t="b">
        <v>0</v>
      </c>
      <c r="AF104" s="90">
        <v>0</v>
      </c>
      <c r="AG104" s="97" t="s">
        <v>1109</v>
      </c>
      <c r="AH104" s="90" t="b">
        <v>0</v>
      </c>
      <c r="AI104" s="90" t="s">
        <v>1129</v>
      </c>
      <c r="AJ104" s="90"/>
      <c r="AK104" s="97" t="s">
        <v>1087</v>
      </c>
      <c r="AL104" s="90" t="b">
        <v>0</v>
      </c>
      <c r="AM104" s="90">
        <v>0</v>
      </c>
      <c r="AN104" s="97" t="s">
        <v>1087</v>
      </c>
      <c r="AO104" s="97" t="s">
        <v>1134</v>
      </c>
      <c r="AP104" s="90" t="b">
        <v>0</v>
      </c>
      <c r="AQ104" s="97" t="s">
        <v>1068</v>
      </c>
      <c r="AR104" s="90" t="s">
        <v>178</v>
      </c>
      <c r="AS104" s="90">
        <v>0</v>
      </c>
      <c r="AT104" s="90">
        <v>0</v>
      </c>
      <c r="AU104" s="90"/>
      <c r="AV104" s="90"/>
      <c r="AW104" s="90"/>
      <c r="AX104" s="90"/>
      <c r="AY104" s="90"/>
      <c r="AZ104" s="90"/>
      <c r="BA104" s="90"/>
      <c r="BB104" s="90"/>
      <c r="BC104">
        <v>3</v>
      </c>
      <c r="BD104" s="89" t="str">
        <f>REPLACE(INDEX(GroupVertices[Group],MATCH(Edges[[#This Row],[Vertex 1]],GroupVertices[Vertex],0)),1,1,"")</f>
        <v>3</v>
      </c>
      <c r="BE104" s="89" t="str">
        <f>REPLACE(INDEX(GroupVertices[Group],MATCH(Edges[[#This Row],[Vertex 2]],GroupVertices[Vertex],0)),1,1,"")</f>
        <v>3</v>
      </c>
      <c r="BF104" s="49">
        <v>0</v>
      </c>
      <c r="BG104" s="50">
        <v>0</v>
      </c>
      <c r="BH104" s="49">
        <v>0</v>
      </c>
      <c r="BI104" s="50">
        <v>0</v>
      </c>
      <c r="BJ104" s="49">
        <v>0</v>
      </c>
      <c r="BK104" s="50">
        <v>0</v>
      </c>
      <c r="BL104" s="49">
        <v>5</v>
      </c>
      <c r="BM104" s="50">
        <v>100</v>
      </c>
      <c r="BN104" s="49">
        <v>5</v>
      </c>
    </row>
    <row r="105" spans="1:66" ht="15">
      <c r="A105" s="65" t="s">
        <v>278</v>
      </c>
      <c r="B105" s="65" t="s">
        <v>430</v>
      </c>
      <c r="C105" s="66" t="s">
        <v>4406</v>
      </c>
      <c r="D105" s="67">
        <v>1</v>
      </c>
      <c r="E105" s="68" t="s">
        <v>132</v>
      </c>
      <c r="F105" s="69">
        <v>32</v>
      </c>
      <c r="G105" s="66" t="s">
        <v>51</v>
      </c>
      <c r="H105" s="70"/>
      <c r="I105" s="71"/>
      <c r="J105" s="71"/>
      <c r="K105" s="35" t="s">
        <v>65</v>
      </c>
      <c r="L105" s="79">
        <v>105</v>
      </c>
      <c r="M105" s="79"/>
      <c r="N105" s="73"/>
      <c r="O105" s="90" t="s">
        <v>448</v>
      </c>
      <c r="P105" s="93">
        <v>44576.86258101852</v>
      </c>
      <c r="Q105" s="90" t="s">
        <v>494</v>
      </c>
      <c r="R105" s="90"/>
      <c r="S105" s="90"/>
      <c r="T105" s="90"/>
      <c r="U105" s="90"/>
      <c r="V105" s="95" t="str">
        <f>HYPERLINK("https://pbs.twimg.com/profile_images/738994171797721088/8t4uIHY3_normal.jpg")</f>
        <v>https://pbs.twimg.com/profile_images/738994171797721088/8t4uIHY3_normal.jpg</v>
      </c>
      <c r="W105" s="93">
        <v>44576.86258101852</v>
      </c>
      <c r="X105" s="102">
        <v>44576</v>
      </c>
      <c r="Y105" s="97" t="s">
        <v>648</v>
      </c>
      <c r="Z105" s="95" t="str">
        <f>HYPERLINK("https://twitter.com/jpokero/status/1482453061868175362")</f>
        <v>https://twitter.com/jpokero/status/1482453061868175362</v>
      </c>
      <c r="AA105" s="90"/>
      <c r="AB105" s="90"/>
      <c r="AC105" s="97" t="s">
        <v>889</v>
      </c>
      <c r="AD105" s="97" t="s">
        <v>1069</v>
      </c>
      <c r="AE105" s="90" t="b">
        <v>0</v>
      </c>
      <c r="AF105" s="90">
        <v>0</v>
      </c>
      <c r="AG105" s="97" t="s">
        <v>1109</v>
      </c>
      <c r="AH105" s="90" t="b">
        <v>0</v>
      </c>
      <c r="AI105" s="90" t="s">
        <v>1127</v>
      </c>
      <c r="AJ105" s="90"/>
      <c r="AK105" s="97" t="s">
        <v>1087</v>
      </c>
      <c r="AL105" s="90" t="b">
        <v>0</v>
      </c>
      <c r="AM105" s="90">
        <v>0</v>
      </c>
      <c r="AN105" s="97" t="s">
        <v>1087</v>
      </c>
      <c r="AO105" s="97" t="s">
        <v>1134</v>
      </c>
      <c r="AP105" s="90" t="b">
        <v>0</v>
      </c>
      <c r="AQ105" s="97" t="s">
        <v>1069</v>
      </c>
      <c r="AR105" s="90" t="s">
        <v>178</v>
      </c>
      <c r="AS105" s="90">
        <v>0</v>
      </c>
      <c r="AT105" s="90">
        <v>0</v>
      </c>
      <c r="AU105" s="90"/>
      <c r="AV105" s="90"/>
      <c r="AW105" s="90"/>
      <c r="AX105" s="90"/>
      <c r="AY105" s="90"/>
      <c r="AZ105" s="90"/>
      <c r="BA105" s="90"/>
      <c r="BB105" s="90"/>
      <c r="BC105">
        <v>3</v>
      </c>
      <c r="BD105" s="89" t="str">
        <f>REPLACE(INDEX(GroupVertices[Group],MATCH(Edges[[#This Row],[Vertex 1]],GroupVertices[Vertex],0)),1,1,"")</f>
        <v>3</v>
      </c>
      <c r="BE105" s="89" t="str">
        <f>REPLACE(INDEX(GroupVertices[Group],MATCH(Edges[[#This Row],[Vertex 2]],GroupVertices[Vertex],0)),1,1,"")</f>
        <v>3</v>
      </c>
      <c r="BF105" s="49">
        <v>0</v>
      </c>
      <c r="BG105" s="50">
        <v>0</v>
      </c>
      <c r="BH105" s="49">
        <v>0</v>
      </c>
      <c r="BI105" s="50">
        <v>0</v>
      </c>
      <c r="BJ105" s="49">
        <v>0</v>
      </c>
      <c r="BK105" s="50">
        <v>0</v>
      </c>
      <c r="BL105" s="49">
        <v>15</v>
      </c>
      <c r="BM105" s="50">
        <v>100</v>
      </c>
      <c r="BN105" s="49">
        <v>15</v>
      </c>
    </row>
    <row r="106" spans="1:66" ht="15">
      <c r="A106" s="65" t="s">
        <v>278</v>
      </c>
      <c r="B106" s="65" t="s">
        <v>416</v>
      </c>
      <c r="C106" s="66" t="s">
        <v>4405</v>
      </c>
      <c r="D106" s="67">
        <v>1</v>
      </c>
      <c r="E106" s="68" t="s">
        <v>132</v>
      </c>
      <c r="F106" s="69">
        <v>32</v>
      </c>
      <c r="G106" s="66" t="s">
        <v>51</v>
      </c>
      <c r="H106" s="70"/>
      <c r="I106" s="71"/>
      <c r="J106" s="71"/>
      <c r="K106" s="35" t="s">
        <v>65</v>
      </c>
      <c r="L106" s="79">
        <v>106</v>
      </c>
      <c r="M106" s="79"/>
      <c r="N106" s="73"/>
      <c r="O106" s="90" t="s">
        <v>449</v>
      </c>
      <c r="P106" s="93">
        <v>44576.81982638889</v>
      </c>
      <c r="Q106" s="90" t="s">
        <v>491</v>
      </c>
      <c r="R106" s="90"/>
      <c r="S106" s="90"/>
      <c r="T106" s="90"/>
      <c r="U106" s="90"/>
      <c r="V106" s="95" t="str">
        <f>HYPERLINK("https://pbs.twimg.com/profile_images/738994171797721088/8t4uIHY3_normal.jpg")</f>
        <v>https://pbs.twimg.com/profile_images/738994171797721088/8t4uIHY3_normal.jpg</v>
      </c>
      <c r="W106" s="93">
        <v>44576.81982638889</v>
      </c>
      <c r="X106" s="102">
        <v>44576</v>
      </c>
      <c r="Y106" s="97" t="s">
        <v>645</v>
      </c>
      <c r="Z106" s="95" t="str">
        <f>HYPERLINK("https://twitter.com/jpokero/status/1482437570458001408")</f>
        <v>https://twitter.com/jpokero/status/1482437570458001408</v>
      </c>
      <c r="AA106" s="90"/>
      <c r="AB106" s="90"/>
      <c r="AC106" s="97" t="s">
        <v>886</v>
      </c>
      <c r="AD106" s="97" t="s">
        <v>1066</v>
      </c>
      <c r="AE106" s="90" t="b">
        <v>0</v>
      </c>
      <c r="AF106" s="90">
        <v>0</v>
      </c>
      <c r="AG106" s="97" t="s">
        <v>1108</v>
      </c>
      <c r="AH106" s="90" t="b">
        <v>0</v>
      </c>
      <c r="AI106" s="90" t="s">
        <v>1129</v>
      </c>
      <c r="AJ106" s="90"/>
      <c r="AK106" s="97" t="s">
        <v>1087</v>
      </c>
      <c r="AL106" s="90" t="b">
        <v>0</v>
      </c>
      <c r="AM106" s="90">
        <v>0</v>
      </c>
      <c r="AN106" s="97" t="s">
        <v>1087</v>
      </c>
      <c r="AO106" s="97" t="s">
        <v>1134</v>
      </c>
      <c r="AP106" s="90" t="b">
        <v>0</v>
      </c>
      <c r="AQ106" s="97" t="s">
        <v>1066</v>
      </c>
      <c r="AR106" s="90" t="s">
        <v>178</v>
      </c>
      <c r="AS106" s="90">
        <v>0</v>
      </c>
      <c r="AT106" s="90">
        <v>0</v>
      </c>
      <c r="AU106" s="90"/>
      <c r="AV106" s="90"/>
      <c r="AW106" s="90"/>
      <c r="AX106" s="90"/>
      <c r="AY106" s="90"/>
      <c r="AZ106" s="90"/>
      <c r="BA106" s="90"/>
      <c r="BB106" s="90"/>
      <c r="BC106">
        <v>1</v>
      </c>
      <c r="BD106" s="89" t="str">
        <f>REPLACE(INDEX(GroupVertices[Group],MATCH(Edges[[#This Row],[Vertex 1]],GroupVertices[Vertex],0)),1,1,"")</f>
        <v>3</v>
      </c>
      <c r="BE106" s="89" t="str">
        <f>REPLACE(INDEX(GroupVertices[Group],MATCH(Edges[[#This Row],[Vertex 2]],GroupVertices[Vertex],0)),1,1,"")</f>
        <v>3</v>
      </c>
      <c r="BF106" s="49"/>
      <c r="BG106" s="50"/>
      <c r="BH106" s="49"/>
      <c r="BI106" s="50"/>
      <c r="BJ106" s="49"/>
      <c r="BK106" s="50"/>
      <c r="BL106" s="49"/>
      <c r="BM106" s="50"/>
      <c r="BN106" s="49"/>
    </row>
    <row r="107" spans="1:66" ht="15">
      <c r="A107" s="65" t="s">
        <v>279</v>
      </c>
      <c r="B107" s="65" t="s">
        <v>349</v>
      </c>
      <c r="C107" s="66" t="s">
        <v>4405</v>
      </c>
      <c r="D107" s="67">
        <v>1</v>
      </c>
      <c r="E107" s="68" t="s">
        <v>132</v>
      </c>
      <c r="F107" s="69">
        <v>32</v>
      </c>
      <c r="G107" s="66" t="s">
        <v>51</v>
      </c>
      <c r="H107" s="70"/>
      <c r="I107" s="71"/>
      <c r="J107" s="71"/>
      <c r="K107" s="35" t="s">
        <v>65</v>
      </c>
      <c r="L107" s="79">
        <v>107</v>
      </c>
      <c r="M107" s="79"/>
      <c r="N107" s="73"/>
      <c r="O107" s="90" t="s">
        <v>447</v>
      </c>
      <c r="P107" s="93">
        <v>44576.87548611111</v>
      </c>
      <c r="Q107" s="90" t="s">
        <v>451</v>
      </c>
      <c r="R107" s="90"/>
      <c r="S107" s="90"/>
      <c r="T107" s="97" t="s">
        <v>555</v>
      </c>
      <c r="U107" s="95" t="str">
        <f>HYPERLINK("https://pbs.twimg.com/media/FJEWU11XwAUKZay.jpg")</f>
        <v>https://pbs.twimg.com/media/FJEWU11XwAUKZay.jpg</v>
      </c>
      <c r="V107" s="95" t="str">
        <f>HYPERLINK("https://pbs.twimg.com/media/FJEWU11XwAUKZay.jpg")</f>
        <v>https://pbs.twimg.com/media/FJEWU11XwAUKZay.jpg</v>
      </c>
      <c r="W107" s="93">
        <v>44576.87548611111</v>
      </c>
      <c r="X107" s="102">
        <v>44576</v>
      </c>
      <c r="Y107" s="97" t="s">
        <v>649</v>
      </c>
      <c r="Z107" s="95" t="str">
        <f>HYPERLINK("https://twitter.com/sinerjoki1/status/1482457740144521216")</f>
        <v>https://twitter.com/sinerjoki1/status/1482457740144521216</v>
      </c>
      <c r="AA107" s="90"/>
      <c r="AB107" s="90"/>
      <c r="AC107" s="97" t="s">
        <v>890</v>
      </c>
      <c r="AD107" s="90"/>
      <c r="AE107" s="90" t="b">
        <v>0</v>
      </c>
      <c r="AF107" s="90">
        <v>0</v>
      </c>
      <c r="AG107" s="97" t="s">
        <v>1087</v>
      </c>
      <c r="AH107" s="90" t="b">
        <v>0</v>
      </c>
      <c r="AI107" s="90" t="s">
        <v>1127</v>
      </c>
      <c r="AJ107" s="90"/>
      <c r="AK107" s="97" t="s">
        <v>1087</v>
      </c>
      <c r="AL107" s="90" t="b">
        <v>0</v>
      </c>
      <c r="AM107" s="90">
        <v>11</v>
      </c>
      <c r="AN107" s="97" t="s">
        <v>975</v>
      </c>
      <c r="AO107" s="97" t="s">
        <v>1133</v>
      </c>
      <c r="AP107" s="90" t="b">
        <v>0</v>
      </c>
      <c r="AQ107" s="97" t="s">
        <v>975</v>
      </c>
      <c r="AR107" s="90" t="s">
        <v>178</v>
      </c>
      <c r="AS107" s="90">
        <v>0</v>
      </c>
      <c r="AT107" s="90">
        <v>0</v>
      </c>
      <c r="AU107" s="90"/>
      <c r="AV107" s="90"/>
      <c r="AW107" s="90"/>
      <c r="AX107" s="90"/>
      <c r="AY107" s="90"/>
      <c r="AZ107" s="90"/>
      <c r="BA107" s="90"/>
      <c r="BB107" s="90"/>
      <c r="BC107">
        <v>1</v>
      </c>
      <c r="BD107" s="89" t="str">
        <f>REPLACE(INDEX(GroupVertices[Group],MATCH(Edges[[#This Row],[Vertex 1]],GroupVertices[Vertex],0)),1,1,"")</f>
        <v>6</v>
      </c>
      <c r="BE107" s="89" t="str">
        <f>REPLACE(INDEX(GroupVertices[Group],MATCH(Edges[[#This Row],[Vertex 2]],GroupVertices[Vertex],0)),1,1,"")</f>
        <v>6</v>
      </c>
      <c r="BF107" s="49">
        <v>0</v>
      </c>
      <c r="BG107" s="50">
        <v>0</v>
      </c>
      <c r="BH107" s="49">
        <v>0</v>
      </c>
      <c r="BI107" s="50">
        <v>0</v>
      </c>
      <c r="BJ107" s="49">
        <v>0</v>
      </c>
      <c r="BK107" s="50">
        <v>0</v>
      </c>
      <c r="BL107" s="49">
        <v>29</v>
      </c>
      <c r="BM107" s="50">
        <v>100</v>
      </c>
      <c r="BN107" s="49">
        <v>29</v>
      </c>
    </row>
    <row r="108" spans="1:66" ht="15">
      <c r="A108" s="65" t="s">
        <v>280</v>
      </c>
      <c r="B108" s="65" t="s">
        <v>416</v>
      </c>
      <c r="C108" s="66" t="s">
        <v>4405</v>
      </c>
      <c r="D108" s="67">
        <v>1</v>
      </c>
      <c r="E108" s="68" t="s">
        <v>132</v>
      </c>
      <c r="F108" s="69">
        <v>32</v>
      </c>
      <c r="G108" s="66" t="s">
        <v>51</v>
      </c>
      <c r="H108" s="70"/>
      <c r="I108" s="71"/>
      <c r="J108" s="71"/>
      <c r="K108" s="35" t="s">
        <v>65</v>
      </c>
      <c r="L108" s="79">
        <v>108</v>
      </c>
      <c r="M108" s="79"/>
      <c r="N108" s="73"/>
      <c r="O108" s="90" t="s">
        <v>449</v>
      </c>
      <c r="P108" s="93">
        <v>44576.94459490741</v>
      </c>
      <c r="Q108" s="90" t="s">
        <v>495</v>
      </c>
      <c r="R108" s="90"/>
      <c r="S108" s="90"/>
      <c r="T108" s="90"/>
      <c r="U108" s="90"/>
      <c r="V108" s="95" t="str">
        <f>HYPERLINK("https://pbs.twimg.com/profile_images/1082353538066538496/RtGVETZD_normal.jpg")</f>
        <v>https://pbs.twimg.com/profile_images/1082353538066538496/RtGVETZD_normal.jpg</v>
      </c>
      <c r="W108" s="93">
        <v>44576.94459490741</v>
      </c>
      <c r="X108" s="102">
        <v>44576</v>
      </c>
      <c r="Y108" s="97" t="s">
        <v>650</v>
      </c>
      <c r="Z108" s="95" t="str">
        <f>HYPERLINK("https://twitter.com/markokarvonen3/status/1482482782358097928")</f>
        <v>https://twitter.com/markokarvonen3/status/1482482782358097928</v>
      </c>
      <c r="AA108" s="90"/>
      <c r="AB108" s="90"/>
      <c r="AC108" s="97" t="s">
        <v>891</v>
      </c>
      <c r="AD108" s="97" t="s">
        <v>1070</v>
      </c>
      <c r="AE108" s="90" t="b">
        <v>0</v>
      </c>
      <c r="AF108" s="90">
        <v>0</v>
      </c>
      <c r="AG108" s="97" t="s">
        <v>1110</v>
      </c>
      <c r="AH108" s="90" t="b">
        <v>0</v>
      </c>
      <c r="AI108" s="90" t="s">
        <v>1127</v>
      </c>
      <c r="AJ108" s="90"/>
      <c r="AK108" s="97" t="s">
        <v>1087</v>
      </c>
      <c r="AL108" s="90" t="b">
        <v>0</v>
      </c>
      <c r="AM108" s="90">
        <v>0</v>
      </c>
      <c r="AN108" s="97" t="s">
        <v>1087</v>
      </c>
      <c r="AO108" s="97" t="s">
        <v>1133</v>
      </c>
      <c r="AP108" s="90" t="b">
        <v>0</v>
      </c>
      <c r="AQ108" s="97" t="s">
        <v>1070</v>
      </c>
      <c r="AR108" s="90" t="s">
        <v>178</v>
      </c>
      <c r="AS108" s="90">
        <v>0</v>
      </c>
      <c r="AT108" s="90">
        <v>0</v>
      </c>
      <c r="AU108" s="90"/>
      <c r="AV108" s="90"/>
      <c r="AW108" s="90"/>
      <c r="AX108" s="90"/>
      <c r="AY108" s="90"/>
      <c r="AZ108" s="90"/>
      <c r="BA108" s="90"/>
      <c r="BB108" s="90"/>
      <c r="BC108">
        <v>1</v>
      </c>
      <c r="BD108" s="89" t="str">
        <f>REPLACE(INDEX(GroupVertices[Group],MATCH(Edges[[#This Row],[Vertex 1]],GroupVertices[Vertex],0)),1,1,"")</f>
        <v>3</v>
      </c>
      <c r="BE108" s="89" t="str">
        <f>REPLACE(INDEX(GroupVertices[Group],MATCH(Edges[[#This Row],[Vertex 2]],GroupVertices[Vertex],0)),1,1,"")</f>
        <v>3</v>
      </c>
      <c r="BF108" s="49"/>
      <c r="BG108" s="50"/>
      <c r="BH108" s="49"/>
      <c r="BI108" s="50"/>
      <c r="BJ108" s="49"/>
      <c r="BK108" s="50"/>
      <c r="BL108" s="49"/>
      <c r="BM108" s="50"/>
      <c r="BN108" s="49"/>
    </row>
    <row r="109" spans="1:66" ht="15">
      <c r="A109" s="65" t="s">
        <v>280</v>
      </c>
      <c r="B109" s="65" t="s">
        <v>431</v>
      </c>
      <c r="C109" s="66" t="s">
        <v>4405</v>
      </c>
      <c r="D109" s="67">
        <v>1</v>
      </c>
      <c r="E109" s="68" t="s">
        <v>132</v>
      </c>
      <c r="F109" s="69">
        <v>32</v>
      </c>
      <c r="G109" s="66" t="s">
        <v>51</v>
      </c>
      <c r="H109" s="70"/>
      <c r="I109" s="71"/>
      <c r="J109" s="71"/>
      <c r="K109" s="35" t="s">
        <v>65</v>
      </c>
      <c r="L109" s="79">
        <v>109</v>
      </c>
      <c r="M109" s="79"/>
      <c r="N109" s="73"/>
      <c r="O109" s="90" t="s">
        <v>448</v>
      </c>
      <c r="P109" s="93">
        <v>44576.94459490741</v>
      </c>
      <c r="Q109" s="90" t="s">
        <v>495</v>
      </c>
      <c r="R109" s="90"/>
      <c r="S109" s="90"/>
      <c r="T109" s="90"/>
      <c r="U109" s="90"/>
      <c r="V109" s="95" t="str">
        <f>HYPERLINK("https://pbs.twimg.com/profile_images/1082353538066538496/RtGVETZD_normal.jpg")</f>
        <v>https://pbs.twimg.com/profile_images/1082353538066538496/RtGVETZD_normal.jpg</v>
      </c>
      <c r="W109" s="93">
        <v>44576.94459490741</v>
      </c>
      <c r="X109" s="102">
        <v>44576</v>
      </c>
      <c r="Y109" s="97" t="s">
        <v>650</v>
      </c>
      <c r="Z109" s="95" t="str">
        <f>HYPERLINK("https://twitter.com/markokarvonen3/status/1482482782358097928")</f>
        <v>https://twitter.com/markokarvonen3/status/1482482782358097928</v>
      </c>
      <c r="AA109" s="90"/>
      <c r="AB109" s="90"/>
      <c r="AC109" s="97" t="s">
        <v>891</v>
      </c>
      <c r="AD109" s="97" t="s">
        <v>1070</v>
      </c>
      <c r="AE109" s="90" t="b">
        <v>0</v>
      </c>
      <c r="AF109" s="90">
        <v>0</v>
      </c>
      <c r="AG109" s="97" t="s">
        <v>1110</v>
      </c>
      <c r="AH109" s="90" t="b">
        <v>0</v>
      </c>
      <c r="AI109" s="90" t="s">
        <v>1127</v>
      </c>
      <c r="AJ109" s="90"/>
      <c r="AK109" s="97" t="s">
        <v>1087</v>
      </c>
      <c r="AL109" s="90" t="b">
        <v>0</v>
      </c>
      <c r="AM109" s="90">
        <v>0</v>
      </c>
      <c r="AN109" s="97" t="s">
        <v>1087</v>
      </c>
      <c r="AO109" s="97" t="s">
        <v>1133</v>
      </c>
      <c r="AP109" s="90" t="b">
        <v>0</v>
      </c>
      <c r="AQ109" s="97" t="s">
        <v>1070</v>
      </c>
      <c r="AR109" s="90" t="s">
        <v>178</v>
      </c>
      <c r="AS109" s="90">
        <v>0</v>
      </c>
      <c r="AT109" s="90">
        <v>0</v>
      </c>
      <c r="AU109" s="90"/>
      <c r="AV109" s="90"/>
      <c r="AW109" s="90"/>
      <c r="AX109" s="90"/>
      <c r="AY109" s="90"/>
      <c r="AZ109" s="90"/>
      <c r="BA109" s="90"/>
      <c r="BB109" s="90"/>
      <c r="BC109">
        <v>1</v>
      </c>
      <c r="BD109" s="89" t="str">
        <f>REPLACE(INDEX(GroupVertices[Group],MATCH(Edges[[#This Row],[Vertex 1]],GroupVertices[Vertex],0)),1,1,"")</f>
        <v>3</v>
      </c>
      <c r="BE109" s="89" t="str">
        <f>REPLACE(INDEX(GroupVertices[Group],MATCH(Edges[[#This Row],[Vertex 2]],GroupVertices[Vertex],0)),1,1,"")</f>
        <v>3</v>
      </c>
      <c r="BF109" s="49">
        <v>0</v>
      </c>
      <c r="BG109" s="50">
        <v>0</v>
      </c>
      <c r="BH109" s="49">
        <v>0</v>
      </c>
      <c r="BI109" s="50">
        <v>0</v>
      </c>
      <c r="BJ109" s="49">
        <v>0</v>
      </c>
      <c r="BK109" s="50">
        <v>0</v>
      </c>
      <c r="BL109" s="49">
        <v>15</v>
      </c>
      <c r="BM109" s="50">
        <v>100</v>
      </c>
      <c r="BN109" s="49">
        <v>15</v>
      </c>
    </row>
    <row r="110" spans="1:66" ht="15">
      <c r="A110" s="65" t="s">
        <v>281</v>
      </c>
      <c r="B110" s="65" t="s">
        <v>416</v>
      </c>
      <c r="C110" s="66" t="s">
        <v>4405</v>
      </c>
      <c r="D110" s="67">
        <v>1</v>
      </c>
      <c r="E110" s="68" t="s">
        <v>132</v>
      </c>
      <c r="F110" s="69">
        <v>32</v>
      </c>
      <c r="G110" s="66" t="s">
        <v>51</v>
      </c>
      <c r="H110" s="70"/>
      <c r="I110" s="71"/>
      <c r="J110" s="71"/>
      <c r="K110" s="35" t="s">
        <v>65</v>
      </c>
      <c r="L110" s="79">
        <v>110</v>
      </c>
      <c r="M110" s="79"/>
      <c r="N110" s="73"/>
      <c r="O110" s="90" t="s">
        <v>449</v>
      </c>
      <c r="P110" s="93">
        <v>44576.94846064815</v>
      </c>
      <c r="Q110" s="90" t="s">
        <v>496</v>
      </c>
      <c r="R110" s="90"/>
      <c r="S110" s="90"/>
      <c r="T110" s="90"/>
      <c r="U110" s="90"/>
      <c r="V110" s="95" t="str">
        <f>HYPERLINK("https://pbs.twimg.com/profile_images/1073412351913848832/0_8KXcP2_normal.jpg")</f>
        <v>https://pbs.twimg.com/profile_images/1073412351913848832/0_8KXcP2_normal.jpg</v>
      </c>
      <c r="W110" s="93">
        <v>44576.94846064815</v>
      </c>
      <c r="X110" s="102">
        <v>44576</v>
      </c>
      <c r="Y110" s="97" t="s">
        <v>651</v>
      </c>
      <c r="Z110" s="95" t="str">
        <f>HYPERLINK("https://twitter.com/veijovaiste/status/1482484184514015236")</f>
        <v>https://twitter.com/veijovaiste/status/1482484184514015236</v>
      </c>
      <c r="AA110" s="90"/>
      <c r="AB110" s="90"/>
      <c r="AC110" s="97" t="s">
        <v>892</v>
      </c>
      <c r="AD110" s="97" t="s">
        <v>1059</v>
      </c>
      <c r="AE110" s="90" t="b">
        <v>0</v>
      </c>
      <c r="AF110" s="90">
        <v>0</v>
      </c>
      <c r="AG110" s="97" t="s">
        <v>1097</v>
      </c>
      <c r="AH110" s="90" t="b">
        <v>0</v>
      </c>
      <c r="AI110" s="90" t="s">
        <v>1127</v>
      </c>
      <c r="AJ110" s="90"/>
      <c r="AK110" s="97" t="s">
        <v>1087</v>
      </c>
      <c r="AL110" s="90" t="b">
        <v>0</v>
      </c>
      <c r="AM110" s="90">
        <v>0</v>
      </c>
      <c r="AN110" s="97" t="s">
        <v>1087</v>
      </c>
      <c r="AO110" s="97" t="s">
        <v>1132</v>
      </c>
      <c r="AP110" s="90" t="b">
        <v>0</v>
      </c>
      <c r="AQ110" s="97" t="s">
        <v>1059</v>
      </c>
      <c r="AR110" s="90" t="s">
        <v>178</v>
      </c>
      <c r="AS110" s="90">
        <v>0</v>
      </c>
      <c r="AT110" s="90">
        <v>0</v>
      </c>
      <c r="AU110" s="90"/>
      <c r="AV110" s="90"/>
      <c r="AW110" s="90"/>
      <c r="AX110" s="90"/>
      <c r="AY110" s="90"/>
      <c r="AZ110" s="90"/>
      <c r="BA110" s="90"/>
      <c r="BB110" s="90"/>
      <c r="BC110">
        <v>1</v>
      </c>
      <c r="BD110" s="89" t="str">
        <f>REPLACE(INDEX(GroupVertices[Group],MATCH(Edges[[#This Row],[Vertex 1]],GroupVertices[Vertex],0)),1,1,"")</f>
        <v>5</v>
      </c>
      <c r="BE110" s="89" t="str">
        <f>REPLACE(INDEX(GroupVertices[Group],MATCH(Edges[[#This Row],[Vertex 2]],GroupVertices[Vertex],0)),1,1,"")</f>
        <v>3</v>
      </c>
      <c r="BF110" s="49"/>
      <c r="BG110" s="50"/>
      <c r="BH110" s="49"/>
      <c r="BI110" s="50"/>
      <c r="BJ110" s="49"/>
      <c r="BK110" s="50"/>
      <c r="BL110" s="49"/>
      <c r="BM110" s="50"/>
      <c r="BN110" s="49"/>
    </row>
    <row r="111" spans="1:66" ht="15">
      <c r="A111" s="65" t="s">
        <v>281</v>
      </c>
      <c r="B111" s="65" t="s">
        <v>346</v>
      </c>
      <c r="C111" s="66" t="s">
        <v>4405</v>
      </c>
      <c r="D111" s="67">
        <v>1</v>
      </c>
      <c r="E111" s="68" t="s">
        <v>132</v>
      </c>
      <c r="F111" s="69">
        <v>32</v>
      </c>
      <c r="G111" s="66" t="s">
        <v>51</v>
      </c>
      <c r="H111" s="70"/>
      <c r="I111" s="71"/>
      <c r="J111" s="71"/>
      <c r="K111" s="35" t="s">
        <v>65</v>
      </c>
      <c r="L111" s="79">
        <v>111</v>
      </c>
      <c r="M111" s="79"/>
      <c r="N111" s="73"/>
      <c r="O111" s="90" t="s">
        <v>448</v>
      </c>
      <c r="P111" s="93">
        <v>44576.94846064815</v>
      </c>
      <c r="Q111" s="90" t="s">
        <v>496</v>
      </c>
      <c r="R111" s="90"/>
      <c r="S111" s="90"/>
      <c r="T111" s="90"/>
      <c r="U111" s="90"/>
      <c r="V111" s="95" t="str">
        <f>HYPERLINK("https://pbs.twimg.com/profile_images/1073412351913848832/0_8KXcP2_normal.jpg")</f>
        <v>https://pbs.twimg.com/profile_images/1073412351913848832/0_8KXcP2_normal.jpg</v>
      </c>
      <c r="W111" s="93">
        <v>44576.94846064815</v>
      </c>
      <c r="X111" s="102">
        <v>44576</v>
      </c>
      <c r="Y111" s="97" t="s">
        <v>651</v>
      </c>
      <c r="Z111" s="95" t="str">
        <f>HYPERLINK("https://twitter.com/veijovaiste/status/1482484184514015236")</f>
        <v>https://twitter.com/veijovaiste/status/1482484184514015236</v>
      </c>
      <c r="AA111" s="90"/>
      <c r="AB111" s="90"/>
      <c r="AC111" s="97" t="s">
        <v>892</v>
      </c>
      <c r="AD111" s="97" t="s">
        <v>1059</v>
      </c>
      <c r="AE111" s="90" t="b">
        <v>0</v>
      </c>
      <c r="AF111" s="90">
        <v>0</v>
      </c>
      <c r="AG111" s="97" t="s">
        <v>1097</v>
      </c>
      <c r="AH111" s="90" t="b">
        <v>0</v>
      </c>
      <c r="AI111" s="90" t="s">
        <v>1127</v>
      </c>
      <c r="AJ111" s="90"/>
      <c r="AK111" s="97" t="s">
        <v>1087</v>
      </c>
      <c r="AL111" s="90" t="b">
        <v>0</v>
      </c>
      <c r="AM111" s="90">
        <v>0</v>
      </c>
      <c r="AN111" s="97" t="s">
        <v>1087</v>
      </c>
      <c r="AO111" s="97" t="s">
        <v>1132</v>
      </c>
      <c r="AP111" s="90" t="b">
        <v>0</v>
      </c>
      <c r="AQ111" s="97" t="s">
        <v>1059</v>
      </c>
      <c r="AR111" s="90" t="s">
        <v>178</v>
      </c>
      <c r="AS111" s="90">
        <v>0</v>
      </c>
      <c r="AT111" s="90">
        <v>0</v>
      </c>
      <c r="AU111" s="90"/>
      <c r="AV111" s="90"/>
      <c r="AW111" s="90"/>
      <c r="AX111" s="90"/>
      <c r="AY111" s="90"/>
      <c r="AZ111" s="90"/>
      <c r="BA111" s="90"/>
      <c r="BB111" s="90"/>
      <c r="BC111">
        <v>1</v>
      </c>
      <c r="BD111" s="89" t="str">
        <f>REPLACE(INDEX(GroupVertices[Group],MATCH(Edges[[#This Row],[Vertex 1]],GroupVertices[Vertex],0)),1,1,"")</f>
        <v>5</v>
      </c>
      <c r="BE111" s="89" t="str">
        <f>REPLACE(INDEX(GroupVertices[Group],MATCH(Edges[[#This Row],[Vertex 2]],GroupVertices[Vertex],0)),1,1,"")</f>
        <v>5</v>
      </c>
      <c r="BF111" s="49">
        <v>0</v>
      </c>
      <c r="BG111" s="50">
        <v>0</v>
      </c>
      <c r="BH111" s="49">
        <v>0</v>
      </c>
      <c r="BI111" s="50">
        <v>0</v>
      </c>
      <c r="BJ111" s="49">
        <v>0</v>
      </c>
      <c r="BK111" s="50">
        <v>0</v>
      </c>
      <c r="BL111" s="49">
        <v>4</v>
      </c>
      <c r="BM111" s="50">
        <v>100</v>
      </c>
      <c r="BN111" s="49">
        <v>4</v>
      </c>
    </row>
    <row r="112" spans="1:66" ht="15">
      <c r="A112" s="65" t="s">
        <v>282</v>
      </c>
      <c r="B112" s="65" t="s">
        <v>416</v>
      </c>
      <c r="C112" s="66" t="s">
        <v>4405</v>
      </c>
      <c r="D112" s="67">
        <v>1</v>
      </c>
      <c r="E112" s="68" t="s">
        <v>132</v>
      </c>
      <c r="F112" s="69">
        <v>32</v>
      </c>
      <c r="G112" s="66" t="s">
        <v>51</v>
      </c>
      <c r="H112" s="70"/>
      <c r="I112" s="71"/>
      <c r="J112" s="71"/>
      <c r="K112" s="35" t="s">
        <v>65</v>
      </c>
      <c r="L112" s="79">
        <v>112</v>
      </c>
      <c r="M112" s="79"/>
      <c r="N112" s="73"/>
      <c r="O112" s="90" t="s">
        <v>449</v>
      </c>
      <c r="P112" s="93">
        <v>44577.054398148146</v>
      </c>
      <c r="Q112" s="90" t="s">
        <v>497</v>
      </c>
      <c r="R112" s="90"/>
      <c r="S112" s="90"/>
      <c r="T112" s="90"/>
      <c r="U112" s="95" t="str">
        <f>HYPERLINK("https://pbs.twimg.com/media/FJL6bEEX0AU3Oyg.jpg")</f>
        <v>https://pbs.twimg.com/media/FJL6bEEX0AU3Oyg.jpg</v>
      </c>
      <c r="V112" s="95" t="str">
        <f>HYPERLINK("https://pbs.twimg.com/media/FJL6bEEX0AU3Oyg.jpg")</f>
        <v>https://pbs.twimg.com/media/FJL6bEEX0AU3Oyg.jpg</v>
      </c>
      <c r="W112" s="93">
        <v>44577.054398148146</v>
      </c>
      <c r="X112" s="102">
        <v>44577</v>
      </c>
      <c r="Y112" s="97" t="s">
        <v>652</v>
      </c>
      <c r="Z112" s="95" t="str">
        <f>HYPERLINK("https://twitter.com/jalonenkaija/status/1482522575892791297")</f>
        <v>https://twitter.com/jalonenkaija/status/1482522575892791297</v>
      </c>
      <c r="AA112" s="90"/>
      <c r="AB112" s="90"/>
      <c r="AC112" s="97" t="s">
        <v>893</v>
      </c>
      <c r="AD112" s="90"/>
      <c r="AE112" s="90" t="b">
        <v>0</v>
      </c>
      <c r="AF112" s="90">
        <v>0</v>
      </c>
      <c r="AG112" s="97" t="s">
        <v>1087</v>
      </c>
      <c r="AH112" s="90" t="b">
        <v>0</v>
      </c>
      <c r="AI112" s="90" t="s">
        <v>1127</v>
      </c>
      <c r="AJ112" s="90"/>
      <c r="AK112" s="97" t="s">
        <v>1087</v>
      </c>
      <c r="AL112" s="90" t="b">
        <v>0</v>
      </c>
      <c r="AM112" s="90">
        <v>0</v>
      </c>
      <c r="AN112" s="97" t="s">
        <v>1087</v>
      </c>
      <c r="AO112" s="97" t="s">
        <v>1133</v>
      </c>
      <c r="AP112" s="90" t="b">
        <v>0</v>
      </c>
      <c r="AQ112" s="97" t="s">
        <v>893</v>
      </c>
      <c r="AR112" s="90" t="s">
        <v>178</v>
      </c>
      <c r="AS112" s="90">
        <v>0</v>
      </c>
      <c r="AT112" s="90">
        <v>0</v>
      </c>
      <c r="AU112" s="90"/>
      <c r="AV112" s="90"/>
      <c r="AW112" s="90"/>
      <c r="AX112" s="90"/>
      <c r="AY112" s="90"/>
      <c r="AZ112" s="90"/>
      <c r="BA112" s="90"/>
      <c r="BB112" s="90"/>
      <c r="BC112">
        <v>1</v>
      </c>
      <c r="BD112" s="89" t="str">
        <f>REPLACE(INDEX(GroupVertices[Group],MATCH(Edges[[#This Row],[Vertex 1]],GroupVertices[Vertex],0)),1,1,"")</f>
        <v>3</v>
      </c>
      <c r="BE112" s="89" t="str">
        <f>REPLACE(INDEX(GroupVertices[Group],MATCH(Edges[[#This Row],[Vertex 2]],GroupVertices[Vertex],0)),1,1,"")</f>
        <v>3</v>
      </c>
      <c r="BF112" s="49">
        <v>0</v>
      </c>
      <c r="BG112" s="50">
        <v>0</v>
      </c>
      <c r="BH112" s="49">
        <v>0</v>
      </c>
      <c r="BI112" s="50">
        <v>0</v>
      </c>
      <c r="BJ112" s="49">
        <v>0</v>
      </c>
      <c r="BK112" s="50">
        <v>0</v>
      </c>
      <c r="BL112" s="49">
        <v>7</v>
      </c>
      <c r="BM112" s="50">
        <v>100</v>
      </c>
      <c r="BN112" s="49">
        <v>7</v>
      </c>
    </row>
    <row r="113" spans="1:66" ht="15">
      <c r="A113" s="65" t="s">
        <v>283</v>
      </c>
      <c r="B113" s="65" t="s">
        <v>346</v>
      </c>
      <c r="C113" s="66" t="s">
        <v>4405</v>
      </c>
      <c r="D113" s="67">
        <v>1</v>
      </c>
      <c r="E113" s="68" t="s">
        <v>132</v>
      </c>
      <c r="F113" s="69">
        <v>32</v>
      </c>
      <c r="G113" s="66" t="s">
        <v>51</v>
      </c>
      <c r="H113" s="70"/>
      <c r="I113" s="71"/>
      <c r="J113" s="71"/>
      <c r="K113" s="35" t="s">
        <v>65</v>
      </c>
      <c r="L113" s="79">
        <v>113</v>
      </c>
      <c r="M113" s="79"/>
      <c r="N113" s="73"/>
      <c r="O113" s="90" t="s">
        <v>448</v>
      </c>
      <c r="P113" s="93">
        <v>44577.2358912037</v>
      </c>
      <c r="Q113" s="90" t="s">
        <v>498</v>
      </c>
      <c r="R113" s="90"/>
      <c r="S113" s="90"/>
      <c r="T113" s="90"/>
      <c r="U113" s="95" t="str">
        <f>HYPERLINK("https://pbs.twimg.com/media/FJM1swlXoAEAf16.png")</f>
        <v>https://pbs.twimg.com/media/FJM1swlXoAEAf16.png</v>
      </c>
      <c r="V113" s="95" t="str">
        <f>HYPERLINK("https://pbs.twimg.com/media/FJM1swlXoAEAf16.png")</f>
        <v>https://pbs.twimg.com/media/FJM1swlXoAEAf16.png</v>
      </c>
      <c r="W113" s="93">
        <v>44577.2358912037</v>
      </c>
      <c r="X113" s="102">
        <v>44577</v>
      </c>
      <c r="Y113" s="97" t="s">
        <v>653</v>
      </c>
      <c r="Z113" s="95" t="str">
        <f>HYPERLINK("https://twitter.com/seppopalkki/status/1482588347474354177")</f>
        <v>https://twitter.com/seppopalkki/status/1482588347474354177</v>
      </c>
      <c r="AA113" s="90"/>
      <c r="AB113" s="90"/>
      <c r="AC113" s="97" t="s">
        <v>894</v>
      </c>
      <c r="AD113" s="97" t="s">
        <v>1059</v>
      </c>
      <c r="AE113" s="90" t="b">
        <v>0</v>
      </c>
      <c r="AF113" s="90">
        <v>1</v>
      </c>
      <c r="AG113" s="97" t="s">
        <v>1097</v>
      </c>
      <c r="AH113" s="90" t="b">
        <v>0</v>
      </c>
      <c r="AI113" s="90" t="s">
        <v>1127</v>
      </c>
      <c r="AJ113" s="90"/>
      <c r="AK113" s="97" t="s">
        <v>1087</v>
      </c>
      <c r="AL113" s="90" t="b">
        <v>0</v>
      </c>
      <c r="AM113" s="90">
        <v>0</v>
      </c>
      <c r="AN113" s="97" t="s">
        <v>1087</v>
      </c>
      <c r="AO113" s="97" t="s">
        <v>1132</v>
      </c>
      <c r="AP113" s="90" t="b">
        <v>0</v>
      </c>
      <c r="AQ113" s="97" t="s">
        <v>1059</v>
      </c>
      <c r="AR113" s="90" t="s">
        <v>178</v>
      </c>
      <c r="AS113" s="90">
        <v>0</v>
      </c>
      <c r="AT113" s="90">
        <v>0</v>
      </c>
      <c r="AU113" s="90"/>
      <c r="AV113" s="90"/>
      <c r="AW113" s="90"/>
      <c r="AX113" s="90"/>
      <c r="AY113" s="90"/>
      <c r="AZ113" s="90"/>
      <c r="BA113" s="90"/>
      <c r="BB113" s="90"/>
      <c r="BC113">
        <v>1</v>
      </c>
      <c r="BD113" s="89" t="str">
        <f>REPLACE(INDEX(GroupVertices[Group],MATCH(Edges[[#This Row],[Vertex 1]],GroupVertices[Vertex],0)),1,1,"")</f>
        <v>5</v>
      </c>
      <c r="BE113" s="89" t="str">
        <f>REPLACE(INDEX(GroupVertices[Group],MATCH(Edges[[#This Row],[Vertex 2]],GroupVertices[Vertex],0)),1,1,"")</f>
        <v>5</v>
      </c>
      <c r="BF113" s="49">
        <v>0</v>
      </c>
      <c r="BG113" s="50">
        <v>0</v>
      </c>
      <c r="BH113" s="49">
        <v>0</v>
      </c>
      <c r="BI113" s="50">
        <v>0</v>
      </c>
      <c r="BJ113" s="49">
        <v>0</v>
      </c>
      <c r="BK113" s="50">
        <v>0</v>
      </c>
      <c r="BL113" s="49">
        <v>28</v>
      </c>
      <c r="BM113" s="50">
        <v>100</v>
      </c>
      <c r="BN113" s="49">
        <v>28</v>
      </c>
    </row>
    <row r="114" spans="1:66" ht="15">
      <c r="A114" s="65" t="s">
        <v>284</v>
      </c>
      <c r="B114" s="65" t="s">
        <v>349</v>
      </c>
      <c r="C114" s="66" t="s">
        <v>4405</v>
      </c>
      <c r="D114" s="67">
        <v>1</v>
      </c>
      <c r="E114" s="68" t="s">
        <v>132</v>
      </c>
      <c r="F114" s="69">
        <v>32</v>
      </c>
      <c r="G114" s="66" t="s">
        <v>51</v>
      </c>
      <c r="H114" s="70"/>
      <c r="I114" s="71"/>
      <c r="J114" s="71"/>
      <c r="K114" s="35" t="s">
        <v>65</v>
      </c>
      <c r="L114" s="79">
        <v>114</v>
      </c>
      <c r="M114" s="79"/>
      <c r="N114" s="73"/>
      <c r="O114" s="90" t="s">
        <v>448</v>
      </c>
      <c r="P114" s="93">
        <v>44577.25989583333</v>
      </c>
      <c r="Q114" s="90" t="s">
        <v>499</v>
      </c>
      <c r="R114" s="90"/>
      <c r="S114" s="90"/>
      <c r="T114" s="97" t="s">
        <v>556</v>
      </c>
      <c r="U114" s="90"/>
      <c r="V114" s="95" t="str">
        <f>HYPERLINK("https://pbs.twimg.com/profile_images/1144279196660883457/ahBbyL7a_normal.jpg")</f>
        <v>https://pbs.twimg.com/profile_images/1144279196660883457/ahBbyL7a_normal.jpg</v>
      </c>
      <c r="W114" s="93">
        <v>44577.25989583333</v>
      </c>
      <c r="X114" s="102">
        <v>44577</v>
      </c>
      <c r="Y114" s="97" t="s">
        <v>654</v>
      </c>
      <c r="Z114" s="95" t="str">
        <f>HYPERLINK("https://twitter.com/nikkiviitaharju/status/1482597043344445443")</f>
        <v>https://twitter.com/nikkiviitaharju/status/1482597043344445443</v>
      </c>
      <c r="AA114" s="90"/>
      <c r="AB114" s="90"/>
      <c r="AC114" s="97" t="s">
        <v>895</v>
      </c>
      <c r="AD114" s="97" t="s">
        <v>975</v>
      </c>
      <c r="AE114" s="90" t="b">
        <v>0</v>
      </c>
      <c r="AF114" s="90">
        <v>1</v>
      </c>
      <c r="AG114" s="97" t="s">
        <v>1090</v>
      </c>
      <c r="AH114" s="90" t="b">
        <v>0</v>
      </c>
      <c r="AI114" s="90" t="s">
        <v>1127</v>
      </c>
      <c r="AJ114" s="90"/>
      <c r="AK114" s="97" t="s">
        <v>1087</v>
      </c>
      <c r="AL114" s="90" t="b">
        <v>0</v>
      </c>
      <c r="AM114" s="90">
        <v>0</v>
      </c>
      <c r="AN114" s="97" t="s">
        <v>1087</v>
      </c>
      <c r="AO114" s="97" t="s">
        <v>1133</v>
      </c>
      <c r="AP114" s="90" t="b">
        <v>0</v>
      </c>
      <c r="AQ114" s="97" t="s">
        <v>975</v>
      </c>
      <c r="AR114" s="90" t="s">
        <v>178</v>
      </c>
      <c r="AS114" s="90">
        <v>0</v>
      </c>
      <c r="AT114" s="90">
        <v>0</v>
      </c>
      <c r="AU114" s="90"/>
      <c r="AV114" s="90"/>
      <c r="AW114" s="90"/>
      <c r="AX114" s="90"/>
      <c r="AY114" s="90"/>
      <c r="AZ114" s="90"/>
      <c r="BA114" s="90"/>
      <c r="BB114" s="90"/>
      <c r="BC114">
        <v>1</v>
      </c>
      <c r="BD114" s="89" t="str">
        <f>REPLACE(INDEX(GroupVertices[Group],MATCH(Edges[[#This Row],[Vertex 1]],GroupVertices[Vertex],0)),1,1,"")</f>
        <v>6</v>
      </c>
      <c r="BE114" s="89" t="str">
        <f>REPLACE(INDEX(GroupVertices[Group],MATCH(Edges[[#This Row],[Vertex 2]],GroupVertices[Vertex],0)),1,1,"")</f>
        <v>6</v>
      </c>
      <c r="BF114" s="49">
        <v>0</v>
      </c>
      <c r="BG114" s="50">
        <v>0</v>
      </c>
      <c r="BH114" s="49">
        <v>0</v>
      </c>
      <c r="BI114" s="50">
        <v>0</v>
      </c>
      <c r="BJ114" s="49">
        <v>0</v>
      </c>
      <c r="BK114" s="50">
        <v>0</v>
      </c>
      <c r="BL114" s="49">
        <v>9</v>
      </c>
      <c r="BM114" s="50">
        <v>100</v>
      </c>
      <c r="BN114" s="49">
        <v>9</v>
      </c>
    </row>
    <row r="115" spans="1:66" ht="15">
      <c r="A115" s="65" t="s">
        <v>285</v>
      </c>
      <c r="B115" s="65" t="s">
        <v>416</v>
      </c>
      <c r="C115" s="66" t="s">
        <v>4405</v>
      </c>
      <c r="D115" s="67">
        <v>1</v>
      </c>
      <c r="E115" s="68" t="s">
        <v>132</v>
      </c>
      <c r="F115" s="69">
        <v>32</v>
      </c>
      <c r="G115" s="66" t="s">
        <v>51</v>
      </c>
      <c r="H115" s="70"/>
      <c r="I115" s="71"/>
      <c r="J115" s="71"/>
      <c r="K115" s="35" t="s">
        <v>65</v>
      </c>
      <c r="L115" s="79">
        <v>115</v>
      </c>
      <c r="M115" s="79"/>
      <c r="N115" s="73"/>
      <c r="O115" s="90" t="s">
        <v>449</v>
      </c>
      <c r="P115" s="93">
        <v>44575.820856481485</v>
      </c>
      <c r="Q115" s="90" t="s">
        <v>500</v>
      </c>
      <c r="R115" s="90"/>
      <c r="S115" s="90"/>
      <c r="T115" s="90"/>
      <c r="U115" s="90"/>
      <c r="V115" s="95" t="str">
        <f>HYPERLINK("https://pbs.twimg.com/profile_images/1476859666063892495/-y2i9Qm-_normal.jpg")</f>
        <v>https://pbs.twimg.com/profile_images/1476859666063892495/-y2i9Qm-_normal.jpg</v>
      </c>
      <c r="W115" s="93">
        <v>44575.820856481485</v>
      </c>
      <c r="X115" s="102">
        <v>44575</v>
      </c>
      <c r="Y115" s="97" t="s">
        <v>655</v>
      </c>
      <c r="Z115" s="95" t="str">
        <f>HYPERLINK("https://twitter.com/gonzalespedros3/status/1482075555247923208")</f>
        <v>https://twitter.com/gonzalespedros3/status/1482075555247923208</v>
      </c>
      <c r="AA115" s="90"/>
      <c r="AB115" s="90"/>
      <c r="AC115" s="97" t="s">
        <v>896</v>
      </c>
      <c r="AD115" s="97" t="s">
        <v>1022</v>
      </c>
      <c r="AE115" s="90" t="b">
        <v>0</v>
      </c>
      <c r="AF115" s="90">
        <v>0</v>
      </c>
      <c r="AG115" s="97" t="s">
        <v>1089</v>
      </c>
      <c r="AH115" s="90" t="b">
        <v>0</v>
      </c>
      <c r="AI115" s="90" t="s">
        <v>1128</v>
      </c>
      <c r="AJ115" s="90"/>
      <c r="AK115" s="97" t="s">
        <v>1087</v>
      </c>
      <c r="AL115" s="90" t="b">
        <v>0</v>
      </c>
      <c r="AM115" s="90">
        <v>0</v>
      </c>
      <c r="AN115" s="97" t="s">
        <v>1087</v>
      </c>
      <c r="AO115" s="97" t="s">
        <v>1135</v>
      </c>
      <c r="AP115" s="90" t="b">
        <v>0</v>
      </c>
      <c r="AQ115" s="97" t="s">
        <v>1022</v>
      </c>
      <c r="AR115" s="90" t="s">
        <v>178</v>
      </c>
      <c r="AS115" s="90">
        <v>0</v>
      </c>
      <c r="AT115" s="90">
        <v>0</v>
      </c>
      <c r="AU115" s="90"/>
      <c r="AV115" s="90"/>
      <c r="AW115" s="90"/>
      <c r="AX115" s="90"/>
      <c r="AY115" s="90"/>
      <c r="AZ115" s="90"/>
      <c r="BA115" s="90"/>
      <c r="BB115" s="90"/>
      <c r="BC115">
        <v>1</v>
      </c>
      <c r="BD115" s="89" t="str">
        <f>REPLACE(INDEX(GroupVertices[Group],MATCH(Edges[[#This Row],[Vertex 1]],GroupVertices[Vertex],0)),1,1,"")</f>
        <v>3</v>
      </c>
      <c r="BE115" s="89" t="str">
        <f>REPLACE(INDEX(GroupVertices[Group],MATCH(Edges[[#This Row],[Vertex 2]],GroupVertices[Vertex],0)),1,1,"")</f>
        <v>3</v>
      </c>
      <c r="BF115" s="49"/>
      <c r="BG115" s="50"/>
      <c r="BH115" s="49"/>
      <c r="BI115" s="50"/>
      <c r="BJ115" s="49"/>
      <c r="BK115" s="50"/>
      <c r="BL115" s="49"/>
      <c r="BM115" s="50"/>
      <c r="BN115" s="49"/>
    </row>
    <row r="116" spans="1:66" ht="15">
      <c r="A116" s="65" t="s">
        <v>285</v>
      </c>
      <c r="B116" s="65" t="s">
        <v>384</v>
      </c>
      <c r="C116" s="66" t="s">
        <v>4405</v>
      </c>
      <c r="D116" s="67">
        <v>1</v>
      </c>
      <c r="E116" s="68" t="s">
        <v>132</v>
      </c>
      <c r="F116" s="69">
        <v>32</v>
      </c>
      <c r="G116" s="66" t="s">
        <v>51</v>
      </c>
      <c r="H116" s="70"/>
      <c r="I116" s="71"/>
      <c r="J116" s="71"/>
      <c r="K116" s="35" t="s">
        <v>65</v>
      </c>
      <c r="L116" s="79">
        <v>116</v>
      </c>
      <c r="M116" s="79"/>
      <c r="N116" s="73"/>
      <c r="O116" s="90" t="s">
        <v>448</v>
      </c>
      <c r="P116" s="93">
        <v>44575.820856481485</v>
      </c>
      <c r="Q116" s="90" t="s">
        <v>500</v>
      </c>
      <c r="R116" s="90"/>
      <c r="S116" s="90"/>
      <c r="T116" s="90"/>
      <c r="U116" s="90"/>
      <c r="V116" s="95" t="str">
        <f>HYPERLINK("https://pbs.twimg.com/profile_images/1476859666063892495/-y2i9Qm-_normal.jpg")</f>
        <v>https://pbs.twimg.com/profile_images/1476859666063892495/-y2i9Qm-_normal.jpg</v>
      </c>
      <c r="W116" s="93">
        <v>44575.820856481485</v>
      </c>
      <c r="X116" s="102">
        <v>44575</v>
      </c>
      <c r="Y116" s="97" t="s">
        <v>655</v>
      </c>
      <c r="Z116" s="95" t="str">
        <f>HYPERLINK("https://twitter.com/gonzalespedros3/status/1482075555247923208")</f>
        <v>https://twitter.com/gonzalespedros3/status/1482075555247923208</v>
      </c>
      <c r="AA116" s="90"/>
      <c r="AB116" s="90"/>
      <c r="AC116" s="97" t="s">
        <v>896</v>
      </c>
      <c r="AD116" s="97" t="s">
        <v>1022</v>
      </c>
      <c r="AE116" s="90" t="b">
        <v>0</v>
      </c>
      <c r="AF116" s="90">
        <v>0</v>
      </c>
      <c r="AG116" s="97" t="s">
        <v>1089</v>
      </c>
      <c r="AH116" s="90" t="b">
        <v>0</v>
      </c>
      <c r="AI116" s="90" t="s">
        <v>1128</v>
      </c>
      <c r="AJ116" s="90"/>
      <c r="AK116" s="97" t="s">
        <v>1087</v>
      </c>
      <c r="AL116" s="90" t="b">
        <v>0</v>
      </c>
      <c r="AM116" s="90">
        <v>0</v>
      </c>
      <c r="AN116" s="97" t="s">
        <v>1087</v>
      </c>
      <c r="AO116" s="97" t="s">
        <v>1135</v>
      </c>
      <c r="AP116" s="90" t="b">
        <v>0</v>
      </c>
      <c r="AQ116" s="97" t="s">
        <v>1022</v>
      </c>
      <c r="AR116" s="90" t="s">
        <v>178</v>
      </c>
      <c r="AS116" s="90">
        <v>0</v>
      </c>
      <c r="AT116" s="90">
        <v>0</v>
      </c>
      <c r="AU116" s="90"/>
      <c r="AV116" s="90"/>
      <c r="AW116" s="90"/>
      <c r="AX116" s="90"/>
      <c r="AY116" s="90"/>
      <c r="AZ116" s="90"/>
      <c r="BA116" s="90"/>
      <c r="BB116" s="90"/>
      <c r="BC116">
        <v>1</v>
      </c>
      <c r="BD116" s="89" t="str">
        <f>REPLACE(INDEX(GroupVertices[Group],MATCH(Edges[[#This Row],[Vertex 1]],GroupVertices[Vertex],0)),1,1,"")</f>
        <v>3</v>
      </c>
      <c r="BE116" s="89" t="str">
        <f>REPLACE(INDEX(GroupVertices[Group],MATCH(Edges[[#This Row],[Vertex 2]],GroupVertices[Vertex],0)),1,1,"")</f>
        <v>2</v>
      </c>
      <c r="BF116" s="49">
        <v>0</v>
      </c>
      <c r="BG116" s="50">
        <v>0</v>
      </c>
      <c r="BH116" s="49">
        <v>0</v>
      </c>
      <c r="BI116" s="50">
        <v>0</v>
      </c>
      <c r="BJ116" s="49">
        <v>0</v>
      </c>
      <c r="BK116" s="50">
        <v>0</v>
      </c>
      <c r="BL116" s="49">
        <v>2</v>
      </c>
      <c r="BM116" s="50">
        <v>100</v>
      </c>
      <c r="BN116" s="49">
        <v>2</v>
      </c>
    </row>
    <row r="117" spans="1:66" ht="15">
      <c r="A117" s="65" t="s">
        <v>285</v>
      </c>
      <c r="B117" s="65" t="s">
        <v>416</v>
      </c>
      <c r="C117" s="66" t="s">
        <v>4405</v>
      </c>
      <c r="D117" s="67">
        <v>1</v>
      </c>
      <c r="E117" s="68" t="s">
        <v>132</v>
      </c>
      <c r="F117" s="69">
        <v>32</v>
      </c>
      <c r="G117" s="66" t="s">
        <v>51</v>
      </c>
      <c r="H117" s="70"/>
      <c r="I117" s="71"/>
      <c r="J117" s="71"/>
      <c r="K117" s="35" t="s">
        <v>65</v>
      </c>
      <c r="L117" s="79">
        <v>117</v>
      </c>
      <c r="M117" s="79"/>
      <c r="N117" s="73"/>
      <c r="O117" s="90" t="s">
        <v>448</v>
      </c>
      <c r="P117" s="93">
        <v>44577.293275462966</v>
      </c>
      <c r="Q117" s="90" t="s">
        <v>501</v>
      </c>
      <c r="R117" s="95" t="str">
        <f>HYPERLINK("https://twitter.com/JacksonReima/status/1482382445974544388")</f>
        <v>https://twitter.com/JacksonReima/status/1482382445974544388</v>
      </c>
      <c r="S117" s="90" t="s">
        <v>552</v>
      </c>
      <c r="T117" s="97" t="s">
        <v>565</v>
      </c>
      <c r="U117" s="90"/>
      <c r="V117" s="95" t="str">
        <f>HYPERLINK("https://pbs.twimg.com/profile_images/1476859666063892495/-y2i9Qm-_normal.jpg")</f>
        <v>https://pbs.twimg.com/profile_images/1476859666063892495/-y2i9Qm-_normal.jpg</v>
      </c>
      <c r="W117" s="93">
        <v>44577.293275462966</v>
      </c>
      <c r="X117" s="102">
        <v>44577</v>
      </c>
      <c r="Y117" s="97" t="s">
        <v>656</v>
      </c>
      <c r="Z117" s="95" t="str">
        <f>HYPERLINK("https://twitter.com/gonzalespedros3/status/1482609140686073862")</f>
        <v>https://twitter.com/gonzalespedros3/status/1482609140686073862</v>
      </c>
      <c r="AA117" s="90"/>
      <c r="AB117" s="90"/>
      <c r="AC117" s="97" t="s">
        <v>897</v>
      </c>
      <c r="AD117" s="90"/>
      <c r="AE117" s="90" t="b">
        <v>0</v>
      </c>
      <c r="AF117" s="90">
        <v>1</v>
      </c>
      <c r="AG117" s="97" t="s">
        <v>1092</v>
      </c>
      <c r="AH117" s="90" t="b">
        <v>1</v>
      </c>
      <c r="AI117" s="90" t="s">
        <v>1130</v>
      </c>
      <c r="AJ117" s="90"/>
      <c r="AK117" s="97" t="s">
        <v>1131</v>
      </c>
      <c r="AL117" s="90" t="b">
        <v>0</v>
      </c>
      <c r="AM117" s="90">
        <v>0</v>
      </c>
      <c r="AN117" s="97" t="s">
        <v>1087</v>
      </c>
      <c r="AO117" s="97" t="s">
        <v>1134</v>
      </c>
      <c r="AP117" s="90" t="b">
        <v>0</v>
      </c>
      <c r="AQ117" s="97" t="s">
        <v>897</v>
      </c>
      <c r="AR117" s="90" t="s">
        <v>178</v>
      </c>
      <c r="AS117" s="90">
        <v>0</v>
      </c>
      <c r="AT117" s="90">
        <v>0</v>
      </c>
      <c r="AU117" s="90"/>
      <c r="AV117" s="90"/>
      <c r="AW117" s="90"/>
      <c r="AX117" s="90"/>
      <c r="AY117" s="90"/>
      <c r="AZ117" s="90"/>
      <c r="BA117" s="90"/>
      <c r="BB117" s="90"/>
      <c r="BC117">
        <v>1</v>
      </c>
      <c r="BD117" s="89" t="str">
        <f>REPLACE(INDEX(GroupVertices[Group],MATCH(Edges[[#This Row],[Vertex 1]],GroupVertices[Vertex],0)),1,1,"")</f>
        <v>3</v>
      </c>
      <c r="BE117" s="89" t="str">
        <f>REPLACE(INDEX(GroupVertices[Group],MATCH(Edges[[#This Row],[Vertex 2]],GroupVertices[Vertex],0)),1,1,"")</f>
        <v>3</v>
      </c>
      <c r="BF117" s="49">
        <v>0</v>
      </c>
      <c r="BG117" s="50">
        <v>0</v>
      </c>
      <c r="BH117" s="49">
        <v>0</v>
      </c>
      <c r="BI117" s="50">
        <v>0</v>
      </c>
      <c r="BJ117" s="49">
        <v>0</v>
      </c>
      <c r="BK117" s="50">
        <v>0</v>
      </c>
      <c r="BL117" s="49">
        <v>6</v>
      </c>
      <c r="BM117" s="50">
        <v>100</v>
      </c>
      <c r="BN117" s="49">
        <v>6</v>
      </c>
    </row>
    <row r="118" spans="1:66" ht="15">
      <c r="A118" s="65" t="s">
        <v>286</v>
      </c>
      <c r="B118" s="65" t="s">
        <v>286</v>
      </c>
      <c r="C118" s="66" t="s">
        <v>4405</v>
      </c>
      <c r="D118" s="67">
        <v>1</v>
      </c>
      <c r="E118" s="68" t="s">
        <v>132</v>
      </c>
      <c r="F118" s="69">
        <v>32</v>
      </c>
      <c r="G118" s="66" t="s">
        <v>51</v>
      </c>
      <c r="H118" s="70"/>
      <c r="I118" s="71"/>
      <c r="J118" s="71"/>
      <c r="K118" s="35" t="s">
        <v>65</v>
      </c>
      <c r="L118" s="79">
        <v>118</v>
      </c>
      <c r="M118" s="79"/>
      <c r="N118" s="73"/>
      <c r="O118" s="90" t="s">
        <v>178</v>
      </c>
      <c r="P118" s="93">
        <v>44577.4021875</v>
      </c>
      <c r="Q118" s="90" t="s">
        <v>502</v>
      </c>
      <c r="R118" s="90"/>
      <c r="S118" s="90"/>
      <c r="T118" s="97" t="s">
        <v>566</v>
      </c>
      <c r="U118" s="90"/>
      <c r="V118" s="95" t="str">
        <f>HYPERLINK("https://pbs.twimg.com/profile_images/1467254076228476933/fyJV9dwo_normal.jpg")</f>
        <v>https://pbs.twimg.com/profile_images/1467254076228476933/fyJV9dwo_normal.jpg</v>
      </c>
      <c r="W118" s="93">
        <v>44577.4021875</v>
      </c>
      <c r="X118" s="102">
        <v>44577</v>
      </c>
      <c r="Y118" s="97" t="s">
        <v>657</v>
      </c>
      <c r="Z118" s="95" t="str">
        <f>HYPERLINK("https://twitter.com/mikkopohjanhei2/status/1482648608121966594")</f>
        <v>https://twitter.com/mikkopohjanhei2/status/1482648608121966594</v>
      </c>
      <c r="AA118" s="90"/>
      <c r="AB118" s="90"/>
      <c r="AC118" s="97" t="s">
        <v>898</v>
      </c>
      <c r="AD118" s="90"/>
      <c r="AE118" s="90" t="b">
        <v>0</v>
      </c>
      <c r="AF118" s="90">
        <v>0</v>
      </c>
      <c r="AG118" s="97" t="s">
        <v>1087</v>
      </c>
      <c r="AH118" s="90" t="b">
        <v>0</v>
      </c>
      <c r="AI118" s="90" t="s">
        <v>1127</v>
      </c>
      <c r="AJ118" s="90"/>
      <c r="AK118" s="97" t="s">
        <v>1087</v>
      </c>
      <c r="AL118" s="90" t="b">
        <v>0</v>
      </c>
      <c r="AM118" s="90">
        <v>0</v>
      </c>
      <c r="AN118" s="97" t="s">
        <v>1087</v>
      </c>
      <c r="AO118" s="97" t="s">
        <v>1132</v>
      </c>
      <c r="AP118" s="90" t="b">
        <v>0</v>
      </c>
      <c r="AQ118" s="97" t="s">
        <v>898</v>
      </c>
      <c r="AR118" s="90" t="s">
        <v>178</v>
      </c>
      <c r="AS118" s="90">
        <v>0</v>
      </c>
      <c r="AT118" s="90">
        <v>0</v>
      </c>
      <c r="AU118" s="90"/>
      <c r="AV118" s="90"/>
      <c r="AW118" s="90"/>
      <c r="AX118" s="90"/>
      <c r="AY118" s="90"/>
      <c r="AZ118" s="90"/>
      <c r="BA118" s="90"/>
      <c r="BB118" s="90"/>
      <c r="BC118">
        <v>1</v>
      </c>
      <c r="BD118" s="89" t="str">
        <f>REPLACE(INDEX(GroupVertices[Group],MATCH(Edges[[#This Row],[Vertex 1]],GroupVertices[Vertex],0)),1,1,"")</f>
        <v>7</v>
      </c>
      <c r="BE118" s="89" t="str">
        <f>REPLACE(INDEX(GroupVertices[Group],MATCH(Edges[[#This Row],[Vertex 2]],GroupVertices[Vertex],0)),1,1,"")</f>
        <v>7</v>
      </c>
      <c r="BF118" s="49">
        <v>0</v>
      </c>
      <c r="BG118" s="50">
        <v>0</v>
      </c>
      <c r="BH118" s="49">
        <v>0</v>
      </c>
      <c r="BI118" s="50">
        <v>0</v>
      </c>
      <c r="BJ118" s="49">
        <v>0</v>
      </c>
      <c r="BK118" s="50">
        <v>0</v>
      </c>
      <c r="BL118" s="49">
        <v>30</v>
      </c>
      <c r="BM118" s="50">
        <v>100</v>
      </c>
      <c r="BN118" s="49">
        <v>30</v>
      </c>
    </row>
    <row r="119" spans="1:66" ht="15">
      <c r="A119" s="65" t="s">
        <v>287</v>
      </c>
      <c r="B119" s="65" t="s">
        <v>287</v>
      </c>
      <c r="C119" s="66" t="s">
        <v>4405</v>
      </c>
      <c r="D119" s="67">
        <v>1</v>
      </c>
      <c r="E119" s="68" t="s">
        <v>132</v>
      </c>
      <c r="F119" s="69">
        <v>32</v>
      </c>
      <c r="G119" s="66" t="s">
        <v>51</v>
      </c>
      <c r="H119" s="70"/>
      <c r="I119" s="71"/>
      <c r="J119" s="71"/>
      <c r="K119" s="35" t="s">
        <v>65</v>
      </c>
      <c r="L119" s="79">
        <v>119</v>
      </c>
      <c r="M119" s="79"/>
      <c r="N119" s="73"/>
      <c r="O119" s="90" t="s">
        <v>178</v>
      </c>
      <c r="P119" s="93">
        <v>44577.456921296296</v>
      </c>
      <c r="Q119" s="90" t="s">
        <v>503</v>
      </c>
      <c r="R119" s="95" t="str">
        <f>HYPERLINK("https://www.iltalehti.fi/viihdeuutiset/a/2747483a-238e-45e8-9a81-cc9b338d1225")</f>
        <v>https://www.iltalehti.fi/viihdeuutiset/a/2747483a-238e-45e8-9a81-cc9b338d1225</v>
      </c>
      <c r="S119" s="90" t="s">
        <v>549</v>
      </c>
      <c r="T119" s="90"/>
      <c r="U119" s="90"/>
      <c r="V119" s="95" t="str">
        <f>HYPERLINK("https://pbs.twimg.com/profile_images/1334873771795156992/gV7_kgB5_normal.jpg")</f>
        <v>https://pbs.twimg.com/profile_images/1334873771795156992/gV7_kgB5_normal.jpg</v>
      </c>
      <c r="W119" s="93">
        <v>44577.456921296296</v>
      </c>
      <c r="X119" s="102">
        <v>44577</v>
      </c>
      <c r="Y119" s="97" t="s">
        <v>658</v>
      </c>
      <c r="Z119" s="95" t="str">
        <f>HYPERLINK("https://twitter.com/pmaenranta/status/1482668445745430530")</f>
        <v>https://twitter.com/pmaenranta/status/1482668445745430530</v>
      </c>
      <c r="AA119" s="90"/>
      <c r="AB119" s="90"/>
      <c r="AC119" s="97" t="s">
        <v>899</v>
      </c>
      <c r="AD119" s="90"/>
      <c r="AE119" s="90" t="b">
        <v>0</v>
      </c>
      <c r="AF119" s="90">
        <v>0</v>
      </c>
      <c r="AG119" s="97" t="s">
        <v>1087</v>
      </c>
      <c r="AH119" s="90" t="b">
        <v>0</v>
      </c>
      <c r="AI119" s="90" t="s">
        <v>1127</v>
      </c>
      <c r="AJ119" s="90"/>
      <c r="AK119" s="97" t="s">
        <v>1087</v>
      </c>
      <c r="AL119" s="90" t="b">
        <v>0</v>
      </c>
      <c r="AM119" s="90">
        <v>0</v>
      </c>
      <c r="AN119" s="97" t="s">
        <v>1087</v>
      </c>
      <c r="AO119" s="97" t="s">
        <v>1132</v>
      </c>
      <c r="AP119" s="90" t="b">
        <v>0</v>
      </c>
      <c r="AQ119" s="97" t="s">
        <v>899</v>
      </c>
      <c r="AR119" s="90" t="s">
        <v>178</v>
      </c>
      <c r="AS119" s="90">
        <v>0</v>
      </c>
      <c r="AT119" s="90">
        <v>0</v>
      </c>
      <c r="AU119" s="90"/>
      <c r="AV119" s="90"/>
      <c r="AW119" s="90"/>
      <c r="AX119" s="90"/>
      <c r="AY119" s="90"/>
      <c r="AZ119" s="90"/>
      <c r="BA119" s="90"/>
      <c r="BB119" s="90"/>
      <c r="BC119">
        <v>1</v>
      </c>
      <c r="BD119" s="89" t="str">
        <f>REPLACE(INDEX(GroupVertices[Group],MATCH(Edges[[#This Row],[Vertex 1]],GroupVertices[Vertex],0)),1,1,"")</f>
        <v>7</v>
      </c>
      <c r="BE119" s="89" t="str">
        <f>REPLACE(INDEX(GroupVertices[Group],MATCH(Edges[[#This Row],[Vertex 2]],GroupVertices[Vertex],0)),1,1,"")</f>
        <v>7</v>
      </c>
      <c r="BF119" s="49">
        <v>0</v>
      </c>
      <c r="BG119" s="50">
        <v>0</v>
      </c>
      <c r="BH119" s="49">
        <v>0</v>
      </c>
      <c r="BI119" s="50">
        <v>0</v>
      </c>
      <c r="BJ119" s="49">
        <v>0</v>
      </c>
      <c r="BK119" s="50">
        <v>0</v>
      </c>
      <c r="BL119" s="49">
        <v>30</v>
      </c>
      <c r="BM119" s="50">
        <v>100</v>
      </c>
      <c r="BN119" s="49">
        <v>30</v>
      </c>
    </row>
    <row r="120" spans="1:66" ht="15">
      <c r="A120" s="65" t="s">
        <v>288</v>
      </c>
      <c r="B120" s="65" t="s">
        <v>428</v>
      </c>
      <c r="C120" s="66" t="s">
        <v>4405</v>
      </c>
      <c r="D120" s="67">
        <v>1</v>
      </c>
      <c r="E120" s="68" t="s">
        <v>132</v>
      </c>
      <c r="F120" s="69">
        <v>32</v>
      </c>
      <c r="G120" s="66" t="s">
        <v>51</v>
      </c>
      <c r="H120" s="70"/>
      <c r="I120" s="71"/>
      <c r="J120" s="71"/>
      <c r="K120" s="35" t="s">
        <v>65</v>
      </c>
      <c r="L120" s="79">
        <v>120</v>
      </c>
      <c r="M120" s="79"/>
      <c r="N120" s="73"/>
      <c r="O120" s="90" t="s">
        <v>448</v>
      </c>
      <c r="P120" s="93">
        <v>44577.47311342593</v>
      </c>
      <c r="Q120" s="90" t="s">
        <v>504</v>
      </c>
      <c r="R120" s="90"/>
      <c r="S120" s="90"/>
      <c r="T120" s="90"/>
      <c r="U120" s="90"/>
      <c r="V120" s="95" t="str">
        <f>HYPERLINK("https://pbs.twimg.com/profile_images/1479014044182978560/nQKkoBdy_normal.png")</f>
        <v>https://pbs.twimg.com/profile_images/1479014044182978560/nQKkoBdy_normal.png</v>
      </c>
      <c r="W120" s="93">
        <v>44577.47311342593</v>
      </c>
      <c r="X120" s="102">
        <v>44577</v>
      </c>
      <c r="Y120" s="97" t="s">
        <v>659</v>
      </c>
      <c r="Z120" s="95" t="str">
        <f>HYPERLINK("https://twitter.com/jensakseli/status/1482674313752887301")</f>
        <v>https://twitter.com/jensakseli/status/1482674313752887301</v>
      </c>
      <c r="AA120" s="90"/>
      <c r="AB120" s="90"/>
      <c r="AC120" s="97" t="s">
        <v>900</v>
      </c>
      <c r="AD120" s="97" t="s">
        <v>1071</v>
      </c>
      <c r="AE120" s="90" t="b">
        <v>0</v>
      </c>
      <c r="AF120" s="90">
        <v>0</v>
      </c>
      <c r="AG120" s="97" t="s">
        <v>1107</v>
      </c>
      <c r="AH120" s="90" t="b">
        <v>0</v>
      </c>
      <c r="AI120" s="90" t="s">
        <v>1127</v>
      </c>
      <c r="AJ120" s="90"/>
      <c r="AK120" s="97" t="s">
        <v>1087</v>
      </c>
      <c r="AL120" s="90" t="b">
        <v>0</v>
      </c>
      <c r="AM120" s="90">
        <v>0</v>
      </c>
      <c r="AN120" s="97" t="s">
        <v>1087</v>
      </c>
      <c r="AO120" s="97" t="s">
        <v>1133</v>
      </c>
      <c r="AP120" s="90" t="b">
        <v>0</v>
      </c>
      <c r="AQ120" s="97" t="s">
        <v>1071</v>
      </c>
      <c r="AR120" s="90" t="s">
        <v>178</v>
      </c>
      <c r="AS120" s="90">
        <v>0</v>
      </c>
      <c r="AT120" s="90">
        <v>0</v>
      </c>
      <c r="AU120" s="90"/>
      <c r="AV120" s="90"/>
      <c r="AW120" s="90"/>
      <c r="AX120" s="90"/>
      <c r="AY120" s="90"/>
      <c r="AZ120" s="90"/>
      <c r="BA120" s="90"/>
      <c r="BB120" s="90"/>
      <c r="BC120">
        <v>1</v>
      </c>
      <c r="BD120" s="89" t="str">
        <f>REPLACE(INDEX(GroupVertices[Group],MATCH(Edges[[#This Row],[Vertex 1]],GroupVertices[Vertex],0)),1,1,"")</f>
        <v>13</v>
      </c>
      <c r="BE120" s="89" t="str">
        <f>REPLACE(INDEX(GroupVertices[Group],MATCH(Edges[[#This Row],[Vertex 2]],GroupVertices[Vertex],0)),1,1,"")</f>
        <v>13</v>
      </c>
      <c r="BF120" s="49">
        <v>0</v>
      </c>
      <c r="BG120" s="50">
        <v>0</v>
      </c>
      <c r="BH120" s="49">
        <v>0</v>
      </c>
      <c r="BI120" s="50">
        <v>0</v>
      </c>
      <c r="BJ120" s="49">
        <v>0</v>
      </c>
      <c r="BK120" s="50">
        <v>0</v>
      </c>
      <c r="BL120" s="49">
        <v>25</v>
      </c>
      <c r="BM120" s="50">
        <v>100</v>
      </c>
      <c r="BN120" s="49">
        <v>25</v>
      </c>
    </row>
    <row r="121" spans="1:66" ht="15">
      <c r="A121" s="65" t="s">
        <v>289</v>
      </c>
      <c r="B121" s="65" t="s">
        <v>427</v>
      </c>
      <c r="C121" s="66" t="s">
        <v>4405</v>
      </c>
      <c r="D121" s="67">
        <v>1</v>
      </c>
      <c r="E121" s="68" t="s">
        <v>132</v>
      </c>
      <c r="F121" s="69">
        <v>32</v>
      </c>
      <c r="G121" s="66" t="s">
        <v>51</v>
      </c>
      <c r="H121" s="70"/>
      <c r="I121" s="71"/>
      <c r="J121" s="71"/>
      <c r="K121" s="35" t="s">
        <v>65</v>
      </c>
      <c r="L121" s="79">
        <v>121</v>
      </c>
      <c r="M121" s="79"/>
      <c r="N121" s="73"/>
      <c r="O121" s="90" t="s">
        <v>449</v>
      </c>
      <c r="P121" s="93">
        <v>44575.83672453704</v>
      </c>
      <c r="Q121" s="90" t="s">
        <v>505</v>
      </c>
      <c r="R121" s="90"/>
      <c r="S121" s="90"/>
      <c r="T121" s="90"/>
      <c r="U121" s="90"/>
      <c r="V121" s="95" t="str">
        <f>HYPERLINK("https://pbs.twimg.com/profile_images/1452254660966993932/lL48yEuF_normal.jpg")</f>
        <v>https://pbs.twimg.com/profile_images/1452254660966993932/lL48yEuF_normal.jpg</v>
      </c>
      <c r="W121" s="93">
        <v>44575.83672453704</v>
      </c>
      <c r="X121" s="102">
        <v>44575</v>
      </c>
      <c r="Y121" s="97" t="s">
        <v>660</v>
      </c>
      <c r="Z121" s="95" t="str">
        <f>HYPERLINK("https://twitter.com/ei_juma/status/1482081305496010760")</f>
        <v>https://twitter.com/ei_juma/status/1482081305496010760</v>
      </c>
      <c r="AA121" s="90"/>
      <c r="AB121" s="90"/>
      <c r="AC121" s="97" t="s">
        <v>901</v>
      </c>
      <c r="AD121" s="90"/>
      <c r="AE121" s="90" t="b">
        <v>0</v>
      </c>
      <c r="AF121" s="90">
        <v>0</v>
      </c>
      <c r="AG121" s="97" t="s">
        <v>1087</v>
      </c>
      <c r="AH121" s="90" t="b">
        <v>0</v>
      </c>
      <c r="AI121" s="90" t="s">
        <v>1127</v>
      </c>
      <c r="AJ121" s="90"/>
      <c r="AK121" s="97" t="s">
        <v>1087</v>
      </c>
      <c r="AL121" s="90" t="b">
        <v>0</v>
      </c>
      <c r="AM121" s="90">
        <v>0</v>
      </c>
      <c r="AN121" s="97" t="s">
        <v>1087</v>
      </c>
      <c r="AO121" s="97" t="s">
        <v>1133</v>
      </c>
      <c r="AP121" s="90" t="b">
        <v>0</v>
      </c>
      <c r="AQ121" s="97" t="s">
        <v>901</v>
      </c>
      <c r="AR121" s="90" t="s">
        <v>178</v>
      </c>
      <c r="AS121" s="90">
        <v>0</v>
      </c>
      <c r="AT121" s="90">
        <v>0</v>
      </c>
      <c r="AU121" s="90"/>
      <c r="AV121" s="90"/>
      <c r="AW121" s="90"/>
      <c r="AX121" s="90"/>
      <c r="AY121" s="90"/>
      <c r="AZ121" s="90"/>
      <c r="BA121" s="90"/>
      <c r="BB121" s="90"/>
      <c r="BC121">
        <v>1</v>
      </c>
      <c r="BD121" s="89" t="str">
        <f>REPLACE(INDEX(GroupVertices[Group],MATCH(Edges[[#This Row],[Vertex 1]],GroupVertices[Vertex],0)),1,1,"")</f>
        <v>3</v>
      </c>
      <c r="BE121" s="89" t="str">
        <f>REPLACE(INDEX(GroupVertices[Group],MATCH(Edges[[#This Row],[Vertex 2]],GroupVertices[Vertex],0)),1,1,"")</f>
        <v>3</v>
      </c>
      <c r="BF121" s="49"/>
      <c r="BG121" s="50"/>
      <c r="BH121" s="49"/>
      <c r="BI121" s="50"/>
      <c r="BJ121" s="49"/>
      <c r="BK121" s="50"/>
      <c r="BL121" s="49"/>
      <c r="BM121" s="50"/>
      <c r="BN121" s="49"/>
    </row>
    <row r="122" spans="1:66" ht="15">
      <c r="A122" s="65" t="s">
        <v>289</v>
      </c>
      <c r="B122" s="65" t="s">
        <v>416</v>
      </c>
      <c r="C122" s="66" t="s">
        <v>4405</v>
      </c>
      <c r="D122" s="67">
        <v>1</v>
      </c>
      <c r="E122" s="68" t="s">
        <v>132</v>
      </c>
      <c r="F122" s="69">
        <v>32</v>
      </c>
      <c r="G122" s="66" t="s">
        <v>51</v>
      </c>
      <c r="H122" s="70"/>
      <c r="I122" s="71"/>
      <c r="J122" s="71"/>
      <c r="K122" s="35" t="s">
        <v>65</v>
      </c>
      <c r="L122" s="79">
        <v>122</v>
      </c>
      <c r="M122" s="79"/>
      <c r="N122" s="73"/>
      <c r="O122" s="90" t="s">
        <v>449</v>
      </c>
      <c r="P122" s="93">
        <v>44575.83672453704</v>
      </c>
      <c r="Q122" s="90" t="s">
        <v>505</v>
      </c>
      <c r="R122" s="90"/>
      <c r="S122" s="90"/>
      <c r="T122" s="90"/>
      <c r="U122" s="90"/>
      <c r="V122" s="95" t="str">
        <f>HYPERLINK("https://pbs.twimg.com/profile_images/1452254660966993932/lL48yEuF_normal.jpg")</f>
        <v>https://pbs.twimg.com/profile_images/1452254660966993932/lL48yEuF_normal.jpg</v>
      </c>
      <c r="W122" s="93">
        <v>44575.83672453704</v>
      </c>
      <c r="X122" s="102">
        <v>44575</v>
      </c>
      <c r="Y122" s="97" t="s">
        <v>660</v>
      </c>
      <c r="Z122" s="95" t="str">
        <f>HYPERLINK("https://twitter.com/ei_juma/status/1482081305496010760")</f>
        <v>https://twitter.com/ei_juma/status/1482081305496010760</v>
      </c>
      <c r="AA122" s="90"/>
      <c r="AB122" s="90"/>
      <c r="AC122" s="97" t="s">
        <v>901</v>
      </c>
      <c r="AD122" s="90"/>
      <c r="AE122" s="90" t="b">
        <v>0</v>
      </c>
      <c r="AF122" s="90">
        <v>0</v>
      </c>
      <c r="AG122" s="97" t="s">
        <v>1087</v>
      </c>
      <c r="AH122" s="90" t="b">
        <v>0</v>
      </c>
      <c r="AI122" s="90" t="s">
        <v>1127</v>
      </c>
      <c r="AJ122" s="90"/>
      <c r="AK122" s="97" t="s">
        <v>1087</v>
      </c>
      <c r="AL122" s="90" t="b">
        <v>0</v>
      </c>
      <c r="AM122" s="90">
        <v>0</v>
      </c>
      <c r="AN122" s="97" t="s">
        <v>1087</v>
      </c>
      <c r="AO122" s="97" t="s">
        <v>1133</v>
      </c>
      <c r="AP122" s="90" t="b">
        <v>0</v>
      </c>
      <c r="AQ122" s="97" t="s">
        <v>901</v>
      </c>
      <c r="AR122" s="90" t="s">
        <v>178</v>
      </c>
      <c r="AS122" s="90">
        <v>0</v>
      </c>
      <c r="AT122" s="90">
        <v>0</v>
      </c>
      <c r="AU122" s="90"/>
      <c r="AV122" s="90"/>
      <c r="AW122" s="90"/>
      <c r="AX122" s="90"/>
      <c r="AY122" s="90"/>
      <c r="AZ122" s="90"/>
      <c r="BA122" s="90"/>
      <c r="BB122" s="90"/>
      <c r="BC122">
        <v>1</v>
      </c>
      <c r="BD122" s="89" t="str">
        <f>REPLACE(INDEX(GroupVertices[Group],MATCH(Edges[[#This Row],[Vertex 1]],GroupVertices[Vertex],0)),1,1,"")</f>
        <v>3</v>
      </c>
      <c r="BE122" s="89" t="str">
        <f>REPLACE(INDEX(GroupVertices[Group],MATCH(Edges[[#This Row],[Vertex 2]],GroupVertices[Vertex],0)),1,1,"")</f>
        <v>3</v>
      </c>
      <c r="BF122" s="49">
        <v>0</v>
      </c>
      <c r="BG122" s="50">
        <v>0</v>
      </c>
      <c r="BH122" s="49">
        <v>0</v>
      </c>
      <c r="BI122" s="50">
        <v>0</v>
      </c>
      <c r="BJ122" s="49">
        <v>0</v>
      </c>
      <c r="BK122" s="50">
        <v>0</v>
      </c>
      <c r="BL122" s="49">
        <v>34</v>
      </c>
      <c r="BM122" s="50">
        <v>100</v>
      </c>
      <c r="BN122" s="49">
        <v>34</v>
      </c>
    </row>
    <row r="123" spans="1:66" ht="15">
      <c r="A123" s="65" t="s">
        <v>289</v>
      </c>
      <c r="B123" s="65" t="s">
        <v>416</v>
      </c>
      <c r="C123" s="66" t="s">
        <v>4405</v>
      </c>
      <c r="D123" s="67">
        <v>1</v>
      </c>
      <c r="E123" s="68" t="s">
        <v>132</v>
      </c>
      <c r="F123" s="69">
        <v>32</v>
      </c>
      <c r="G123" s="66" t="s">
        <v>51</v>
      </c>
      <c r="H123" s="70"/>
      <c r="I123" s="71"/>
      <c r="J123" s="71"/>
      <c r="K123" s="35" t="s">
        <v>65</v>
      </c>
      <c r="L123" s="79">
        <v>123</v>
      </c>
      <c r="M123" s="79"/>
      <c r="N123" s="73"/>
      <c r="O123" s="90" t="s">
        <v>448</v>
      </c>
      <c r="P123" s="93">
        <v>44577.5096412037</v>
      </c>
      <c r="Q123" s="90" t="s">
        <v>506</v>
      </c>
      <c r="R123" s="90"/>
      <c r="S123" s="90"/>
      <c r="T123" s="90"/>
      <c r="U123" s="90"/>
      <c r="V123" s="95" t="str">
        <f>HYPERLINK("https://pbs.twimg.com/profile_images/1452254660966993932/lL48yEuF_normal.jpg")</f>
        <v>https://pbs.twimg.com/profile_images/1452254660966993932/lL48yEuF_normal.jpg</v>
      </c>
      <c r="W123" s="93">
        <v>44577.5096412037</v>
      </c>
      <c r="X123" s="102">
        <v>44577</v>
      </c>
      <c r="Y123" s="97" t="s">
        <v>661</v>
      </c>
      <c r="Z123" s="95" t="str">
        <f>HYPERLINK("https://twitter.com/ei_juma/status/1482687548896030720")</f>
        <v>https://twitter.com/ei_juma/status/1482687548896030720</v>
      </c>
      <c r="AA123" s="90"/>
      <c r="AB123" s="90"/>
      <c r="AC123" s="97" t="s">
        <v>902</v>
      </c>
      <c r="AD123" s="90"/>
      <c r="AE123" s="90" t="b">
        <v>0</v>
      </c>
      <c r="AF123" s="90">
        <v>0</v>
      </c>
      <c r="AG123" s="97" t="s">
        <v>1092</v>
      </c>
      <c r="AH123" s="90" t="b">
        <v>0</v>
      </c>
      <c r="AI123" s="90" t="s">
        <v>1127</v>
      </c>
      <c r="AJ123" s="90"/>
      <c r="AK123" s="97" t="s">
        <v>1087</v>
      </c>
      <c r="AL123" s="90" t="b">
        <v>0</v>
      </c>
      <c r="AM123" s="90">
        <v>0</v>
      </c>
      <c r="AN123" s="97" t="s">
        <v>1087</v>
      </c>
      <c r="AO123" s="97" t="s">
        <v>1133</v>
      </c>
      <c r="AP123" s="90" t="b">
        <v>0</v>
      </c>
      <c r="AQ123" s="97" t="s">
        <v>902</v>
      </c>
      <c r="AR123" s="90" t="s">
        <v>178</v>
      </c>
      <c r="AS123" s="90">
        <v>0</v>
      </c>
      <c r="AT123" s="90">
        <v>0</v>
      </c>
      <c r="AU123" s="90"/>
      <c r="AV123" s="90"/>
      <c r="AW123" s="90"/>
      <c r="AX123" s="90"/>
      <c r="AY123" s="90"/>
      <c r="AZ123" s="90"/>
      <c r="BA123" s="90"/>
      <c r="BB123" s="90"/>
      <c r="BC123">
        <v>1</v>
      </c>
      <c r="BD123" s="89" t="str">
        <f>REPLACE(INDEX(GroupVertices[Group],MATCH(Edges[[#This Row],[Vertex 1]],GroupVertices[Vertex],0)),1,1,"")</f>
        <v>3</v>
      </c>
      <c r="BE123" s="89" t="str">
        <f>REPLACE(INDEX(GroupVertices[Group],MATCH(Edges[[#This Row],[Vertex 2]],GroupVertices[Vertex],0)),1,1,"")</f>
        <v>3</v>
      </c>
      <c r="BF123" s="49">
        <v>0</v>
      </c>
      <c r="BG123" s="50">
        <v>0</v>
      </c>
      <c r="BH123" s="49">
        <v>0</v>
      </c>
      <c r="BI123" s="50">
        <v>0</v>
      </c>
      <c r="BJ123" s="49">
        <v>0</v>
      </c>
      <c r="BK123" s="50">
        <v>0</v>
      </c>
      <c r="BL123" s="49">
        <v>40</v>
      </c>
      <c r="BM123" s="50">
        <v>100</v>
      </c>
      <c r="BN123" s="49">
        <v>40</v>
      </c>
    </row>
    <row r="124" spans="1:66" ht="15">
      <c r="A124" s="65" t="s">
        <v>290</v>
      </c>
      <c r="B124" s="65" t="s">
        <v>384</v>
      </c>
      <c r="C124" s="66" t="s">
        <v>4405</v>
      </c>
      <c r="D124" s="67">
        <v>1</v>
      </c>
      <c r="E124" s="68" t="s">
        <v>132</v>
      </c>
      <c r="F124" s="69">
        <v>32</v>
      </c>
      <c r="G124" s="66" t="s">
        <v>51</v>
      </c>
      <c r="H124" s="70"/>
      <c r="I124" s="71"/>
      <c r="J124" s="71"/>
      <c r="K124" s="35" t="s">
        <v>65</v>
      </c>
      <c r="L124" s="79">
        <v>124</v>
      </c>
      <c r="M124" s="79"/>
      <c r="N124" s="73"/>
      <c r="O124" s="90" t="s">
        <v>447</v>
      </c>
      <c r="P124" s="93">
        <v>44575.79275462963</v>
      </c>
      <c r="Q124" s="90" t="s">
        <v>452</v>
      </c>
      <c r="R124" s="90"/>
      <c r="S124" s="90"/>
      <c r="T124" s="90"/>
      <c r="U124" s="95" t="str">
        <f>HYPERLINK("https://pbs.twimg.com/media/FJEZSt6WYAQW_i_.jpg")</f>
        <v>https://pbs.twimg.com/media/FJEZSt6WYAQW_i_.jpg</v>
      </c>
      <c r="V124" s="95" t="str">
        <f>HYPERLINK("https://pbs.twimg.com/media/FJEZSt6WYAQW_i_.jpg")</f>
        <v>https://pbs.twimg.com/media/FJEZSt6WYAQW_i_.jpg</v>
      </c>
      <c r="W124" s="93">
        <v>44575.79275462963</v>
      </c>
      <c r="X124" s="102">
        <v>44575</v>
      </c>
      <c r="Y124" s="97" t="s">
        <v>662</v>
      </c>
      <c r="Z124" s="95" t="str">
        <f>HYPERLINK("https://twitter.com/againstall10/status/1482065371213570049")</f>
        <v>https://twitter.com/againstall10/status/1482065371213570049</v>
      </c>
      <c r="AA124" s="90"/>
      <c r="AB124" s="90"/>
      <c r="AC124" s="97" t="s">
        <v>903</v>
      </c>
      <c r="AD124" s="90"/>
      <c r="AE124" s="90" t="b">
        <v>0</v>
      </c>
      <c r="AF124" s="90">
        <v>0</v>
      </c>
      <c r="AG124" s="97" t="s">
        <v>1087</v>
      </c>
      <c r="AH124" s="90" t="b">
        <v>0</v>
      </c>
      <c r="AI124" s="90" t="s">
        <v>1127</v>
      </c>
      <c r="AJ124" s="90"/>
      <c r="AK124" s="97" t="s">
        <v>1087</v>
      </c>
      <c r="AL124" s="90" t="b">
        <v>0</v>
      </c>
      <c r="AM124" s="90">
        <v>33</v>
      </c>
      <c r="AN124" s="97" t="s">
        <v>1022</v>
      </c>
      <c r="AO124" s="97" t="s">
        <v>1133</v>
      </c>
      <c r="AP124" s="90" t="b">
        <v>0</v>
      </c>
      <c r="AQ124" s="97" t="s">
        <v>1022</v>
      </c>
      <c r="AR124" s="90" t="s">
        <v>178</v>
      </c>
      <c r="AS124" s="90">
        <v>0</v>
      </c>
      <c r="AT124" s="90">
        <v>0</v>
      </c>
      <c r="AU124" s="90"/>
      <c r="AV124" s="90"/>
      <c r="AW124" s="90"/>
      <c r="AX124" s="90"/>
      <c r="AY124" s="90"/>
      <c r="AZ124" s="90"/>
      <c r="BA124" s="90"/>
      <c r="BB124" s="90"/>
      <c r="BC124">
        <v>1</v>
      </c>
      <c r="BD124" s="89" t="str">
        <f>REPLACE(INDEX(GroupVertices[Group],MATCH(Edges[[#This Row],[Vertex 1]],GroupVertices[Vertex],0)),1,1,"")</f>
        <v>4</v>
      </c>
      <c r="BE124" s="89" t="str">
        <f>REPLACE(INDEX(GroupVertices[Group],MATCH(Edges[[#This Row],[Vertex 2]],GroupVertices[Vertex],0)),1,1,"")</f>
        <v>2</v>
      </c>
      <c r="BF124" s="49">
        <v>0</v>
      </c>
      <c r="BG124" s="50">
        <v>0</v>
      </c>
      <c r="BH124" s="49">
        <v>0</v>
      </c>
      <c r="BI124" s="50">
        <v>0</v>
      </c>
      <c r="BJ124" s="49">
        <v>0</v>
      </c>
      <c r="BK124" s="50">
        <v>0</v>
      </c>
      <c r="BL124" s="49">
        <v>24</v>
      </c>
      <c r="BM124" s="50">
        <v>100</v>
      </c>
      <c r="BN124" s="49">
        <v>24</v>
      </c>
    </row>
    <row r="125" spans="1:66" ht="15">
      <c r="A125" s="65" t="s">
        <v>290</v>
      </c>
      <c r="B125" s="65" t="s">
        <v>369</v>
      </c>
      <c r="C125" s="66" t="s">
        <v>4405</v>
      </c>
      <c r="D125" s="67">
        <v>1</v>
      </c>
      <c r="E125" s="68" t="s">
        <v>132</v>
      </c>
      <c r="F125" s="69">
        <v>32</v>
      </c>
      <c r="G125" s="66" t="s">
        <v>51</v>
      </c>
      <c r="H125" s="70"/>
      <c r="I125" s="71"/>
      <c r="J125" s="71"/>
      <c r="K125" s="35" t="s">
        <v>65</v>
      </c>
      <c r="L125" s="79">
        <v>125</v>
      </c>
      <c r="M125" s="79"/>
      <c r="N125" s="73"/>
      <c r="O125" s="90" t="s">
        <v>447</v>
      </c>
      <c r="P125" s="93">
        <v>44577.52001157407</v>
      </c>
      <c r="Q125" s="90" t="s">
        <v>507</v>
      </c>
      <c r="R125" s="90"/>
      <c r="S125" s="90"/>
      <c r="T125" s="97" t="s">
        <v>567</v>
      </c>
      <c r="U125" s="95" t="str">
        <f>HYPERLINK("https://pbs.twimg.com/ext_tw_video_thumb/1482649931642978305/pu/img/IYlrKLZYkXtcAB4D.jpg")</f>
        <v>https://pbs.twimg.com/ext_tw_video_thumb/1482649931642978305/pu/img/IYlrKLZYkXtcAB4D.jpg</v>
      </c>
      <c r="V125" s="95" t="str">
        <f>HYPERLINK("https://pbs.twimg.com/ext_tw_video_thumb/1482649931642978305/pu/img/IYlrKLZYkXtcAB4D.jpg")</f>
        <v>https://pbs.twimg.com/ext_tw_video_thumb/1482649931642978305/pu/img/IYlrKLZYkXtcAB4D.jpg</v>
      </c>
      <c r="W125" s="93">
        <v>44577.52001157407</v>
      </c>
      <c r="X125" s="102">
        <v>44577</v>
      </c>
      <c r="Y125" s="97" t="s">
        <v>663</v>
      </c>
      <c r="Z125" s="95" t="str">
        <f>HYPERLINK("https://twitter.com/againstall10/status/1482691306036080648")</f>
        <v>https://twitter.com/againstall10/status/1482691306036080648</v>
      </c>
      <c r="AA125" s="90"/>
      <c r="AB125" s="90"/>
      <c r="AC125" s="97" t="s">
        <v>904</v>
      </c>
      <c r="AD125" s="90"/>
      <c r="AE125" s="90" t="b">
        <v>0</v>
      </c>
      <c r="AF125" s="90">
        <v>0</v>
      </c>
      <c r="AG125" s="97" t="s">
        <v>1087</v>
      </c>
      <c r="AH125" s="90" t="b">
        <v>0</v>
      </c>
      <c r="AI125" s="90" t="s">
        <v>1127</v>
      </c>
      <c r="AJ125" s="90"/>
      <c r="AK125" s="97" t="s">
        <v>1087</v>
      </c>
      <c r="AL125" s="90" t="b">
        <v>0</v>
      </c>
      <c r="AM125" s="90">
        <v>2</v>
      </c>
      <c r="AN125" s="97" t="s">
        <v>1003</v>
      </c>
      <c r="AO125" s="97" t="s">
        <v>1133</v>
      </c>
      <c r="AP125" s="90" t="b">
        <v>0</v>
      </c>
      <c r="AQ125" s="97" t="s">
        <v>1003</v>
      </c>
      <c r="AR125" s="90" t="s">
        <v>178</v>
      </c>
      <c r="AS125" s="90">
        <v>0</v>
      </c>
      <c r="AT125" s="90">
        <v>0</v>
      </c>
      <c r="AU125" s="90"/>
      <c r="AV125" s="90"/>
      <c r="AW125" s="90"/>
      <c r="AX125" s="90"/>
      <c r="AY125" s="90"/>
      <c r="AZ125" s="90"/>
      <c r="BA125" s="90"/>
      <c r="BB125" s="90"/>
      <c r="BC125">
        <v>1</v>
      </c>
      <c r="BD125" s="89" t="str">
        <f>REPLACE(INDEX(GroupVertices[Group],MATCH(Edges[[#This Row],[Vertex 1]],GroupVertices[Vertex],0)),1,1,"")</f>
        <v>4</v>
      </c>
      <c r="BE125" s="89" t="str">
        <f>REPLACE(INDEX(GroupVertices[Group],MATCH(Edges[[#This Row],[Vertex 2]],GroupVertices[Vertex],0)),1,1,"")</f>
        <v>4</v>
      </c>
      <c r="BF125" s="49">
        <v>0</v>
      </c>
      <c r="BG125" s="50">
        <v>0</v>
      </c>
      <c r="BH125" s="49">
        <v>0</v>
      </c>
      <c r="BI125" s="50">
        <v>0</v>
      </c>
      <c r="BJ125" s="49">
        <v>0</v>
      </c>
      <c r="BK125" s="50">
        <v>0</v>
      </c>
      <c r="BL125" s="49">
        <v>12</v>
      </c>
      <c r="BM125" s="50">
        <v>100</v>
      </c>
      <c r="BN125" s="49">
        <v>12</v>
      </c>
    </row>
    <row r="126" spans="1:66" ht="15">
      <c r="A126" s="65" t="s">
        <v>291</v>
      </c>
      <c r="B126" s="65" t="s">
        <v>291</v>
      </c>
      <c r="C126" s="66" t="s">
        <v>4405</v>
      </c>
      <c r="D126" s="67">
        <v>1</v>
      </c>
      <c r="E126" s="68" t="s">
        <v>132</v>
      </c>
      <c r="F126" s="69">
        <v>32</v>
      </c>
      <c r="G126" s="66" t="s">
        <v>51</v>
      </c>
      <c r="H126" s="70"/>
      <c r="I126" s="71"/>
      <c r="J126" s="71"/>
      <c r="K126" s="35" t="s">
        <v>65</v>
      </c>
      <c r="L126" s="79">
        <v>126</v>
      </c>
      <c r="M126" s="79"/>
      <c r="N126" s="73"/>
      <c r="O126" s="90" t="s">
        <v>178</v>
      </c>
      <c r="P126" s="93">
        <v>44577.52956018518</v>
      </c>
      <c r="Q126" s="90" t="s">
        <v>508</v>
      </c>
      <c r="R126" s="95" t="str">
        <f>HYPERLINK("https://www.seiska.fi/Kotimaa/Hans-Valimaki-teki-yllatysratkaisun-taustalla-koronakommentti/1166132?utm_source=twitter&amp;utm_medium=referral")</f>
        <v>https://www.seiska.fi/Kotimaa/Hans-Valimaki-teki-yllatysratkaisun-taustalla-koronakommentti/1166132?utm_source=twitter&amp;utm_medium=referral</v>
      </c>
      <c r="S126" s="90" t="s">
        <v>553</v>
      </c>
      <c r="T126" s="90"/>
      <c r="U126" s="90"/>
      <c r="V126" s="95" t="str">
        <f>HYPERLINK("https://pbs.twimg.com/profile_images/1456267860263649286/NrWG_cdV_normal.jpg")</f>
        <v>https://pbs.twimg.com/profile_images/1456267860263649286/NrWG_cdV_normal.jpg</v>
      </c>
      <c r="W126" s="93">
        <v>44577.52956018518</v>
      </c>
      <c r="X126" s="102">
        <v>44577</v>
      </c>
      <c r="Y126" s="97" t="s">
        <v>664</v>
      </c>
      <c r="Z126" s="95" t="str">
        <f>HYPERLINK("https://twitter.com/seiska/status/1482694766529695746")</f>
        <v>https://twitter.com/seiska/status/1482694766529695746</v>
      </c>
      <c r="AA126" s="90"/>
      <c r="AB126" s="90"/>
      <c r="AC126" s="97" t="s">
        <v>905</v>
      </c>
      <c r="AD126" s="90"/>
      <c r="AE126" s="90" t="b">
        <v>0</v>
      </c>
      <c r="AF126" s="90">
        <v>3</v>
      </c>
      <c r="AG126" s="97" t="s">
        <v>1087</v>
      </c>
      <c r="AH126" s="90" t="b">
        <v>0</v>
      </c>
      <c r="AI126" s="90" t="s">
        <v>1127</v>
      </c>
      <c r="AJ126" s="90"/>
      <c r="AK126" s="97" t="s">
        <v>1087</v>
      </c>
      <c r="AL126" s="90" t="b">
        <v>0</v>
      </c>
      <c r="AM126" s="90">
        <v>0</v>
      </c>
      <c r="AN126" s="97" t="s">
        <v>1087</v>
      </c>
      <c r="AO126" s="97" t="s">
        <v>1137</v>
      </c>
      <c r="AP126" s="90" t="b">
        <v>0</v>
      </c>
      <c r="AQ126" s="97" t="s">
        <v>905</v>
      </c>
      <c r="AR126" s="90" t="s">
        <v>178</v>
      </c>
      <c r="AS126" s="90">
        <v>0</v>
      </c>
      <c r="AT126" s="90">
        <v>0</v>
      </c>
      <c r="AU126" s="90"/>
      <c r="AV126" s="90"/>
      <c r="AW126" s="90"/>
      <c r="AX126" s="90"/>
      <c r="AY126" s="90"/>
      <c r="AZ126" s="90"/>
      <c r="BA126" s="90"/>
      <c r="BB126" s="90"/>
      <c r="BC126">
        <v>1</v>
      </c>
      <c r="BD126" s="89" t="str">
        <f>REPLACE(INDEX(GroupVertices[Group],MATCH(Edges[[#This Row],[Vertex 1]],GroupVertices[Vertex],0)),1,1,"")</f>
        <v>7</v>
      </c>
      <c r="BE126" s="89" t="str">
        <f>REPLACE(INDEX(GroupVertices[Group],MATCH(Edges[[#This Row],[Vertex 2]],GroupVertices[Vertex],0)),1,1,"")</f>
        <v>7</v>
      </c>
      <c r="BF126" s="49">
        <v>0</v>
      </c>
      <c r="BG126" s="50">
        <v>0</v>
      </c>
      <c r="BH126" s="49">
        <v>0</v>
      </c>
      <c r="BI126" s="50">
        <v>0</v>
      </c>
      <c r="BJ126" s="49">
        <v>0</v>
      </c>
      <c r="BK126" s="50">
        <v>0</v>
      </c>
      <c r="BL126" s="49">
        <v>8</v>
      </c>
      <c r="BM126" s="50">
        <v>100</v>
      </c>
      <c r="BN126" s="49">
        <v>8</v>
      </c>
    </row>
    <row r="127" spans="1:66" ht="15">
      <c r="A127" s="65" t="s">
        <v>292</v>
      </c>
      <c r="B127" s="65" t="s">
        <v>369</v>
      </c>
      <c r="C127" s="66" t="s">
        <v>4405</v>
      </c>
      <c r="D127" s="67">
        <v>1</v>
      </c>
      <c r="E127" s="68" t="s">
        <v>132</v>
      </c>
      <c r="F127" s="69">
        <v>32</v>
      </c>
      <c r="G127" s="66" t="s">
        <v>51</v>
      </c>
      <c r="H127" s="70"/>
      <c r="I127" s="71"/>
      <c r="J127" s="71"/>
      <c r="K127" s="35" t="s">
        <v>65</v>
      </c>
      <c r="L127" s="79">
        <v>127</v>
      </c>
      <c r="M127" s="79"/>
      <c r="N127" s="73"/>
      <c r="O127" s="90" t="s">
        <v>447</v>
      </c>
      <c r="P127" s="93">
        <v>44577.5456712963</v>
      </c>
      <c r="Q127" s="90" t="s">
        <v>507</v>
      </c>
      <c r="R127" s="90"/>
      <c r="S127" s="90"/>
      <c r="T127" s="97" t="s">
        <v>567</v>
      </c>
      <c r="U127" s="95" t="str">
        <f>HYPERLINK("https://pbs.twimg.com/ext_tw_video_thumb/1482649931642978305/pu/img/IYlrKLZYkXtcAB4D.jpg")</f>
        <v>https://pbs.twimg.com/ext_tw_video_thumb/1482649931642978305/pu/img/IYlrKLZYkXtcAB4D.jpg</v>
      </c>
      <c r="V127" s="95" t="str">
        <f>HYPERLINK("https://pbs.twimg.com/ext_tw_video_thumb/1482649931642978305/pu/img/IYlrKLZYkXtcAB4D.jpg")</f>
        <v>https://pbs.twimg.com/ext_tw_video_thumb/1482649931642978305/pu/img/IYlrKLZYkXtcAB4D.jpg</v>
      </c>
      <c r="W127" s="93">
        <v>44577.5456712963</v>
      </c>
      <c r="X127" s="102">
        <v>44577</v>
      </c>
      <c r="Y127" s="97" t="s">
        <v>665</v>
      </c>
      <c r="Z127" s="95" t="str">
        <f>HYPERLINK("https://twitter.com/jussikoskela8/status/1482700608167714817")</f>
        <v>https://twitter.com/jussikoskela8/status/1482700608167714817</v>
      </c>
      <c r="AA127" s="90"/>
      <c r="AB127" s="90"/>
      <c r="AC127" s="97" t="s">
        <v>906</v>
      </c>
      <c r="AD127" s="90"/>
      <c r="AE127" s="90" t="b">
        <v>0</v>
      </c>
      <c r="AF127" s="90">
        <v>0</v>
      </c>
      <c r="AG127" s="97" t="s">
        <v>1087</v>
      </c>
      <c r="AH127" s="90" t="b">
        <v>0</v>
      </c>
      <c r="AI127" s="90" t="s">
        <v>1127</v>
      </c>
      <c r="AJ127" s="90"/>
      <c r="AK127" s="97" t="s">
        <v>1087</v>
      </c>
      <c r="AL127" s="90" t="b">
        <v>0</v>
      </c>
      <c r="AM127" s="90">
        <v>2</v>
      </c>
      <c r="AN127" s="97" t="s">
        <v>1003</v>
      </c>
      <c r="AO127" s="97" t="s">
        <v>1134</v>
      </c>
      <c r="AP127" s="90" t="b">
        <v>0</v>
      </c>
      <c r="AQ127" s="97" t="s">
        <v>1003</v>
      </c>
      <c r="AR127" s="90" t="s">
        <v>178</v>
      </c>
      <c r="AS127" s="90">
        <v>0</v>
      </c>
      <c r="AT127" s="90">
        <v>0</v>
      </c>
      <c r="AU127" s="90"/>
      <c r="AV127" s="90"/>
      <c r="AW127" s="90"/>
      <c r="AX127" s="90"/>
      <c r="AY127" s="90"/>
      <c r="AZ127" s="90"/>
      <c r="BA127" s="90"/>
      <c r="BB127" s="90"/>
      <c r="BC127">
        <v>1</v>
      </c>
      <c r="BD127" s="89" t="str">
        <f>REPLACE(INDEX(GroupVertices[Group],MATCH(Edges[[#This Row],[Vertex 1]],GroupVertices[Vertex],0)),1,1,"")</f>
        <v>4</v>
      </c>
      <c r="BE127" s="89" t="str">
        <f>REPLACE(INDEX(GroupVertices[Group],MATCH(Edges[[#This Row],[Vertex 2]],GroupVertices[Vertex],0)),1,1,"")</f>
        <v>4</v>
      </c>
      <c r="BF127" s="49">
        <v>0</v>
      </c>
      <c r="BG127" s="50">
        <v>0</v>
      </c>
      <c r="BH127" s="49">
        <v>0</v>
      </c>
      <c r="BI127" s="50">
        <v>0</v>
      </c>
      <c r="BJ127" s="49">
        <v>0</v>
      </c>
      <c r="BK127" s="50">
        <v>0</v>
      </c>
      <c r="BL127" s="49">
        <v>12</v>
      </c>
      <c r="BM127" s="50">
        <v>100</v>
      </c>
      <c r="BN127" s="49">
        <v>12</v>
      </c>
    </row>
    <row r="128" spans="1:66" ht="15">
      <c r="A128" s="65" t="s">
        <v>293</v>
      </c>
      <c r="B128" s="65" t="s">
        <v>432</v>
      </c>
      <c r="C128" s="66" t="s">
        <v>4405</v>
      </c>
      <c r="D128" s="67">
        <v>1</v>
      </c>
      <c r="E128" s="68" t="s">
        <v>132</v>
      </c>
      <c r="F128" s="69">
        <v>32</v>
      </c>
      <c r="G128" s="66" t="s">
        <v>51</v>
      </c>
      <c r="H128" s="70"/>
      <c r="I128" s="71"/>
      <c r="J128" s="71"/>
      <c r="K128" s="35" t="s">
        <v>65</v>
      </c>
      <c r="L128" s="79">
        <v>128</v>
      </c>
      <c r="M128" s="79"/>
      <c r="N128" s="73"/>
      <c r="O128" s="90" t="s">
        <v>449</v>
      </c>
      <c r="P128" s="93">
        <v>44577.580555555556</v>
      </c>
      <c r="Q128" s="90" t="s">
        <v>509</v>
      </c>
      <c r="R128" s="90"/>
      <c r="S128" s="90"/>
      <c r="T128" s="90"/>
      <c r="U128" s="90"/>
      <c r="V128" s="95" t="str">
        <f>HYPERLINK("https://pbs.twimg.com/profile_images/1479385174802636801/_hFSt6Bz_normal.jpg")</f>
        <v>https://pbs.twimg.com/profile_images/1479385174802636801/_hFSt6Bz_normal.jpg</v>
      </c>
      <c r="W128" s="93">
        <v>44577.580555555556</v>
      </c>
      <c r="X128" s="102">
        <v>44577</v>
      </c>
      <c r="Y128" s="97" t="s">
        <v>666</v>
      </c>
      <c r="Z128" s="95" t="str">
        <f>HYPERLINK("https://twitter.com/tukkamatti/status/1482713246637432832")</f>
        <v>https://twitter.com/tukkamatti/status/1482713246637432832</v>
      </c>
      <c r="AA128" s="90"/>
      <c r="AB128" s="90"/>
      <c r="AC128" s="97" t="s">
        <v>907</v>
      </c>
      <c r="AD128" s="97" t="s">
        <v>1072</v>
      </c>
      <c r="AE128" s="90" t="b">
        <v>0</v>
      </c>
      <c r="AF128" s="90">
        <v>0</v>
      </c>
      <c r="AG128" s="97" t="s">
        <v>1111</v>
      </c>
      <c r="AH128" s="90" t="b">
        <v>0</v>
      </c>
      <c r="AI128" s="90" t="s">
        <v>1129</v>
      </c>
      <c r="AJ128" s="90"/>
      <c r="AK128" s="97" t="s">
        <v>1087</v>
      </c>
      <c r="AL128" s="90" t="b">
        <v>0</v>
      </c>
      <c r="AM128" s="90">
        <v>0</v>
      </c>
      <c r="AN128" s="97" t="s">
        <v>1087</v>
      </c>
      <c r="AO128" s="97" t="s">
        <v>1132</v>
      </c>
      <c r="AP128" s="90" t="b">
        <v>0</v>
      </c>
      <c r="AQ128" s="97" t="s">
        <v>1072</v>
      </c>
      <c r="AR128" s="90" t="s">
        <v>178</v>
      </c>
      <c r="AS128" s="90">
        <v>0</v>
      </c>
      <c r="AT128" s="90">
        <v>0</v>
      </c>
      <c r="AU128" s="90"/>
      <c r="AV128" s="90"/>
      <c r="AW128" s="90"/>
      <c r="AX128" s="90"/>
      <c r="AY128" s="90"/>
      <c r="AZ128" s="90"/>
      <c r="BA128" s="90"/>
      <c r="BB128" s="90"/>
      <c r="BC128">
        <v>1</v>
      </c>
      <c r="BD128" s="89" t="str">
        <f>REPLACE(INDEX(GroupVertices[Group],MATCH(Edges[[#This Row],[Vertex 1]],GroupVertices[Vertex],0)),1,1,"")</f>
        <v>12</v>
      </c>
      <c r="BE128" s="89" t="str">
        <f>REPLACE(INDEX(GroupVertices[Group],MATCH(Edges[[#This Row],[Vertex 2]],GroupVertices[Vertex],0)),1,1,"")</f>
        <v>12</v>
      </c>
      <c r="BF128" s="49"/>
      <c r="BG128" s="50"/>
      <c r="BH128" s="49"/>
      <c r="BI128" s="50"/>
      <c r="BJ128" s="49"/>
      <c r="BK128" s="50"/>
      <c r="BL128" s="49"/>
      <c r="BM128" s="50"/>
      <c r="BN128" s="49"/>
    </row>
    <row r="129" spans="1:66" ht="15">
      <c r="A129" s="65" t="s">
        <v>293</v>
      </c>
      <c r="B129" s="65" t="s">
        <v>433</v>
      </c>
      <c r="C129" s="66" t="s">
        <v>4405</v>
      </c>
      <c r="D129" s="67">
        <v>1</v>
      </c>
      <c r="E129" s="68" t="s">
        <v>132</v>
      </c>
      <c r="F129" s="69">
        <v>32</v>
      </c>
      <c r="G129" s="66" t="s">
        <v>51</v>
      </c>
      <c r="H129" s="70"/>
      <c r="I129" s="71"/>
      <c r="J129" s="71"/>
      <c r="K129" s="35" t="s">
        <v>65</v>
      </c>
      <c r="L129" s="79">
        <v>129</v>
      </c>
      <c r="M129" s="79"/>
      <c r="N129" s="73"/>
      <c r="O129" s="90" t="s">
        <v>448</v>
      </c>
      <c r="P129" s="93">
        <v>44577.580555555556</v>
      </c>
      <c r="Q129" s="90" t="s">
        <v>509</v>
      </c>
      <c r="R129" s="90"/>
      <c r="S129" s="90"/>
      <c r="T129" s="90"/>
      <c r="U129" s="90"/>
      <c r="V129" s="95" t="str">
        <f>HYPERLINK("https://pbs.twimg.com/profile_images/1479385174802636801/_hFSt6Bz_normal.jpg")</f>
        <v>https://pbs.twimg.com/profile_images/1479385174802636801/_hFSt6Bz_normal.jpg</v>
      </c>
      <c r="W129" s="93">
        <v>44577.580555555556</v>
      </c>
      <c r="X129" s="102">
        <v>44577</v>
      </c>
      <c r="Y129" s="97" t="s">
        <v>666</v>
      </c>
      <c r="Z129" s="95" t="str">
        <f>HYPERLINK("https://twitter.com/tukkamatti/status/1482713246637432832")</f>
        <v>https://twitter.com/tukkamatti/status/1482713246637432832</v>
      </c>
      <c r="AA129" s="90"/>
      <c r="AB129" s="90"/>
      <c r="AC129" s="97" t="s">
        <v>907</v>
      </c>
      <c r="AD129" s="97" t="s">
        <v>1072</v>
      </c>
      <c r="AE129" s="90" t="b">
        <v>0</v>
      </c>
      <c r="AF129" s="90">
        <v>0</v>
      </c>
      <c r="AG129" s="97" t="s">
        <v>1111</v>
      </c>
      <c r="AH129" s="90" t="b">
        <v>0</v>
      </c>
      <c r="AI129" s="90" t="s">
        <v>1129</v>
      </c>
      <c r="AJ129" s="90"/>
      <c r="AK129" s="97" t="s">
        <v>1087</v>
      </c>
      <c r="AL129" s="90" t="b">
        <v>0</v>
      </c>
      <c r="AM129" s="90">
        <v>0</v>
      </c>
      <c r="AN129" s="97" t="s">
        <v>1087</v>
      </c>
      <c r="AO129" s="97" t="s">
        <v>1132</v>
      </c>
      <c r="AP129" s="90" t="b">
        <v>0</v>
      </c>
      <c r="AQ129" s="97" t="s">
        <v>1072</v>
      </c>
      <c r="AR129" s="90" t="s">
        <v>178</v>
      </c>
      <c r="AS129" s="90">
        <v>0</v>
      </c>
      <c r="AT129" s="90">
        <v>0</v>
      </c>
      <c r="AU129" s="90"/>
      <c r="AV129" s="90"/>
      <c r="AW129" s="90"/>
      <c r="AX129" s="90"/>
      <c r="AY129" s="90"/>
      <c r="AZ129" s="90"/>
      <c r="BA129" s="90"/>
      <c r="BB129" s="90"/>
      <c r="BC129">
        <v>1</v>
      </c>
      <c r="BD129" s="89" t="str">
        <f>REPLACE(INDEX(GroupVertices[Group],MATCH(Edges[[#This Row],[Vertex 1]],GroupVertices[Vertex],0)),1,1,"")</f>
        <v>12</v>
      </c>
      <c r="BE129" s="89" t="str">
        <f>REPLACE(INDEX(GroupVertices[Group],MATCH(Edges[[#This Row],[Vertex 2]],GroupVertices[Vertex],0)),1,1,"")</f>
        <v>12</v>
      </c>
      <c r="BF129" s="49">
        <v>0</v>
      </c>
      <c r="BG129" s="50">
        <v>0</v>
      </c>
      <c r="BH129" s="49">
        <v>0</v>
      </c>
      <c r="BI129" s="50">
        <v>0</v>
      </c>
      <c r="BJ129" s="49">
        <v>0</v>
      </c>
      <c r="BK129" s="50">
        <v>0</v>
      </c>
      <c r="BL129" s="49">
        <v>4</v>
      </c>
      <c r="BM129" s="50">
        <v>100</v>
      </c>
      <c r="BN129" s="49">
        <v>4</v>
      </c>
    </row>
    <row r="130" spans="1:66" ht="15">
      <c r="A130" s="65" t="s">
        <v>294</v>
      </c>
      <c r="B130" s="65" t="s">
        <v>434</v>
      </c>
      <c r="C130" s="66" t="s">
        <v>4405</v>
      </c>
      <c r="D130" s="67">
        <v>1</v>
      </c>
      <c r="E130" s="68" t="s">
        <v>132</v>
      </c>
      <c r="F130" s="69">
        <v>32</v>
      </c>
      <c r="G130" s="66" t="s">
        <v>51</v>
      </c>
      <c r="H130" s="70"/>
      <c r="I130" s="71"/>
      <c r="J130" s="71"/>
      <c r="K130" s="35" t="s">
        <v>65</v>
      </c>
      <c r="L130" s="79">
        <v>130</v>
      </c>
      <c r="M130" s="79"/>
      <c r="N130" s="73"/>
      <c r="O130" s="90" t="s">
        <v>448</v>
      </c>
      <c r="P130" s="93">
        <v>44577.62221064815</v>
      </c>
      <c r="Q130" s="90" t="s">
        <v>510</v>
      </c>
      <c r="R130" s="90"/>
      <c r="S130" s="90"/>
      <c r="T130" s="90"/>
      <c r="U130" s="90"/>
      <c r="V130" s="95" t="str">
        <f>HYPERLINK("https://pbs.twimg.com/profile_images/1471375916144209920/ZSEfM2Zf_normal.jpg")</f>
        <v>https://pbs.twimg.com/profile_images/1471375916144209920/ZSEfM2Zf_normal.jpg</v>
      </c>
      <c r="W130" s="93">
        <v>44577.62221064815</v>
      </c>
      <c r="X130" s="102">
        <v>44577</v>
      </c>
      <c r="Y130" s="97" t="s">
        <v>667</v>
      </c>
      <c r="Z130" s="95" t="str">
        <f>HYPERLINK("https://twitter.com/lsotilas/status/1482728344642850816")</f>
        <v>https://twitter.com/lsotilas/status/1482728344642850816</v>
      </c>
      <c r="AA130" s="90"/>
      <c r="AB130" s="90"/>
      <c r="AC130" s="97" t="s">
        <v>908</v>
      </c>
      <c r="AD130" s="97" t="s">
        <v>1073</v>
      </c>
      <c r="AE130" s="90" t="b">
        <v>0</v>
      </c>
      <c r="AF130" s="90">
        <v>0</v>
      </c>
      <c r="AG130" s="97" t="s">
        <v>1112</v>
      </c>
      <c r="AH130" s="90" t="b">
        <v>0</v>
      </c>
      <c r="AI130" s="90" t="s">
        <v>1127</v>
      </c>
      <c r="AJ130" s="90"/>
      <c r="AK130" s="97" t="s">
        <v>1087</v>
      </c>
      <c r="AL130" s="90" t="b">
        <v>0</v>
      </c>
      <c r="AM130" s="90">
        <v>0</v>
      </c>
      <c r="AN130" s="97" t="s">
        <v>1087</v>
      </c>
      <c r="AO130" s="97" t="s">
        <v>1132</v>
      </c>
      <c r="AP130" s="90" t="b">
        <v>0</v>
      </c>
      <c r="AQ130" s="97" t="s">
        <v>1073</v>
      </c>
      <c r="AR130" s="90" t="s">
        <v>178</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3</v>
      </c>
      <c r="BF130" s="49">
        <v>0</v>
      </c>
      <c r="BG130" s="50">
        <v>0</v>
      </c>
      <c r="BH130" s="49">
        <v>0</v>
      </c>
      <c r="BI130" s="50">
        <v>0</v>
      </c>
      <c r="BJ130" s="49">
        <v>0</v>
      </c>
      <c r="BK130" s="50">
        <v>0</v>
      </c>
      <c r="BL130" s="49">
        <v>22</v>
      </c>
      <c r="BM130" s="50">
        <v>100</v>
      </c>
      <c r="BN130" s="49">
        <v>22</v>
      </c>
    </row>
    <row r="131" spans="1:66" ht="15">
      <c r="A131" s="65" t="s">
        <v>295</v>
      </c>
      <c r="B131" s="65" t="s">
        <v>295</v>
      </c>
      <c r="C131" s="66" t="s">
        <v>4406</v>
      </c>
      <c r="D131" s="67">
        <v>1</v>
      </c>
      <c r="E131" s="68" t="s">
        <v>132</v>
      </c>
      <c r="F131" s="69">
        <v>32</v>
      </c>
      <c r="G131" s="66" t="s">
        <v>51</v>
      </c>
      <c r="H131" s="70"/>
      <c r="I131" s="71"/>
      <c r="J131" s="71"/>
      <c r="K131" s="35" t="s">
        <v>65</v>
      </c>
      <c r="L131" s="79">
        <v>131</v>
      </c>
      <c r="M131" s="79"/>
      <c r="N131" s="73"/>
      <c r="O131" s="90" t="s">
        <v>178</v>
      </c>
      <c r="P131" s="93">
        <v>44577.54162037037</v>
      </c>
      <c r="Q131" s="90" t="s">
        <v>511</v>
      </c>
      <c r="R131" s="95" t="str">
        <f>HYPERLINK("https://www.seiska.fi/Kotimaa/Hans-Valimaki-teki-yllatysratkaisun-taustalla-koronakommentti/1166132?undefined")</f>
        <v>https://www.seiska.fi/Kotimaa/Hans-Valimaki-teki-yllatysratkaisun-taustalla-koronakommentti/1166132?undefined</v>
      </c>
      <c r="S131" s="90" t="s">
        <v>553</v>
      </c>
      <c r="T131" s="97" t="s">
        <v>568</v>
      </c>
      <c r="U131" s="90"/>
      <c r="V131" s="95" t="str">
        <f>HYPERLINK("https://pbs.twimg.com/profile_images/785792030375108608/TyxX7KZS_normal.jpg")</f>
        <v>https://pbs.twimg.com/profile_images/785792030375108608/TyxX7KZS_normal.jpg</v>
      </c>
      <c r="W131" s="93">
        <v>44577.54162037037</v>
      </c>
      <c r="X131" s="102">
        <v>44577</v>
      </c>
      <c r="Y131" s="97" t="s">
        <v>668</v>
      </c>
      <c r="Z131" s="95" t="str">
        <f>HYPERLINK("https://twitter.com/growguide1/status/1482699138454245376")</f>
        <v>https://twitter.com/growguide1/status/1482699138454245376</v>
      </c>
      <c r="AA131" s="90"/>
      <c r="AB131" s="90"/>
      <c r="AC131" s="97" t="s">
        <v>909</v>
      </c>
      <c r="AD131" s="90"/>
      <c r="AE131" s="90" t="b">
        <v>0</v>
      </c>
      <c r="AF131" s="90">
        <v>0</v>
      </c>
      <c r="AG131" s="97" t="s">
        <v>1087</v>
      </c>
      <c r="AH131" s="90" t="b">
        <v>0</v>
      </c>
      <c r="AI131" s="90" t="s">
        <v>1127</v>
      </c>
      <c r="AJ131" s="90"/>
      <c r="AK131" s="97" t="s">
        <v>1087</v>
      </c>
      <c r="AL131" s="90" t="b">
        <v>0</v>
      </c>
      <c r="AM131" s="90">
        <v>0</v>
      </c>
      <c r="AN131" s="97" t="s">
        <v>1087</v>
      </c>
      <c r="AO131" s="97" t="s">
        <v>1138</v>
      </c>
      <c r="AP131" s="90" t="b">
        <v>0</v>
      </c>
      <c r="AQ131" s="97" t="s">
        <v>909</v>
      </c>
      <c r="AR131" s="90" t="s">
        <v>178</v>
      </c>
      <c r="AS131" s="90">
        <v>0</v>
      </c>
      <c r="AT131" s="90">
        <v>0</v>
      </c>
      <c r="AU131" s="90"/>
      <c r="AV131" s="90"/>
      <c r="AW131" s="90"/>
      <c r="AX131" s="90"/>
      <c r="AY131" s="90"/>
      <c r="AZ131" s="90"/>
      <c r="BA131" s="90"/>
      <c r="BB131" s="90"/>
      <c r="BC131">
        <v>2</v>
      </c>
      <c r="BD131" s="89" t="str">
        <f>REPLACE(INDEX(GroupVertices[Group],MATCH(Edges[[#This Row],[Vertex 1]],GroupVertices[Vertex],0)),1,1,"")</f>
        <v>7</v>
      </c>
      <c r="BE131" s="89" t="str">
        <f>REPLACE(INDEX(GroupVertices[Group],MATCH(Edges[[#This Row],[Vertex 2]],GroupVertices[Vertex],0)),1,1,"")</f>
        <v>7</v>
      </c>
      <c r="BF131" s="49">
        <v>0</v>
      </c>
      <c r="BG131" s="50">
        <v>0</v>
      </c>
      <c r="BH131" s="49">
        <v>0</v>
      </c>
      <c r="BI131" s="50">
        <v>0</v>
      </c>
      <c r="BJ131" s="49">
        <v>0</v>
      </c>
      <c r="BK131" s="50">
        <v>0</v>
      </c>
      <c r="BL131" s="49">
        <v>11</v>
      </c>
      <c r="BM131" s="50">
        <v>100</v>
      </c>
      <c r="BN131" s="49">
        <v>11</v>
      </c>
    </row>
    <row r="132" spans="1:66" ht="15">
      <c r="A132" s="65" t="s">
        <v>295</v>
      </c>
      <c r="B132" s="65" t="s">
        <v>295</v>
      </c>
      <c r="C132" s="66" t="s">
        <v>4406</v>
      </c>
      <c r="D132" s="67">
        <v>1</v>
      </c>
      <c r="E132" s="68" t="s">
        <v>132</v>
      </c>
      <c r="F132" s="69">
        <v>32</v>
      </c>
      <c r="G132" s="66" t="s">
        <v>51</v>
      </c>
      <c r="H132" s="70"/>
      <c r="I132" s="71"/>
      <c r="J132" s="71"/>
      <c r="K132" s="35" t="s">
        <v>65</v>
      </c>
      <c r="L132" s="79">
        <v>132</v>
      </c>
      <c r="M132" s="79"/>
      <c r="N132" s="73"/>
      <c r="O132" s="90" t="s">
        <v>178</v>
      </c>
      <c r="P132" s="93">
        <v>44577.62488425926</v>
      </c>
      <c r="Q132" s="90" t="s">
        <v>512</v>
      </c>
      <c r="R132" s="95" t="str">
        <f>HYPERLINK("https://www.seiska.fi/Kotimaa/Hans-Valimaki-teki-yllatysratkaisun-taustalla-koronakommentti/1166132")</f>
        <v>https://www.seiska.fi/Kotimaa/Hans-Valimaki-teki-yllatysratkaisun-taustalla-koronakommentti/1166132</v>
      </c>
      <c r="S132" s="90" t="s">
        <v>553</v>
      </c>
      <c r="T132" s="97" t="s">
        <v>568</v>
      </c>
      <c r="U132" s="90"/>
      <c r="V132" s="95" t="str">
        <f>HYPERLINK("https://pbs.twimg.com/profile_images/785792030375108608/TyxX7KZS_normal.jpg")</f>
        <v>https://pbs.twimg.com/profile_images/785792030375108608/TyxX7KZS_normal.jpg</v>
      </c>
      <c r="W132" s="93">
        <v>44577.62488425926</v>
      </c>
      <c r="X132" s="102">
        <v>44577</v>
      </c>
      <c r="Y132" s="97" t="s">
        <v>669</v>
      </c>
      <c r="Z132" s="95" t="str">
        <f>HYPERLINK("https://twitter.com/growguide1/status/1482729312986058757")</f>
        <v>https://twitter.com/growguide1/status/1482729312986058757</v>
      </c>
      <c r="AA132" s="90"/>
      <c r="AB132" s="90"/>
      <c r="AC132" s="97" t="s">
        <v>910</v>
      </c>
      <c r="AD132" s="90"/>
      <c r="AE132" s="90" t="b">
        <v>0</v>
      </c>
      <c r="AF132" s="90">
        <v>0</v>
      </c>
      <c r="AG132" s="97" t="s">
        <v>1087</v>
      </c>
      <c r="AH132" s="90" t="b">
        <v>0</v>
      </c>
      <c r="AI132" s="90" t="s">
        <v>1127</v>
      </c>
      <c r="AJ132" s="90"/>
      <c r="AK132" s="97" t="s">
        <v>1087</v>
      </c>
      <c r="AL132" s="90" t="b">
        <v>0</v>
      </c>
      <c r="AM132" s="90">
        <v>0</v>
      </c>
      <c r="AN132" s="97" t="s">
        <v>1087</v>
      </c>
      <c r="AO132" s="97" t="s">
        <v>1138</v>
      </c>
      <c r="AP132" s="90" t="b">
        <v>0</v>
      </c>
      <c r="AQ132" s="97" t="s">
        <v>910</v>
      </c>
      <c r="AR132" s="90" t="s">
        <v>178</v>
      </c>
      <c r="AS132" s="90">
        <v>0</v>
      </c>
      <c r="AT132" s="90">
        <v>0</v>
      </c>
      <c r="AU132" s="90"/>
      <c r="AV132" s="90"/>
      <c r="AW132" s="90"/>
      <c r="AX132" s="90"/>
      <c r="AY132" s="90"/>
      <c r="AZ132" s="90"/>
      <c r="BA132" s="90"/>
      <c r="BB132" s="90"/>
      <c r="BC132">
        <v>2</v>
      </c>
      <c r="BD132" s="89" t="str">
        <f>REPLACE(INDEX(GroupVertices[Group],MATCH(Edges[[#This Row],[Vertex 1]],GroupVertices[Vertex],0)),1,1,"")</f>
        <v>7</v>
      </c>
      <c r="BE132" s="89" t="str">
        <f>REPLACE(INDEX(GroupVertices[Group],MATCH(Edges[[#This Row],[Vertex 2]],GroupVertices[Vertex],0)),1,1,"")</f>
        <v>7</v>
      </c>
      <c r="BF132" s="49">
        <v>0</v>
      </c>
      <c r="BG132" s="50">
        <v>0</v>
      </c>
      <c r="BH132" s="49">
        <v>0</v>
      </c>
      <c r="BI132" s="50">
        <v>0</v>
      </c>
      <c r="BJ132" s="49">
        <v>0</v>
      </c>
      <c r="BK132" s="50">
        <v>0</v>
      </c>
      <c r="BL132" s="49">
        <v>9</v>
      </c>
      <c r="BM132" s="50">
        <v>100</v>
      </c>
      <c r="BN132" s="49">
        <v>9</v>
      </c>
    </row>
    <row r="133" spans="1:66" ht="15">
      <c r="A133" s="65" t="s">
        <v>296</v>
      </c>
      <c r="B133" s="65" t="s">
        <v>435</v>
      </c>
      <c r="C133" s="66" t="s">
        <v>4405</v>
      </c>
      <c r="D133" s="67">
        <v>1</v>
      </c>
      <c r="E133" s="68" t="s">
        <v>132</v>
      </c>
      <c r="F133" s="69">
        <v>32</v>
      </c>
      <c r="G133" s="66" t="s">
        <v>51</v>
      </c>
      <c r="H133" s="70"/>
      <c r="I133" s="71"/>
      <c r="J133" s="71"/>
      <c r="K133" s="35" t="s">
        <v>65</v>
      </c>
      <c r="L133" s="79">
        <v>133</v>
      </c>
      <c r="M133" s="79"/>
      <c r="N133" s="73"/>
      <c r="O133" s="90" t="s">
        <v>448</v>
      </c>
      <c r="P133" s="93">
        <v>44577.63989583333</v>
      </c>
      <c r="Q133" s="90" t="s">
        <v>513</v>
      </c>
      <c r="R133" s="90"/>
      <c r="S133" s="90"/>
      <c r="T133" s="90"/>
      <c r="U133" s="90"/>
      <c r="V133" s="95" t="str">
        <f>HYPERLINK("https://pbs.twimg.com/profile_images/1306470894986985473/T65QupW1_normal.jpg")</f>
        <v>https://pbs.twimg.com/profile_images/1306470894986985473/T65QupW1_normal.jpg</v>
      </c>
      <c r="W133" s="93">
        <v>44577.63989583333</v>
      </c>
      <c r="X133" s="102">
        <v>44577</v>
      </c>
      <c r="Y133" s="97" t="s">
        <v>670</v>
      </c>
      <c r="Z133" s="95" t="str">
        <f>HYPERLINK("https://twitter.com/lake791/status/1482734751710691328")</f>
        <v>https://twitter.com/lake791/status/1482734751710691328</v>
      </c>
      <c r="AA133" s="90"/>
      <c r="AB133" s="90"/>
      <c r="AC133" s="97" t="s">
        <v>911</v>
      </c>
      <c r="AD133" s="97" t="s">
        <v>1074</v>
      </c>
      <c r="AE133" s="90" t="b">
        <v>0</v>
      </c>
      <c r="AF133" s="90">
        <v>0</v>
      </c>
      <c r="AG133" s="97" t="s">
        <v>1113</v>
      </c>
      <c r="AH133" s="90" t="b">
        <v>0</v>
      </c>
      <c r="AI133" s="90" t="s">
        <v>1127</v>
      </c>
      <c r="AJ133" s="90"/>
      <c r="AK133" s="97" t="s">
        <v>1087</v>
      </c>
      <c r="AL133" s="90" t="b">
        <v>0</v>
      </c>
      <c r="AM133" s="90">
        <v>0</v>
      </c>
      <c r="AN133" s="97" t="s">
        <v>1087</v>
      </c>
      <c r="AO133" s="97" t="s">
        <v>1133</v>
      </c>
      <c r="AP133" s="90" t="b">
        <v>0</v>
      </c>
      <c r="AQ133" s="97" t="s">
        <v>1074</v>
      </c>
      <c r="AR133" s="90" t="s">
        <v>178</v>
      </c>
      <c r="AS133" s="90">
        <v>0</v>
      </c>
      <c r="AT133" s="90">
        <v>0</v>
      </c>
      <c r="AU133" s="90"/>
      <c r="AV133" s="90"/>
      <c r="AW133" s="90"/>
      <c r="AX133" s="90"/>
      <c r="AY133" s="90"/>
      <c r="AZ133" s="90"/>
      <c r="BA133" s="90"/>
      <c r="BB133" s="90"/>
      <c r="BC133">
        <v>1</v>
      </c>
      <c r="BD133" s="89" t="str">
        <f>REPLACE(INDEX(GroupVertices[Group],MATCH(Edges[[#This Row],[Vertex 1]],GroupVertices[Vertex],0)),1,1,"")</f>
        <v>17</v>
      </c>
      <c r="BE133" s="89" t="str">
        <f>REPLACE(INDEX(GroupVertices[Group],MATCH(Edges[[#This Row],[Vertex 2]],GroupVertices[Vertex],0)),1,1,"")</f>
        <v>17</v>
      </c>
      <c r="BF133" s="49">
        <v>0</v>
      </c>
      <c r="BG133" s="50">
        <v>0</v>
      </c>
      <c r="BH133" s="49">
        <v>0</v>
      </c>
      <c r="BI133" s="50">
        <v>0</v>
      </c>
      <c r="BJ133" s="49">
        <v>0</v>
      </c>
      <c r="BK133" s="50">
        <v>0</v>
      </c>
      <c r="BL133" s="49">
        <v>14</v>
      </c>
      <c r="BM133" s="50">
        <v>100</v>
      </c>
      <c r="BN133" s="49">
        <v>14</v>
      </c>
    </row>
    <row r="134" spans="1:66" ht="15">
      <c r="A134" s="65" t="s">
        <v>297</v>
      </c>
      <c r="B134" s="65" t="s">
        <v>341</v>
      </c>
      <c r="C134" s="66" t="s">
        <v>4405</v>
      </c>
      <c r="D134" s="67">
        <v>1</v>
      </c>
      <c r="E134" s="68" t="s">
        <v>132</v>
      </c>
      <c r="F134" s="69">
        <v>32</v>
      </c>
      <c r="G134" s="66" t="s">
        <v>51</v>
      </c>
      <c r="H134" s="70"/>
      <c r="I134" s="71"/>
      <c r="J134" s="71"/>
      <c r="K134" s="35" t="s">
        <v>65</v>
      </c>
      <c r="L134" s="79">
        <v>134</v>
      </c>
      <c r="M134" s="79"/>
      <c r="N134" s="73"/>
      <c r="O134" s="90" t="s">
        <v>447</v>
      </c>
      <c r="P134" s="93">
        <v>44577.68753472222</v>
      </c>
      <c r="Q134" s="90" t="s">
        <v>514</v>
      </c>
      <c r="R134" s="90"/>
      <c r="S134" s="90"/>
      <c r="T134" s="90"/>
      <c r="U134" s="95" t="str">
        <f>HYPERLINK("https://pbs.twimg.com/media/FJPK-YrWUAYi1BM.jpg")</f>
        <v>https://pbs.twimg.com/media/FJPK-YrWUAYi1BM.jpg</v>
      </c>
      <c r="V134" s="95" t="str">
        <f>HYPERLINK("https://pbs.twimg.com/media/FJPK-YrWUAYi1BM.jpg")</f>
        <v>https://pbs.twimg.com/media/FJPK-YrWUAYi1BM.jpg</v>
      </c>
      <c r="W134" s="93">
        <v>44577.68753472222</v>
      </c>
      <c r="X134" s="102">
        <v>44577</v>
      </c>
      <c r="Y134" s="97" t="s">
        <v>671</v>
      </c>
      <c r="Z134" s="95" t="str">
        <f>HYPERLINK("https://twitter.com/perhiot/status/1482752017475026950")</f>
        <v>https://twitter.com/perhiot/status/1482752017475026950</v>
      </c>
      <c r="AA134" s="90"/>
      <c r="AB134" s="90"/>
      <c r="AC134" s="97" t="s">
        <v>912</v>
      </c>
      <c r="AD134" s="90"/>
      <c r="AE134" s="90" t="b">
        <v>0</v>
      </c>
      <c r="AF134" s="90">
        <v>0</v>
      </c>
      <c r="AG134" s="97" t="s">
        <v>1087</v>
      </c>
      <c r="AH134" s="90" t="b">
        <v>0</v>
      </c>
      <c r="AI134" s="90" t="s">
        <v>1127</v>
      </c>
      <c r="AJ134" s="90"/>
      <c r="AK134" s="97" t="s">
        <v>1087</v>
      </c>
      <c r="AL134" s="90" t="b">
        <v>0</v>
      </c>
      <c r="AM134" s="90">
        <v>36</v>
      </c>
      <c r="AN134" s="97" t="s">
        <v>1040</v>
      </c>
      <c r="AO134" s="97" t="s">
        <v>1134</v>
      </c>
      <c r="AP134" s="90" t="b">
        <v>0</v>
      </c>
      <c r="AQ134" s="97" t="s">
        <v>1040</v>
      </c>
      <c r="AR134" s="90" t="s">
        <v>178</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4</v>
      </c>
      <c r="BM134" s="50">
        <v>100</v>
      </c>
      <c r="BN134" s="49">
        <v>4</v>
      </c>
    </row>
    <row r="135" spans="1:66" ht="15">
      <c r="A135" s="65" t="s">
        <v>298</v>
      </c>
      <c r="B135" s="65" t="s">
        <v>341</v>
      </c>
      <c r="C135" s="66" t="s">
        <v>4405</v>
      </c>
      <c r="D135" s="67">
        <v>1</v>
      </c>
      <c r="E135" s="68" t="s">
        <v>132</v>
      </c>
      <c r="F135" s="69">
        <v>32</v>
      </c>
      <c r="G135" s="66" t="s">
        <v>51</v>
      </c>
      <c r="H135" s="70"/>
      <c r="I135" s="71"/>
      <c r="J135" s="71"/>
      <c r="K135" s="35" t="s">
        <v>65</v>
      </c>
      <c r="L135" s="79">
        <v>135</v>
      </c>
      <c r="M135" s="79"/>
      <c r="N135" s="73"/>
      <c r="O135" s="90" t="s">
        <v>447</v>
      </c>
      <c r="P135" s="93">
        <v>44577.6946875</v>
      </c>
      <c r="Q135" s="90" t="s">
        <v>514</v>
      </c>
      <c r="R135" s="90"/>
      <c r="S135" s="90"/>
      <c r="T135" s="90"/>
      <c r="U135" s="95" t="str">
        <f>HYPERLINK("https://pbs.twimg.com/media/FJPK-YrWUAYi1BM.jpg")</f>
        <v>https://pbs.twimg.com/media/FJPK-YrWUAYi1BM.jpg</v>
      </c>
      <c r="V135" s="95" t="str">
        <f>HYPERLINK("https://pbs.twimg.com/media/FJPK-YrWUAYi1BM.jpg")</f>
        <v>https://pbs.twimg.com/media/FJPK-YrWUAYi1BM.jpg</v>
      </c>
      <c r="W135" s="93">
        <v>44577.6946875</v>
      </c>
      <c r="X135" s="102">
        <v>44577</v>
      </c>
      <c r="Y135" s="97" t="s">
        <v>672</v>
      </c>
      <c r="Z135" s="95" t="str">
        <f>HYPERLINK("https://twitter.com/pekka9966/status/1482754609047379972")</f>
        <v>https://twitter.com/pekka9966/status/1482754609047379972</v>
      </c>
      <c r="AA135" s="90"/>
      <c r="AB135" s="90"/>
      <c r="AC135" s="97" t="s">
        <v>913</v>
      </c>
      <c r="AD135" s="90"/>
      <c r="AE135" s="90" t="b">
        <v>0</v>
      </c>
      <c r="AF135" s="90">
        <v>0</v>
      </c>
      <c r="AG135" s="97" t="s">
        <v>1087</v>
      </c>
      <c r="AH135" s="90" t="b">
        <v>0</v>
      </c>
      <c r="AI135" s="90" t="s">
        <v>1127</v>
      </c>
      <c r="AJ135" s="90"/>
      <c r="AK135" s="97" t="s">
        <v>1087</v>
      </c>
      <c r="AL135" s="90" t="b">
        <v>0</v>
      </c>
      <c r="AM135" s="90">
        <v>36</v>
      </c>
      <c r="AN135" s="97" t="s">
        <v>1040</v>
      </c>
      <c r="AO135" s="97" t="s">
        <v>1133</v>
      </c>
      <c r="AP135" s="90" t="b">
        <v>0</v>
      </c>
      <c r="AQ135" s="97" t="s">
        <v>1040</v>
      </c>
      <c r="AR135" s="90" t="s">
        <v>178</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0</v>
      </c>
      <c r="BG135" s="50">
        <v>0</v>
      </c>
      <c r="BH135" s="49">
        <v>0</v>
      </c>
      <c r="BI135" s="50">
        <v>0</v>
      </c>
      <c r="BJ135" s="49">
        <v>0</v>
      </c>
      <c r="BK135" s="50">
        <v>0</v>
      </c>
      <c r="BL135" s="49">
        <v>4</v>
      </c>
      <c r="BM135" s="50">
        <v>100</v>
      </c>
      <c r="BN135" s="49">
        <v>4</v>
      </c>
    </row>
    <row r="136" spans="1:66" ht="15">
      <c r="A136" s="65" t="s">
        <v>299</v>
      </c>
      <c r="B136" s="65" t="s">
        <v>341</v>
      </c>
      <c r="C136" s="66" t="s">
        <v>4405</v>
      </c>
      <c r="D136" s="67">
        <v>1</v>
      </c>
      <c r="E136" s="68" t="s">
        <v>132</v>
      </c>
      <c r="F136" s="69">
        <v>32</v>
      </c>
      <c r="G136" s="66" t="s">
        <v>51</v>
      </c>
      <c r="H136" s="70"/>
      <c r="I136" s="71"/>
      <c r="J136" s="71"/>
      <c r="K136" s="35" t="s">
        <v>65</v>
      </c>
      <c r="L136" s="79">
        <v>136</v>
      </c>
      <c r="M136" s="79"/>
      <c r="N136" s="73"/>
      <c r="O136" s="90" t="s">
        <v>447</v>
      </c>
      <c r="P136" s="93">
        <v>44577.69648148148</v>
      </c>
      <c r="Q136" s="90" t="s">
        <v>514</v>
      </c>
      <c r="R136" s="90"/>
      <c r="S136" s="90"/>
      <c r="T136" s="90"/>
      <c r="U136" s="95" t="str">
        <f>HYPERLINK("https://pbs.twimg.com/media/FJPK-YrWUAYi1BM.jpg")</f>
        <v>https://pbs.twimg.com/media/FJPK-YrWUAYi1BM.jpg</v>
      </c>
      <c r="V136" s="95" t="str">
        <f>HYPERLINK("https://pbs.twimg.com/media/FJPK-YrWUAYi1BM.jpg")</f>
        <v>https://pbs.twimg.com/media/FJPK-YrWUAYi1BM.jpg</v>
      </c>
      <c r="W136" s="93">
        <v>44577.69648148148</v>
      </c>
      <c r="X136" s="102">
        <v>44577</v>
      </c>
      <c r="Y136" s="97" t="s">
        <v>673</v>
      </c>
      <c r="Z136" s="95" t="str">
        <f>HYPERLINK("https://twitter.com/poikelin/status/1482755257528725506")</f>
        <v>https://twitter.com/poikelin/status/1482755257528725506</v>
      </c>
      <c r="AA136" s="90"/>
      <c r="AB136" s="90"/>
      <c r="AC136" s="97" t="s">
        <v>914</v>
      </c>
      <c r="AD136" s="90"/>
      <c r="AE136" s="90" t="b">
        <v>0</v>
      </c>
      <c r="AF136" s="90">
        <v>0</v>
      </c>
      <c r="AG136" s="97" t="s">
        <v>1087</v>
      </c>
      <c r="AH136" s="90" t="b">
        <v>0</v>
      </c>
      <c r="AI136" s="90" t="s">
        <v>1127</v>
      </c>
      <c r="AJ136" s="90"/>
      <c r="AK136" s="97" t="s">
        <v>1087</v>
      </c>
      <c r="AL136" s="90" t="b">
        <v>0</v>
      </c>
      <c r="AM136" s="90">
        <v>36</v>
      </c>
      <c r="AN136" s="97" t="s">
        <v>1040</v>
      </c>
      <c r="AO136" s="97" t="s">
        <v>1135</v>
      </c>
      <c r="AP136" s="90" t="b">
        <v>0</v>
      </c>
      <c r="AQ136" s="97" t="s">
        <v>1040</v>
      </c>
      <c r="AR136" s="90" t="s">
        <v>178</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v>0</v>
      </c>
      <c r="BG136" s="50">
        <v>0</v>
      </c>
      <c r="BH136" s="49">
        <v>0</v>
      </c>
      <c r="BI136" s="50">
        <v>0</v>
      </c>
      <c r="BJ136" s="49">
        <v>0</v>
      </c>
      <c r="BK136" s="50">
        <v>0</v>
      </c>
      <c r="BL136" s="49">
        <v>4</v>
      </c>
      <c r="BM136" s="50">
        <v>100</v>
      </c>
      <c r="BN136" s="49">
        <v>4</v>
      </c>
    </row>
    <row r="137" spans="1:66" ht="15">
      <c r="A137" s="65" t="s">
        <v>300</v>
      </c>
      <c r="B137" s="65" t="s">
        <v>341</v>
      </c>
      <c r="C137" s="66" t="s">
        <v>4405</v>
      </c>
      <c r="D137" s="67">
        <v>1</v>
      </c>
      <c r="E137" s="68" t="s">
        <v>132</v>
      </c>
      <c r="F137" s="69">
        <v>32</v>
      </c>
      <c r="G137" s="66" t="s">
        <v>51</v>
      </c>
      <c r="H137" s="70"/>
      <c r="I137" s="71"/>
      <c r="J137" s="71"/>
      <c r="K137" s="35" t="s">
        <v>65</v>
      </c>
      <c r="L137" s="79">
        <v>137</v>
      </c>
      <c r="M137" s="79"/>
      <c r="N137" s="73"/>
      <c r="O137" s="90" t="s">
        <v>447</v>
      </c>
      <c r="P137" s="93">
        <v>44577.697222222225</v>
      </c>
      <c r="Q137" s="90" t="s">
        <v>514</v>
      </c>
      <c r="R137" s="90"/>
      <c r="S137" s="90"/>
      <c r="T137" s="90"/>
      <c r="U137" s="95" t="str">
        <f>HYPERLINK("https://pbs.twimg.com/media/FJPK-YrWUAYi1BM.jpg")</f>
        <v>https://pbs.twimg.com/media/FJPK-YrWUAYi1BM.jpg</v>
      </c>
      <c r="V137" s="95" t="str">
        <f>HYPERLINK("https://pbs.twimg.com/media/FJPK-YrWUAYi1BM.jpg")</f>
        <v>https://pbs.twimg.com/media/FJPK-YrWUAYi1BM.jpg</v>
      </c>
      <c r="W137" s="93">
        <v>44577.697222222225</v>
      </c>
      <c r="X137" s="102">
        <v>44577</v>
      </c>
      <c r="Y137" s="97" t="s">
        <v>674</v>
      </c>
      <c r="Z137" s="95" t="str">
        <f>HYPERLINK("https://twitter.com/scandinavianhu3/status/1482755528610791428")</f>
        <v>https://twitter.com/scandinavianhu3/status/1482755528610791428</v>
      </c>
      <c r="AA137" s="90"/>
      <c r="AB137" s="90"/>
      <c r="AC137" s="97" t="s">
        <v>915</v>
      </c>
      <c r="AD137" s="90"/>
      <c r="AE137" s="90" t="b">
        <v>0</v>
      </c>
      <c r="AF137" s="90">
        <v>0</v>
      </c>
      <c r="AG137" s="97" t="s">
        <v>1087</v>
      </c>
      <c r="AH137" s="90" t="b">
        <v>0</v>
      </c>
      <c r="AI137" s="90" t="s">
        <v>1127</v>
      </c>
      <c r="AJ137" s="90"/>
      <c r="AK137" s="97" t="s">
        <v>1087</v>
      </c>
      <c r="AL137" s="90" t="b">
        <v>0</v>
      </c>
      <c r="AM137" s="90">
        <v>36</v>
      </c>
      <c r="AN137" s="97" t="s">
        <v>1040</v>
      </c>
      <c r="AO137" s="97" t="s">
        <v>1132</v>
      </c>
      <c r="AP137" s="90" t="b">
        <v>0</v>
      </c>
      <c r="AQ137" s="97" t="s">
        <v>1040</v>
      </c>
      <c r="AR137" s="90" t="s">
        <v>178</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5" t="s">
        <v>301</v>
      </c>
      <c r="B138" s="65" t="s">
        <v>384</v>
      </c>
      <c r="C138" s="66" t="s">
        <v>4405</v>
      </c>
      <c r="D138" s="67">
        <v>1</v>
      </c>
      <c r="E138" s="68" t="s">
        <v>132</v>
      </c>
      <c r="F138" s="69">
        <v>32</v>
      </c>
      <c r="G138" s="66" t="s">
        <v>51</v>
      </c>
      <c r="H138" s="70"/>
      <c r="I138" s="71"/>
      <c r="J138" s="71"/>
      <c r="K138" s="35" t="s">
        <v>65</v>
      </c>
      <c r="L138" s="79">
        <v>138</v>
      </c>
      <c r="M138" s="79"/>
      <c r="N138" s="73"/>
      <c r="O138" s="90" t="s">
        <v>447</v>
      </c>
      <c r="P138" s="93">
        <v>44575.70038194444</v>
      </c>
      <c r="Q138" s="90" t="s">
        <v>452</v>
      </c>
      <c r="R138" s="90"/>
      <c r="S138" s="90"/>
      <c r="T138" s="90"/>
      <c r="U138" s="95" t="str">
        <f>HYPERLINK("https://pbs.twimg.com/media/FJEZSt6WYAQW_i_.jpg")</f>
        <v>https://pbs.twimg.com/media/FJEZSt6WYAQW_i_.jpg</v>
      </c>
      <c r="V138" s="95" t="str">
        <f>HYPERLINK("https://pbs.twimg.com/media/FJEZSt6WYAQW_i_.jpg")</f>
        <v>https://pbs.twimg.com/media/FJEZSt6WYAQW_i_.jpg</v>
      </c>
      <c r="W138" s="93">
        <v>44575.70038194444</v>
      </c>
      <c r="X138" s="102">
        <v>44575</v>
      </c>
      <c r="Y138" s="97" t="s">
        <v>675</v>
      </c>
      <c r="Z138" s="95" t="str">
        <f>HYPERLINK("https://twitter.com/mmaitoparta/status/1482031894090813442")</f>
        <v>https://twitter.com/mmaitoparta/status/1482031894090813442</v>
      </c>
      <c r="AA138" s="90"/>
      <c r="AB138" s="90"/>
      <c r="AC138" s="97" t="s">
        <v>916</v>
      </c>
      <c r="AD138" s="90"/>
      <c r="AE138" s="90" t="b">
        <v>0</v>
      </c>
      <c r="AF138" s="90">
        <v>0</v>
      </c>
      <c r="AG138" s="97" t="s">
        <v>1087</v>
      </c>
      <c r="AH138" s="90" t="b">
        <v>0</v>
      </c>
      <c r="AI138" s="90" t="s">
        <v>1127</v>
      </c>
      <c r="AJ138" s="90"/>
      <c r="AK138" s="97" t="s">
        <v>1087</v>
      </c>
      <c r="AL138" s="90" t="b">
        <v>0</v>
      </c>
      <c r="AM138" s="90">
        <v>33</v>
      </c>
      <c r="AN138" s="97" t="s">
        <v>1022</v>
      </c>
      <c r="AO138" s="97" t="s">
        <v>1133</v>
      </c>
      <c r="AP138" s="90" t="b">
        <v>0</v>
      </c>
      <c r="AQ138" s="97" t="s">
        <v>1022</v>
      </c>
      <c r="AR138" s="90" t="s">
        <v>178</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2</v>
      </c>
      <c r="BF138" s="49">
        <v>0</v>
      </c>
      <c r="BG138" s="50">
        <v>0</v>
      </c>
      <c r="BH138" s="49">
        <v>0</v>
      </c>
      <c r="BI138" s="50">
        <v>0</v>
      </c>
      <c r="BJ138" s="49">
        <v>0</v>
      </c>
      <c r="BK138" s="50">
        <v>0</v>
      </c>
      <c r="BL138" s="49">
        <v>24</v>
      </c>
      <c r="BM138" s="50">
        <v>100</v>
      </c>
      <c r="BN138" s="49">
        <v>24</v>
      </c>
    </row>
    <row r="139" spans="1:66" ht="15">
      <c r="A139" s="65" t="s">
        <v>301</v>
      </c>
      <c r="B139" s="65" t="s">
        <v>341</v>
      </c>
      <c r="C139" s="66" t="s">
        <v>4405</v>
      </c>
      <c r="D139" s="67">
        <v>1</v>
      </c>
      <c r="E139" s="68" t="s">
        <v>132</v>
      </c>
      <c r="F139" s="69">
        <v>32</v>
      </c>
      <c r="G139" s="66" t="s">
        <v>51</v>
      </c>
      <c r="H139" s="70"/>
      <c r="I139" s="71"/>
      <c r="J139" s="71"/>
      <c r="K139" s="35" t="s">
        <v>65</v>
      </c>
      <c r="L139" s="79">
        <v>139</v>
      </c>
      <c r="M139" s="79"/>
      <c r="N139" s="73"/>
      <c r="O139" s="90" t="s">
        <v>447</v>
      </c>
      <c r="P139" s="93">
        <v>44577.697280092594</v>
      </c>
      <c r="Q139" s="90" t="s">
        <v>514</v>
      </c>
      <c r="R139" s="90"/>
      <c r="S139" s="90"/>
      <c r="T139" s="90"/>
      <c r="U139" s="95" t="str">
        <f>HYPERLINK("https://pbs.twimg.com/media/FJPK-YrWUAYi1BM.jpg")</f>
        <v>https://pbs.twimg.com/media/FJPK-YrWUAYi1BM.jpg</v>
      </c>
      <c r="V139" s="95" t="str">
        <f>HYPERLINK("https://pbs.twimg.com/media/FJPK-YrWUAYi1BM.jpg")</f>
        <v>https://pbs.twimg.com/media/FJPK-YrWUAYi1BM.jpg</v>
      </c>
      <c r="W139" s="93">
        <v>44577.697280092594</v>
      </c>
      <c r="X139" s="102">
        <v>44577</v>
      </c>
      <c r="Y139" s="97" t="s">
        <v>676</v>
      </c>
      <c r="Z139" s="95" t="str">
        <f>HYPERLINK("https://twitter.com/mmaitoparta/status/1482755547820560387")</f>
        <v>https://twitter.com/mmaitoparta/status/1482755547820560387</v>
      </c>
      <c r="AA139" s="90"/>
      <c r="AB139" s="90"/>
      <c r="AC139" s="97" t="s">
        <v>917</v>
      </c>
      <c r="AD139" s="90"/>
      <c r="AE139" s="90" t="b">
        <v>0</v>
      </c>
      <c r="AF139" s="90">
        <v>0</v>
      </c>
      <c r="AG139" s="97" t="s">
        <v>1087</v>
      </c>
      <c r="AH139" s="90" t="b">
        <v>0</v>
      </c>
      <c r="AI139" s="90" t="s">
        <v>1127</v>
      </c>
      <c r="AJ139" s="90"/>
      <c r="AK139" s="97" t="s">
        <v>1087</v>
      </c>
      <c r="AL139" s="90" t="b">
        <v>0</v>
      </c>
      <c r="AM139" s="90">
        <v>36</v>
      </c>
      <c r="AN139" s="97" t="s">
        <v>1040</v>
      </c>
      <c r="AO139" s="97" t="s">
        <v>1133</v>
      </c>
      <c r="AP139" s="90" t="b">
        <v>0</v>
      </c>
      <c r="AQ139" s="97" t="s">
        <v>1040</v>
      </c>
      <c r="AR139" s="90" t="s">
        <v>178</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1</v>
      </c>
      <c r="BF139" s="49">
        <v>0</v>
      </c>
      <c r="BG139" s="50">
        <v>0</v>
      </c>
      <c r="BH139" s="49">
        <v>0</v>
      </c>
      <c r="BI139" s="50">
        <v>0</v>
      </c>
      <c r="BJ139" s="49">
        <v>0</v>
      </c>
      <c r="BK139" s="50">
        <v>0</v>
      </c>
      <c r="BL139" s="49">
        <v>4</v>
      </c>
      <c r="BM139" s="50">
        <v>100</v>
      </c>
      <c r="BN139" s="49">
        <v>4</v>
      </c>
    </row>
    <row r="140" spans="1:66" ht="15">
      <c r="A140" s="65" t="s">
        <v>302</v>
      </c>
      <c r="B140" s="65" t="s">
        <v>341</v>
      </c>
      <c r="C140" s="66" t="s">
        <v>4405</v>
      </c>
      <c r="D140" s="67">
        <v>1</v>
      </c>
      <c r="E140" s="68" t="s">
        <v>132</v>
      </c>
      <c r="F140" s="69">
        <v>32</v>
      </c>
      <c r="G140" s="66" t="s">
        <v>51</v>
      </c>
      <c r="H140" s="70"/>
      <c r="I140" s="71"/>
      <c r="J140" s="71"/>
      <c r="K140" s="35" t="s">
        <v>65</v>
      </c>
      <c r="L140" s="79">
        <v>140</v>
      </c>
      <c r="M140" s="79"/>
      <c r="N140" s="73"/>
      <c r="O140" s="90" t="s">
        <v>447</v>
      </c>
      <c r="P140" s="93">
        <v>44577.70297453704</v>
      </c>
      <c r="Q140" s="90" t="s">
        <v>514</v>
      </c>
      <c r="R140" s="90"/>
      <c r="S140" s="90"/>
      <c r="T140" s="90"/>
      <c r="U140" s="95" t="str">
        <f>HYPERLINK("https://pbs.twimg.com/media/FJPK-YrWUAYi1BM.jpg")</f>
        <v>https://pbs.twimg.com/media/FJPK-YrWUAYi1BM.jpg</v>
      </c>
      <c r="V140" s="95" t="str">
        <f>HYPERLINK("https://pbs.twimg.com/media/FJPK-YrWUAYi1BM.jpg")</f>
        <v>https://pbs.twimg.com/media/FJPK-YrWUAYi1BM.jpg</v>
      </c>
      <c r="W140" s="93">
        <v>44577.70297453704</v>
      </c>
      <c r="X140" s="102">
        <v>44577</v>
      </c>
      <c r="Y140" s="97" t="s">
        <v>677</v>
      </c>
      <c r="Z140" s="95" t="str">
        <f>HYPERLINK("https://twitter.com/l0rava/status/1482757610893983747")</f>
        <v>https://twitter.com/l0rava/status/1482757610893983747</v>
      </c>
      <c r="AA140" s="90"/>
      <c r="AB140" s="90"/>
      <c r="AC140" s="97" t="s">
        <v>918</v>
      </c>
      <c r="AD140" s="90"/>
      <c r="AE140" s="90" t="b">
        <v>0</v>
      </c>
      <c r="AF140" s="90">
        <v>0</v>
      </c>
      <c r="AG140" s="97" t="s">
        <v>1087</v>
      </c>
      <c r="AH140" s="90" t="b">
        <v>0</v>
      </c>
      <c r="AI140" s="90" t="s">
        <v>1127</v>
      </c>
      <c r="AJ140" s="90"/>
      <c r="AK140" s="97" t="s">
        <v>1087</v>
      </c>
      <c r="AL140" s="90" t="b">
        <v>0</v>
      </c>
      <c r="AM140" s="90">
        <v>36</v>
      </c>
      <c r="AN140" s="97" t="s">
        <v>1040</v>
      </c>
      <c r="AO140" s="97" t="s">
        <v>1132</v>
      </c>
      <c r="AP140" s="90" t="b">
        <v>0</v>
      </c>
      <c r="AQ140" s="97" t="s">
        <v>1040</v>
      </c>
      <c r="AR140" s="90" t="s">
        <v>178</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1</v>
      </c>
      <c r="BF140" s="49">
        <v>0</v>
      </c>
      <c r="BG140" s="50">
        <v>0</v>
      </c>
      <c r="BH140" s="49">
        <v>0</v>
      </c>
      <c r="BI140" s="50">
        <v>0</v>
      </c>
      <c r="BJ140" s="49">
        <v>0</v>
      </c>
      <c r="BK140" s="50">
        <v>0</v>
      </c>
      <c r="BL140" s="49">
        <v>4</v>
      </c>
      <c r="BM140" s="50">
        <v>100</v>
      </c>
      <c r="BN140" s="49">
        <v>4</v>
      </c>
    </row>
    <row r="141" spans="1:66" ht="15">
      <c r="A141" s="65" t="s">
        <v>303</v>
      </c>
      <c r="B141" s="65" t="s">
        <v>341</v>
      </c>
      <c r="C141" s="66" t="s">
        <v>4405</v>
      </c>
      <c r="D141" s="67">
        <v>1</v>
      </c>
      <c r="E141" s="68" t="s">
        <v>132</v>
      </c>
      <c r="F141" s="69">
        <v>32</v>
      </c>
      <c r="G141" s="66" t="s">
        <v>51</v>
      </c>
      <c r="H141" s="70"/>
      <c r="I141" s="71"/>
      <c r="J141" s="71"/>
      <c r="K141" s="35" t="s">
        <v>65</v>
      </c>
      <c r="L141" s="79">
        <v>141</v>
      </c>
      <c r="M141" s="79"/>
      <c r="N141" s="73"/>
      <c r="O141" s="90" t="s">
        <v>447</v>
      </c>
      <c r="P141" s="93">
        <v>44577.707708333335</v>
      </c>
      <c r="Q141" s="90" t="s">
        <v>514</v>
      </c>
      <c r="R141" s="90"/>
      <c r="S141" s="90"/>
      <c r="T141" s="90"/>
      <c r="U141" s="95" t="str">
        <f>HYPERLINK("https://pbs.twimg.com/media/FJPK-YrWUAYi1BM.jpg")</f>
        <v>https://pbs.twimg.com/media/FJPK-YrWUAYi1BM.jpg</v>
      </c>
      <c r="V141" s="95" t="str">
        <f>HYPERLINK("https://pbs.twimg.com/media/FJPK-YrWUAYi1BM.jpg")</f>
        <v>https://pbs.twimg.com/media/FJPK-YrWUAYi1BM.jpg</v>
      </c>
      <c r="W141" s="93">
        <v>44577.707708333335</v>
      </c>
      <c r="X141" s="102">
        <v>44577</v>
      </c>
      <c r="Y141" s="97" t="s">
        <v>678</v>
      </c>
      <c r="Z141" s="95" t="str">
        <f>HYPERLINK("https://twitter.com/anastasyafed/status/1482759326938939399")</f>
        <v>https://twitter.com/anastasyafed/status/1482759326938939399</v>
      </c>
      <c r="AA141" s="90"/>
      <c r="AB141" s="90"/>
      <c r="AC141" s="97" t="s">
        <v>919</v>
      </c>
      <c r="AD141" s="90"/>
      <c r="AE141" s="90" t="b">
        <v>0</v>
      </c>
      <c r="AF141" s="90">
        <v>0</v>
      </c>
      <c r="AG141" s="97" t="s">
        <v>1087</v>
      </c>
      <c r="AH141" s="90" t="b">
        <v>0</v>
      </c>
      <c r="AI141" s="90" t="s">
        <v>1127</v>
      </c>
      <c r="AJ141" s="90"/>
      <c r="AK141" s="97" t="s">
        <v>1087</v>
      </c>
      <c r="AL141" s="90" t="b">
        <v>0</v>
      </c>
      <c r="AM141" s="90">
        <v>36</v>
      </c>
      <c r="AN141" s="97" t="s">
        <v>1040</v>
      </c>
      <c r="AO141" s="97" t="s">
        <v>1132</v>
      </c>
      <c r="AP141" s="90" t="b">
        <v>0</v>
      </c>
      <c r="AQ141" s="97" t="s">
        <v>1040</v>
      </c>
      <c r="AR141" s="90" t="s">
        <v>178</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4</v>
      </c>
      <c r="BM141" s="50">
        <v>100</v>
      </c>
      <c r="BN141" s="49">
        <v>4</v>
      </c>
    </row>
    <row r="142" spans="1:66" ht="15">
      <c r="A142" s="65" t="s">
        <v>304</v>
      </c>
      <c r="B142" s="65" t="s">
        <v>341</v>
      </c>
      <c r="C142" s="66" t="s">
        <v>4405</v>
      </c>
      <c r="D142" s="67">
        <v>1</v>
      </c>
      <c r="E142" s="68" t="s">
        <v>132</v>
      </c>
      <c r="F142" s="69">
        <v>32</v>
      </c>
      <c r="G142" s="66" t="s">
        <v>51</v>
      </c>
      <c r="H142" s="70"/>
      <c r="I142" s="71"/>
      <c r="J142" s="71"/>
      <c r="K142" s="35" t="s">
        <v>65</v>
      </c>
      <c r="L142" s="79">
        <v>142</v>
      </c>
      <c r="M142" s="79"/>
      <c r="N142" s="73"/>
      <c r="O142" s="90" t="s">
        <v>447</v>
      </c>
      <c r="P142" s="93">
        <v>44577.71011574074</v>
      </c>
      <c r="Q142" s="90" t="s">
        <v>514</v>
      </c>
      <c r="R142" s="90"/>
      <c r="S142" s="90"/>
      <c r="T142" s="90"/>
      <c r="U142" s="95" t="str">
        <f>HYPERLINK("https://pbs.twimg.com/media/FJPK-YrWUAYi1BM.jpg")</f>
        <v>https://pbs.twimg.com/media/FJPK-YrWUAYi1BM.jpg</v>
      </c>
      <c r="V142" s="95" t="str">
        <f>HYPERLINK("https://pbs.twimg.com/media/FJPK-YrWUAYi1BM.jpg")</f>
        <v>https://pbs.twimg.com/media/FJPK-YrWUAYi1BM.jpg</v>
      </c>
      <c r="W142" s="93">
        <v>44577.71011574074</v>
      </c>
      <c r="X142" s="102">
        <v>44577</v>
      </c>
      <c r="Y142" s="97" t="s">
        <v>679</v>
      </c>
      <c r="Z142" s="95" t="str">
        <f>HYPERLINK("https://twitter.com/millscgh/status/1482760197231853569")</f>
        <v>https://twitter.com/millscgh/status/1482760197231853569</v>
      </c>
      <c r="AA142" s="90"/>
      <c r="AB142" s="90"/>
      <c r="AC142" s="97" t="s">
        <v>920</v>
      </c>
      <c r="AD142" s="90"/>
      <c r="AE142" s="90" t="b">
        <v>0</v>
      </c>
      <c r="AF142" s="90">
        <v>0</v>
      </c>
      <c r="AG142" s="97" t="s">
        <v>1087</v>
      </c>
      <c r="AH142" s="90" t="b">
        <v>0</v>
      </c>
      <c r="AI142" s="90" t="s">
        <v>1127</v>
      </c>
      <c r="AJ142" s="90"/>
      <c r="AK142" s="97" t="s">
        <v>1087</v>
      </c>
      <c r="AL142" s="90" t="b">
        <v>0</v>
      </c>
      <c r="AM142" s="90">
        <v>36</v>
      </c>
      <c r="AN142" s="97" t="s">
        <v>1040</v>
      </c>
      <c r="AO142" s="97" t="s">
        <v>1133</v>
      </c>
      <c r="AP142" s="90" t="b">
        <v>0</v>
      </c>
      <c r="AQ142" s="97" t="s">
        <v>1040</v>
      </c>
      <c r="AR142" s="90" t="s">
        <v>178</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5" t="s">
        <v>305</v>
      </c>
      <c r="B143" s="65" t="s">
        <v>341</v>
      </c>
      <c r="C143" s="66" t="s">
        <v>4405</v>
      </c>
      <c r="D143" s="67">
        <v>1</v>
      </c>
      <c r="E143" s="68" t="s">
        <v>132</v>
      </c>
      <c r="F143" s="69">
        <v>32</v>
      </c>
      <c r="G143" s="66" t="s">
        <v>51</v>
      </c>
      <c r="H143" s="70"/>
      <c r="I143" s="71"/>
      <c r="J143" s="71"/>
      <c r="K143" s="35" t="s">
        <v>65</v>
      </c>
      <c r="L143" s="79">
        <v>143</v>
      </c>
      <c r="M143" s="79"/>
      <c r="N143" s="73"/>
      <c r="O143" s="90" t="s">
        <v>448</v>
      </c>
      <c r="P143" s="93">
        <v>44577.718356481484</v>
      </c>
      <c r="Q143" s="90" t="s">
        <v>515</v>
      </c>
      <c r="R143" s="90"/>
      <c r="S143" s="90"/>
      <c r="T143" s="90"/>
      <c r="U143" s="90"/>
      <c r="V143" s="95" t="str">
        <f>HYPERLINK("https://pbs.twimg.com/profile_images/1048844847032033280/dOwa_lJe_normal.jpg")</f>
        <v>https://pbs.twimg.com/profile_images/1048844847032033280/dOwa_lJe_normal.jpg</v>
      </c>
      <c r="W143" s="93">
        <v>44577.718356481484</v>
      </c>
      <c r="X143" s="102">
        <v>44577</v>
      </c>
      <c r="Y143" s="97" t="s">
        <v>680</v>
      </c>
      <c r="Z143" s="95" t="str">
        <f>HYPERLINK("https://twitter.com/jarimikkonen0/status/1482763186361311238")</f>
        <v>https://twitter.com/jarimikkonen0/status/1482763186361311238</v>
      </c>
      <c r="AA143" s="90"/>
      <c r="AB143" s="90"/>
      <c r="AC143" s="97" t="s">
        <v>921</v>
      </c>
      <c r="AD143" s="97" t="s">
        <v>1040</v>
      </c>
      <c r="AE143" s="90" t="b">
        <v>0</v>
      </c>
      <c r="AF143" s="90">
        <v>11</v>
      </c>
      <c r="AG143" s="97" t="s">
        <v>1114</v>
      </c>
      <c r="AH143" s="90" t="b">
        <v>0</v>
      </c>
      <c r="AI143" s="90" t="s">
        <v>1129</v>
      </c>
      <c r="AJ143" s="90"/>
      <c r="AK143" s="97" t="s">
        <v>1087</v>
      </c>
      <c r="AL143" s="90" t="b">
        <v>0</v>
      </c>
      <c r="AM143" s="90">
        <v>0</v>
      </c>
      <c r="AN143" s="97" t="s">
        <v>1087</v>
      </c>
      <c r="AO143" s="97" t="s">
        <v>1134</v>
      </c>
      <c r="AP143" s="90" t="b">
        <v>0</v>
      </c>
      <c r="AQ143" s="97" t="s">
        <v>1040</v>
      </c>
      <c r="AR143" s="90" t="s">
        <v>178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4</v>
      </c>
      <c r="BM143" s="50">
        <v>100</v>
      </c>
      <c r="BN143" s="49">
        <v>4</v>
      </c>
    </row>
    <row r="144" spans="1:66" ht="15">
      <c r="A144" s="65" t="s">
        <v>306</v>
      </c>
      <c r="B144" s="65" t="s">
        <v>436</v>
      </c>
      <c r="C144" s="66" t="s">
        <v>4405</v>
      </c>
      <c r="D144" s="67">
        <v>1</v>
      </c>
      <c r="E144" s="68" t="s">
        <v>132</v>
      </c>
      <c r="F144" s="69">
        <v>32</v>
      </c>
      <c r="G144" s="66" t="s">
        <v>51</v>
      </c>
      <c r="H144" s="70"/>
      <c r="I144" s="71"/>
      <c r="J144" s="71"/>
      <c r="K144" s="35" t="s">
        <v>65</v>
      </c>
      <c r="L144" s="79">
        <v>144</v>
      </c>
      <c r="M144" s="79"/>
      <c r="N144" s="73"/>
      <c r="O144" s="90" t="s">
        <v>448</v>
      </c>
      <c r="P144" s="93">
        <v>44577.72222222222</v>
      </c>
      <c r="Q144" s="90" t="s">
        <v>516</v>
      </c>
      <c r="R144" s="90"/>
      <c r="S144" s="90"/>
      <c r="T144" s="90"/>
      <c r="U144" s="90"/>
      <c r="V144" s="95" t="str">
        <f>HYPERLINK("https://pbs.twimg.com/profile_images/565797328150212608/MpLkZyuu_normal.png")</f>
        <v>https://pbs.twimg.com/profile_images/565797328150212608/MpLkZyuu_normal.png</v>
      </c>
      <c r="W144" s="93">
        <v>44577.72222222222</v>
      </c>
      <c r="X144" s="102">
        <v>44577</v>
      </c>
      <c r="Y144" s="97" t="s">
        <v>681</v>
      </c>
      <c r="Z144" s="95" t="str">
        <f>HYPERLINK("https://twitter.com/jacke_fi/status/1482764585761390597")</f>
        <v>https://twitter.com/jacke_fi/status/1482764585761390597</v>
      </c>
      <c r="AA144" s="90"/>
      <c r="AB144" s="90"/>
      <c r="AC144" s="97" t="s">
        <v>922</v>
      </c>
      <c r="AD144" s="97" t="s">
        <v>1075</v>
      </c>
      <c r="AE144" s="90" t="b">
        <v>0</v>
      </c>
      <c r="AF144" s="90">
        <v>4</v>
      </c>
      <c r="AG144" s="97" t="s">
        <v>1115</v>
      </c>
      <c r="AH144" s="90" t="b">
        <v>0</v>
      </c>
      <c r="AI144" s="90" t="s">
        <v>1127</v>
      </c>
      <c r="AJ144" s="90"/>
      <c r="AK144" s="97" t="s">
        <v>1087</v>
      </c>
      <c r="AL144" s="90" t="b">
        <v>0</v>
      </c>
      <c r="AM144" s="90">
        <v>0</v>
      </c>
      <c r="AN144" s="97" t="s">
        <v>1087</v>
      </c>
      <c r="AO144" s="97" t="s">
        <v>1132</v>
      </c>
      <c r="AP144" s="90" t="b">
        <v>0</v>
      </c>
      <c r="AQ144" s="97" t="s">
        <v>1075</v>
      </c>
      <c r="AR144" s="90" t="s">
        <v>178</v>
      </c>
      <c r="AS144" s="90">
        <v>0</v>
      </c>
      <c r="AT144" s="90">
        <v>0</v>
      </c>
      <c r="AU144" s="90"/>
      <c r="AV144" s="90"/>
      <c r="AW144" s="90"/>
      <c r="AX144" s="90"/>
      <c r="AY144" s="90"/>
      <c r="AZ144" s="90"/>
      <c r="BA144" s="90"/>
      <c r="BB144" s="90"/>
      <c r="BC144">
        <v>1</v>
      </c>
      <c r="BD144" s="89" t="str">
        <f>REPLACE(INDEX(GroupVertices[Group],MATCH(Edges[[#This Row],[Vertex 1]],GroupVertices[Vertex],0)),1,1,"")</f>
        <v>5</v>
      </c>
      <c r="BE144" s="89" t="str">
        <f>REPLACE(INDEX(GroupVertices[Group],MATCH(Edges[[#This Row],[Vertex 2]],GroupVertices[Vertex],0)),1,1,"")</f>
        <v>5</v>
      </c>
      <c r="BF144" s="49"/>
      <c r="BG144" s="50"/>
      <c r="BH144" s="49"/>
      <c r="BI144" s="50"/>
      <c r="BJ144" s="49"/>
      <c r="BK144" s="50"/>
      <c r="BL144" s="49"/>
      <c r="BM144" s="50"/>
      <c r="BN144" s="49"/>
    </row>
    <row r="145" spans="1:66" ht="15">
      <c r="A145" s="65" t="s">
        <v>306</v>
      </c>
      <c r="B145" s="65" t="s">
        <v>334</v>
      </c>
      <c r="C145" s="66" t="s">
        <v>4405</v>
      </c>
      <c r="D145" s="67">
        <v>1</v>
      </c>
      <c r="E145" s="68" t="s">
        <v>132</v>
      </c>
      <c r="F145" s="69">
        <v>32</v>
      </c>
      <c r="G145" s="66" t="s">
        <v>51</v>
      </c>
      <c r="H145" s="70"/>
      <c r="I145" s="71"/>
      <c r="J145" s="71"/>
      <c r="K145" s="35" t="s">
        <v>65</v>
      </c>
      <c r="L145" s="79">
        <v>145</v>
      </c>
      <c r="M145" s="79"/>
      <c r="N145" s="73"/>
      <c r="O145" s="90" t="s">
        <v>449</v>
      </c>
      <c r="P145" s="93">
        <v>44577.72222222222</v>
      </c>
      <c r="Q145" s="90" t="s">
        <v>516</v>
      </c>
      <c r="R145" s="90"/>
      <c r="S145" s="90"/>
      <c r="T145" s="90"/>
      <c r="U145" s="90"/>
      <c r="V145" s="95" t="str">
        <f>HYPERLINK("https://pbs.twimg.com/profile_images/565797328150212608/MpLkZyuu_normal.png")</f>
        <v>https://pbs.twimg.com/profile_images/565797328150212608/MpLkZyuu_normal.png</v>
      </c>
      <c r="W145" s="93">
        <v>44577.72222222222</v>
      </c>
      <c r="X145" s="102">
        <v>44577</v>
      </c>
      <c r="Y145" s="97" t="s">
        <v>681</v>
      </c>
      <c r="Z145" s="95" t="str">
        <f>HYPERLINK("https://twitter.com/jacke_fi/status/1482764585761390597")</f>
        <v>https://twitter.com/jacke_fi/status/1482764585761390597</v>
      </c>
      <c r="AA145" s="90"/>
      <c r="AB145" s="90"/>
      <c r="AC145" s="97" t="s">
        <v>922</v>
      </c>
      <c r="AD145" s="97" t="s">
        <v>1075</v>
      </c>
      <c r="AE145" s="90" t="b">
        <v>0</v>
      </c>
      <c r="AF145" s="90">
        <v>4</v>
      </c>
      <c r="AG145" s="97" t="s">
        <v>1115</v>
      </c>
      <c r="AH145" s="90" t="b">
        <v>0</v>
      </c>
      <c r="AI145" s="90" t="s">
        <v>1127</v>
      </c>
      <c r="AJ145" s="90"/>
      <c r="AK145" s="97" t="s">
        <v>1087</v>
      </c>
      <c r="AL145" s="90" t="b">
        <v>0</v>
      </c>
      <c r="AM145" s="90">
        <v>0</v>
      </c>
      <c r="AN145" s="97" t="s">
        <v>1087</v>
      </c>
      <c r="AO145" s="97" t="s">
        <v>1132</v>
      </c>
      <c r="AP145" s="90" t="b">
        <v>0</v>
      </c>
      <c r="AQ145" s="97" t="s">
        <v>1075</v>
      </c>
      <c r="AR145" s="90" t="s">
        <v>178</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5</v>
      </c>
      <c r="BF145" s="49">
        <v>0</v>
      </c>
      <c r="BG145" s="50">
        <v>0</v>
      </c>
      <c r="BH145" s="49">
        <v>0</v>
      </c>
      <c r="BI145" s="50">
        <v>0</v>
      </c>
      <c r="BJ145" s="49">
        <v>0</v>
      </c>
      <c r="BK145" s="50">
        <v>0</v>
      </c>
      <c r="BL145" s="49">
        <v>30</v>
      </c>
      <c r="BM145" s="50">
        <v>100</v>
      </c>
      <c r="BN145" s="49">
        <v>30</v>
      </c>
    </row>
    <row r="146" spans="1:66" ht="15">
      <c r="A146" s="65" t="s">
        <v>307</v>
      </c>
      <c r="B146" s="65" t="s">
        <v>341</v>
      </c>
      <c r="C146" s="66" t="s">
        <v>4405</v>
      </c>
      <c r="D146" s="67">
        <v>1</v>
      </c>
      <c r="E146" s="68" t="s">
        <v>132</v>
      </c>
      <c r="F146" s="69">
        <v>32</v>
      </c>
      <c r="G146" s="66" t="s">
        <v>51</v>
      </c>
      <c r="H146" s="70"/>
      <c r="I146" s="71"/>
      <c r="J146" s="71"/>
      <c r="K146" s="35" t="s">
        <v>65</v>
      </c>
      <c r="L146" s="79">
        <v>146</v>
      </c>
      <c r="M146" s="79"/>
      <c r="N146" s="73"/>
      <c r="O146" s="90" t="s">
        <v>447</v>
      </c>
      <c r="P146" s="93">
        <v>44577.72788194445</v>
      </c>
      <c r="Q146" s="90" t="s">
        <v>514</v>
      </c>
      <c r="R146" s="90"/>
      <c r="S146" s="90"/>
      <c r="T146" s="90"/>
      <c r="U146" s="95" t="str">
        <f>HYPERLINK("https://pbs.twimg.com/media/FJPK-YrWUAYi1BM.jpg")</f>
        <v>https://pbs.twimg.com/media/FJPK-YrWUAYi1BM.jpg</v>
      </c>
      <c r="V146" s="95" t="str">
        <f>HYPERLINK("https://pbs.twimg.com/media/FJPK-YrWUAYi1BM.jpg")</f>
        <v>https://pbs.twimg.com/media/FJPK-YrWUAYi1BM.jpg</v>
      </c>
      <c r="W146" s="93">
        <v>44577.72788194445</v>
      </c>
      <c r="X146" s="102">
        <v>44577</v>
      </c>
      <c r="Y146" s="97" t="s">
        <v>682</v>
      </c>
      <c r="Z146" s="95" t="str">
        <f>HYPERLINK("https://twitter.com/jlaulum/status/1482766636302143490")</f>
        <v>https://twitter.com/jlaulum/status/1482766636302143490</v>
      </c>
      <c r="AA146" s="90"/>
      <c r="AB146" s="90"/>
      <c r="AC146" s="97" t="s">
        <v>923</v>
      </c>
      <c r="AD146" s="90"/>
      <c r="AE146" s="90" t="b">
        <v>0</v>
      </c>
      <c r="AF146" s="90">
        <v>0</v>
      </c>
      <c r="AG146" s="97" t="s">
        <v>1087</v>
      </c>
      <c r="AH146" s="90" t="b">
        <v>0</v>
      </c>
      <c r="AI146" s="90" t="s">
        <v>1127</v>
      </c>
      <c r="AJ146" s="90"/>
      <c r="AK146" s="97" t="s">
        <v>1087</v>
      </c>
      <c r="AL146" s="90" t="b">
        <v>0</v>
      </c>
      <c r="AM146" s="90">
        <v>36</v>
      </c>
      <c r="AN146" s="97" t="s">
        <v>1040</v>
      </c>
      <c r="AO146" s="97" t="s">
        <v>1133</v>
      </c>
      <c r="AP146" s="90" t="b">
        <v>0</v>
      </c>
      <c r="AQ146" s="97" t="s">
        <v>1040</v>
      </c>
      <c r="AR146" s="90" t="s">
        <v>178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4</v>
      </c>
      <c r="BM146" s="50">
        <v>100</v>
      </c>
      <c r="BN146" s="49">
        <v>4</v>
      </c>
    </row>
    <row r="147" spans="1:66" ht="15">
      <c r="A147" s="65" t="s">
        <v>308</v>
      </c>
      <c r="B147" s="65" t="s">
        <v>437</v>
      </c>
      <c r="C147" s="66" t="s">
        <v>4406</v>
      </c>
      <c r="D147" s="67">
        <v>1</v>
      </c>
      <c r="E147" s="68" t="s">
        <v>132</v>
      </c>
      <c r="F147" s="69">
        <v>32</v>
      </c>
      <c r="G147" s="66" t="s">
        <v>51</v>
      </c>
      <c r="H147" s="70"/>
      <c r="I147" s="71"/>
      <c r="J147" s="71"/>
      <c r="K147" s="35" t="s">
        <v>65</v>
      </c>
      <c r="L147" s="79">
        <v>147</v>
      </c>
      <c r="M147" s="79"/>
      <c r="N147" s="73"/>
      <c r="O147" s="90" t="s">
        <v>448</v>
      </c>
      <c r="P147" s="93">
        <v>44577.72802083333</v>
      </c>
      <c r="Q147" s="90" t="s">
        <v>517</v>
      </c>
      <c r="R147" s="90"/>
      <c r="S147" s="90"/>
      <c r="T147" s="90"/>
      <c r="U147" s="90"/>
      <c r="V147" s="95" t="str">
        <f>HYPERLINK("https://pbs.twimg.com/profile_images/1422294420125278217/BoRGINNN_normal.jpg")</f>
        <v>https://pbs.twimg.com/profile_images/1422294420125278217/BoRGINNN_normal.jpg</v>
      </c>
      <c r="W147" s="93">
        <v>44577.72802083333</v>
      </c>
      <c r="X147" s="102">
        <v>44577</v>
      </c>
      <c r="Y147" s="97" t="s">
        <v>683</v>
      </c>
      <c r="Z147" s="95" t="str">
        <f>HYPERLINK("https://twitter.com/tanjassa/status/1482766688005369858")</f>
        <v>https://twitter.com/tanjassa/status/1482766688005369858</v>
      </c>
      <c r="AA147" s="90"/>
      <c r="AB147" s="90"/>
      <c r="AC147" s="97" t="s">
        <v>924</v>
      </c>
      <c r="AD147" s="97" t="s">
        <v>1076</v>
      </c>
      <c r="AE147" s="90" t="b">
        <v>0</v>
      </c>
      <c r="AF147" s="90">
        <v>12</v>
      </c>
      <c r="AG147" s="97" t="s">
        <v>1116</v>
      </c>
      <c r="AH147" s="90" t="b">
        <v>0</v>
      </c>
      <c r="AI147" s="90" t="s">
        <v>1127</v>
      </c>
      <c r="AJ147" s="90"/>
      <c r="AK147" s="97" t="s">
        <v>1087</v>
      </c>
      <c r="AL147" s="90" t="b">
        <v>0</v>
      </c>
      <c r="AM147" s="90">
        <v>0</v>
      </c>
      <c r="AN147" s="97" t="s">
        <v>1087</v>
      </c>
      <c r="AO147" s="97" t="s">
        <v>1134</v>
      </c>
      <c r="AP147" s="90" t="b">
        <v>0</v>
      </c>
      <c r="AQ147" s="97" t="s">
        <v>1076</v>
      </c>
      <c r="AR147" s="90" t="s">
        <v>178</v>
      </c>
      <c r="AS147" s="90">
        <v>0</v>
      </c>
      <c r="AT147" s="90">
        <v>0</v>
      </c>
      <c r="AU147" s="90"/>
      <c r="AV147" s="90"/>
      <c r="AW147" s="90"/>
      <c r="AX147" s="90"/>
      <c r="AY147" s="90"/>
      <c r="AZ147" s="90"/>
      <c r="BA147" s="90"/>
      <c r="BB147" s="90"/>
      <c r="BC147">
        <v>2</v>
      </c>
      <c r="BD147" s="89" t="str">
        <f>REPLACE(INDEX(GroupVertices[Group],MATCH(Edges[[#This Row],[Vertex 1]],GroupVertices[Vertex],0)),1,1,"")</f>
        <v>5</v>
      </c>
      <c r="BE147" s="89" t="str">
        <f>REPLACE(INDEX(GroupVertices[Group],MATCH(Edges[[#This Row],[Vertex 2]],GroupVertices[Vertex],0)),1,1,"")</f>
        <v>5</v>
      </c>
      <c r="BF147" s="49">
        <v>0</v>
      </c>
      <c r="BG147" s="50">
        <v>0</v>
      </c>
      <c r="BH147" s="49">
        <v>0</v>
      </c>
      <c r="BI147" s="50">
        <v>0</v>
      </c>
      <c r="BJ147" s="49">
        <v>0</v>
      </c>
      <c r="BK147" s="50">
        <v>0</v>
      </c>
      <c r="BL147" s="49">
        <v>30</v>
      </c>
      <c r="BM147" s="50">
        <v>100</v>
      </c>
      <c r="BN147" s="49">
        <v>30</v>
      </c>
    </row>
    <row r="148" spans="1:66" ht="15">
      <c r="A148" s="65" t="s">
        <v>308</v>
      </c>
      <c r="B148" s="65" t="s">
        <v>437</v>
      </c>
      <c r="C148" s="66" t="s">
        <v>4406</v>
      </c>
      <c r="D148" s="67">
        <v>1</v>
      </c>
      <c r="E148" s="68" t="s">
        <v>132</v>
      </c>
      <c r="F148" s="69">
        <v>32</v>
      </c>
      <c r="G148" s="66" t="s">
        <v>51</v>
      </c>
      <c r="H148" s="70"/>
      <c r="I148" s="71"/>
      <c r="J148" s="71"/>
      <c r="K148" s="35" t="s">
        <v>65</v>
      </c>
      <c r="L148" s="79">
        <v>148</v>
      </c>
      <c r="M148" s="79"/>
      <c r="N148" s="73"/>
      <c r="O148" s="90" t="s">
        <v>448</v>
      </c>
      <c r="P148" s="93">
        <v>44577.7293287037</v>
      </c>
      <c r="Q148" s="90" t="s">
        <v>518</v>
      </c>
      <c r="R148" s="90"/>
      <c r="S148" s="90"/>
      <c r="T148" s="90"/>
      <c r="U148" s="90"/>
      <c r="V148" s="95" t="str">
        <f>HYPERLINK("https://pbs.twimg.com/profile_images/1422294420125278217/BoRGINNN_normal.jpg")</f>
        <v>https://pbs.twimg.com/profile_images/1422294420125278217/BoRGINNN_normal.jpg</v>
      </c>
      <c r="W148" s="93">
        <v>44577.7293287037</v>
      </c>
      <c r="X148" s="102">
        <v>44577</v>
      </c>
      <c r="Y148" s="97" t="s">
        <v>684</v>
      </c>
      <c r="Z148" s="95" t="str">
        <f>HYPERLINK("https://twitter.com/tanjassa/status/1482767160783126545")</f>
        <v>https://twitter.com/tanjassa/status/1482767160783126545</v>
      </c>
      <c r="AA148" s="90"/>
      <c r="AB148" s="90"/>
      <c r="AC148" s="97" t="s">
        <v>925</v>
      </c>
      <c r="AD148" s="97" t="s">
        <v>924</v>
      </c>
      <c r="AE148" s="90" t="b">
        <v>0</v>
      </c>
      <c r="AF148" s="90">
        <v>13</v>
      </c>
      <c r="AG148" s="97" t="s">
        <v>1117</v>
      </c>
      <c r="AH148" s="90" t="b">
        <v>0</v>
      </c>
      <c r="AI148" s="90" t="s">
        <v>1127</v>
      </c>
      <c r="AJ148" s="90"/>
      <c r="AK148" s="97" t="s">
        <v>1087</v>
      </c>
      <c r="AL148" s="90" t="b">
        <v>0</v>
      </c>
      <c r="AM148" s="90">
        <v>0</v>
      </c>
      <c r="AN148" s="97" t="s">
        <v>1087</v>
      </c>
      <c r="AO148" s="97" t="s">
        <v>1134</v>
      </c>
      <c r="AP148" s="90" t="b">
        <v>0</v>
      </c>
      <c r="AQ148" s="97" t="s">
        <v>924</v>
      </c>
      <c r="AR148" s="90" t="s">
        <v>178</v>
      </c>
      <c r="AS148" s="90">
        <v>0</v>
      </c>
      <c r="AT148" s="90">
        <v>0</v>
      </c>
      <c r="AU148" s="90"/>
      <c r="AV148" s="90"/>
      <c r="AW148" s="90"/>
      <c r="AX148" s="90"/>
      <c r="AY148" s="90"/>
      <c r="AZ148" s="90"/>
      <c r="BA148" s="90"/>
      <c r="BB148" s="90"/>
      <c r="BC148">
        <v>2</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22</v>
      </c>
      <c r="BM148" s="50">
        <v>100</v>
      </c>
      <c r="BN148" s="49">
        <v>22</v>
      </c>
    </row>
    <row r="149" spans="1:66" ht="15">
      <c r="A149" s="65" t="s">
        <v>308</v>
      </c>
      <c r="B149" s="65" t="s">
        <v>416</v>
      </c>
      <c r="C149" s="66" t="s">
        <v>4406</v>
      </c>
      <c r="D149" s="67">
        <v>1</v>
      </c>
      <c r="E149" s="68" t="s">
        <v>132</v>
      </c>
      <c r="F149" s="69">
        <v>32</v>
      </c>
      <c r="G149" s="66" t="s">
        <v>51</v>
      </c>
      <c r="H149" s="70"/>
      <c r="I149" s="71"/>
      <c r="J149" s="71"/>
      <c r="K149" s="35" t="s">
        <v>65</v>
      </c>
      <c r="L149" s="79">
        <v>149</v>
      </c>
      <c r="M149" s="79"/>
      <c r="N149" s="73"/>
      <c r="O149" s="90" t="s">
        <v>449</v>
      </c>
      <c r="P149" s="93">
        <v>44576.76609953704</v>
      </c>
      <c r="Q149" s="90" t="s">
        <v>519</v>
      </c>
      <c r="R149" s="90"/>
      <c r="S149" s="90"/>
      <c r="T149" s="90"/>
      <c r="U149" s="90"/>
      <c r="V149" s="95" t="str">
        <f>HYPERLINK("https://pbs.twimg.com/profile_images/1422294420125278217/BoRGINNN_normal.jpg")</f>
        <v>https://pbs.twimg.com/profile_images/1422294420125278217/BoRGINNN_normal.jpg</v>
      </c>
      <c r="W149" s="93">
        <v>44576.76609953704</v>
      </c>
      <c r="X149" s="102">
        <v>44576</v>
      </c>
      <c r="Y149" s="97" t="s">
        <v>685</v>
      </c>
      <c r="Z149" s="95" t="str">
        <f>HYPERLINK("https://twitter.com/tanjassa/status/1482418097797713929")</f>
        <v>https://twitter.com/tanjassa/status/1482418097797713929</v>
      </c>
      <c r="AA149" s="90"/>
      <c r="AB149" s="90"/>
      <c r="AC149" s="97" t="s">
        <v>926</v>
      </c>
      <c r="AD149" s="97" t="s">
        <v>1059</v>
      </c>
      <c r="AE149" s="90" t="b">
        <v>0</v>
      </c>
      <c r="AF149" s="90">
        <v>13</v>
      </c>
      <c r="AG149" s="97" t="s">
        <v>1097</v>
      </c>
      <c r="AH149" s="90" t="b">
        <v>0</v>
      </c>
      <c r="AI149" s="90" t="s">
        <v>1127</v>
      </c>
      <c r="AJ149" s="90"/>
      <c r="AK149" s="97" t="s">
        <v>1087</v>
      </c>
      <c r="AL149" s="90" t="b">
        <v>0</v>
      </c>
      <c r="AM149" s="90">
        <v>0</v>
      </c>
      <c r="AN149" s="97" t="s">
        <v>1087</v>
      </c>
      <c r="AO149" s="97" t="s">
        <v>1134</v>
      </c>
      <c r="AP149" s="90" t="b">
        <v>0</v>
      </c>
      <c r="AQ149" s="97" t="s">
        <v>1059</v>
      </c>
      <c r="AR149" s="90" t="s">
        <v>178</v>
      </c>
      <c r="AS149" s="90">
        <v>0</v>
      </c>
      <c r="AT149" s="90">
        <v>0</v>
      </c>
      <c r="AU149" s="90"/>
      <c r="AV149" s="90"/>
      <c r="AW149" s="90"/>
      <c r="AX149" s="90"/>
      <c r="AY149" s="90"/>
      <c r="AZ149" s="90"/>
      <c r="BA149" s="90"/>
      <c r="BB149" s="90"/>
      <c r="BC149">
        <v>3</v>
      </c>
      <c r="BD149" s="89" t="str">
        <f>REPLACE(INDEX(GroupVertices[Group],MATCH(Edges[[#This Row],[Vertex 1]],GroupVertices[Vertex],0)),1,1,"")</f>
        <v>5</v>
      </c>
      <c r="BE149" s="89" t="str">
        <f>REPLACE(INDEX(GroupVertices[Group],MATCH(Edges[[#This Row],[Vertex 2]],GroupVertices[Vertex],0)),1,1,"")</f>
        <v>3</v>
      </c>
      <c r="BF149" s="49"/>
      <c r="BG149" s="50"/>
      <c r="BH149" s="49"/>
      <c r="BI149" s="50"/>
      <c r="BJ149" s="49"/>
      <c r="BK149" s="50"/>
      <c r="BL149" s="49"/>
      <c r="BM149" s="50"/>
      <c r="BN149" s="49"/>
    </row>
    <row r="150" spans="1:66" ht="15">
      <c r="A150" s="65" t="s">
        <v>308</v>
      </c>
      <c r="B150" s="65" t="s">
        <v>346</v>
      </c>
      <c r="C150" s="66" t="s">
        <v>4405</v>
      </c>
      <c r="D150" s="67">
        <v>1</v>
      </c>
      <c r="E150" s="68" t="s">
        <v>132</v>
      </c>
      <c r="F150" s="69">
        <v>32</v>
      </c>
      <c r="G150" s="66" t="s">
        <v>51</v>
      </c>
      <c r="H150" s="70"/>
      <c r="I150" s="71"/>
      <c r="J150" s="71"/>
      <c r="K150" s="35" t="s">
        <v>65</v>
      </c>
      <c r="L150" s="79">
        <v>150</v>
      </c>
      <c r="M150" s="79"/>
      <c r="N150" s="73"/>
      <c r="O150" s="90" t="s">
        <v>448</v>
      </c>
      <c r="P150" s="93">
        <v>44576.76609953704</v>
      </c>
      <c r="Q150" s="90" t="s">
        <v>519</v>
      </c>
      <c r="R150" s="90"/>
      <c r="S150" s="90"/>
      <c r="T150" s="90"/>
      <c r="U150" s="90"/>
      <c r="V150" s="95" t="str">
        <f>HYPERLINK("https://pbs.twimg.com/profile_images/1422294420125278217/BoRGINNN_normal.jpg")</f>
        <v>https://pbs.twimg.com/profile_images/1422294420125278217/BoRGINNN_normal.jpg</v>
      </c>
      <c r="W150" s="93">
        <v>44576.76609953704</v>
      </c>
      <c r="X150" s="102">
        <v>44576</v>
      </c>
      <c r="Y150" s="97" t="s">
        <v>685</v>
      </c>
      <c r="Z150" s="95" t="str">
        <f>HYPERLINK("https://twitter.com/tanjassa/status/1482418097797713929")</f>
        <v>https://twitter.com/tanjassa/status/1482418097797713929</v>
      </c>
      <c r="AA150" s="90"/>
      <c r="AB150" s="90"/>
      <c r="AC150" s="97" t="s">
        <v>926</v>
      </c>
      <c r="AD150" s="97" t="s">
        <v>1059</v>
      </c>
      <c r="AE150" s="90" t="b">
        <v>0</v>
      </c>
      <c r="AF150" s="90">
        <v>13</v>
      </c>
      <c r="AG150" s="97" t="s">
        <v>1097</v>
      </c>
      <c r="AH150" s="90" t="b">
        <v>0</v>
      </c>
      <c r="AI150" s="90" t="s">
        <v>1127</v>
      </c>
      <c r="AJ150" s="90"/>
      <c r="AK150" s="97" t="s">
        <v>1087</v>
      </c>
      <c r="AL150" s="90" t="b">
        <v>0</v>
      </c>
      <c r="AM150" s="90">
        <v>0</v>
      </c>
      <c r="AN150" s="97" t="s">
        <v>1087</v>
      </c>
      <c r="AO150" s="97" t="s">
        <v>1134</v>
      </c>
      <c r="AP150" s="90" t="b">
        <v>0</v>
      </c>
      <c r="AQ150" s="97" t="s">
        <v>1059</v>
      </c>
      <c r="AR150" s="90" t="s">
        <v>178</v>
      </c>
      <c r="AS150" s="90">
        <v>0</v>
      </c>
      <c r="AT150" s="90">
        <v>0</v>
      </c>
      <c r="AU150" s="90"/>
      <c r="AV150" s="90"/>
      <c r="AW150" s="90"/>
      <c r="AX150" s="90"/>
      <c r="AY150" s="90"/>
      <c r="AZ150" s="90"/>
      <c r="BA150" s="90"/>
      <c r="BB150" s="90"/>
      <c r="BC150">
        <v>1</v>
      </c>
      <c r="BD150" s="89" t="str">
        <f>REPLACE(INDEX(GroupVertices[Group],MATCH(Edges[[#This Row],[Vertex 1]],GroupVertices[Vertex],0)),1,1,"")</f>
        <v>5</v>
      </c>
      <c r="BE150" s="89" t="str">
        <f>REPLACE(INDEX(GroupVertices[Group],MATCH(Edges[[#This Row],[Vertex 2]],GroupVertices[Vertex],0)),1,1,"")</f>
        <v>5</v>
      </c>
      <c r="BF150" s="49">
        <v>0</v>
      </c>
      <c r="BG150" s="50">
        <v>0</v>
      </c>
      <c r="BH150" s="49">
        <v>0</v>
      </c>
      <c r="BI150" s="50">
        <v>0</v>
      </c>
      <c r="BJ150" s="49">
        <v>0</v>
      </c>
      <c r="BK150" s="50">
        <v>0</v>
      </c>
      <c r="BL150" s="49">
        <v>26</v>
      </c>
      <c r="BM150" s="50">
        <v>100</v>
      </c>
      <c r="BN150" s="49">
        <v>26</v>
      </c>
    </row>
    <row r="151" spans="1:66" ht="15">
      <c r="A151" s="65" t="s">
        <v>308</v>
      </c>
      <c r="B151" s="65" t="s">
        <v>416</v>
      </c>
      <c r="C151" s="66" t="s">
        <v>4406</v>
      </c>
      <c r="D151" s="67">
        <v>1</v>
      </c>
      <c r="E151" s="68" t="s">
        <v>132</v>
      </c>
      <c r="F151" s="69">
        <v>32</v>
      </c>
      <c r="G151" s="66" t="s">
        <v>51</v>
      </c>
      <c r="H151" s="70"/>
      <c r="I151" s="71"/>
      <c r="J151" s="71"/>
      <c r="K151" s="35" t="s">
        <v>65</v>
      </c>
      <c r="L151" s="79">
        <v>151</v>
      </c>
      <c r="M151" s="79"/>
      <c r="N151" s="73"/>
      <c r="O151" s="90" t="s">
        <v>449</v>
      </c>
      <c r="P151" s="93">
        <v>44577.72802083333</v>
      </c>
      <c r="Q151" s="90" t="s">
        <v>517</v>
      </c>
      <c r="R151" s="90"/>
      <c r="S151" s="90"/>
      <c r="T151" s="90"/>
      <c r="U151" s="90"/>
      <c r="V151" s="95" t="str">
        <f>HYPERLINK("https://pbs.twimg.com/profile_images/1422294420125278217/BoRGINNN_normal.jpg")</f>
        <v>https://pbs.twimg.com/profile_images/1422294420125278217/BoRGINNN_normal.jpg</v>
      </c>
      <c r="W151" s="93">
        <v>44577.72802083333</v>
      </c>
      <c r="X151" s="102">
        <v>44577</v>
      </c>
      <c r="Y151" s="97" t="s">
        <v>683</v>
      </c>
      <c r="Z151" s="95" t="str">
        <f>HYPERLINK("https://twitter.com/tanjassa/status/1482766688005369858")</f>
        <v>https://twitter.com/tanjassa/status/1482766688005369858</v>
      </c>
      <c r="AA151" s="90"/>
      <c r="AB151" s="90"/>
      <c r="AC151" s="97" t="s">
        <v>924</v>
      </c>
      <c r="AD151" s="97" t="s">
        <v>1076</v>
      </c>
      <c r="AE151" s="90" t="b">
        <v>0</v>
      </c>
      <c r="AF151" s="90">
        <v>12</v>
      </c>
      <c r="AG151" s="97" t="s">
        <v>1116</v>
      </c>
      <c r="AH151" s="90" t="b">
        <v>0</v>
      </c>
      <c r="AI151" s="90" t="s">
        <v>1127</v>
      </c>
      <c r="AJ151" s="90"/>
      <c r="AK151" s="97" t="s">
        <v>1087</v>
      </c>
      <c r="AL151" s="90" t="b">
        <v>0</v>
      </c>
      <c r="AM151" s="90">
        <v>0</v>
      </c>
      <c r="AN151" s="97" t="s">
        <v>1087</v>
      </c>
      <c r="AO151" s="97" t="s">
        <v>1134</v>
      </c>
      <c r="AP151" s="90" t="b">
        <v>0</v>
      </c>
      <c r="AQ151" s="97" t="s">
        <v>1076</v>
      </c>
      <c r="AR151" s="90" t="s">
        <v>178</v>
      </c>
      <c r="AS151" s="90">
        <v>0</v>
      </c>
      <c r="AT151" s="90">
        <v>0</v>
      </c>
      <c r="AU151" s="90"/>
      <c r="AV151" s="90"/>
      <c r="AW151" s="90"/>
      <c r="AX151" s="90"/>
      <c r="AY151" s="90"/>
      <c r="AZ151" s="90"/>
      <c r="BA151" s="90"/>
      <c r="BB151" s="90"/>
      <c r="BC151">
        <v>3</v>
      </c>
      <c r="BD151" s="89" t="str">
        <f>REPLACE(INDEX(GroupVertices[Group],MATCH(Edges[[#This Row],[Vertex 1]],GroupVertices[Vertex],0)),1,1,"")</f>
        <v>5</v>
      </c>
      <c r="BE151" s="89" t="str">
        <f>REPLACE(INDEX(GroupVertices[Group],MATCH(Edges[[#This Row],[Vertex 2]],GroupVertices[Vertex],0)),1,1,"")</f>
        <v>3</v>
      </c>
      <c r="BF151" s="49"/>
      <c r="BG151" s="50"/>
      <c r="BH151" s="49"/>
      <c r="BI151" s="50"/>
      <c r="BJ151" s="49"/>
      <c r="BK151" s="50"/>
      <c r="BL151" s="49"/>
      <c r="BM151" s="50"/>
      <c r="BN151" s="49"/>
    </row>
    <row r="152" spans="1:66" ht="15">
      <c r="A152" s="65" t="s">
        <v>308</v>
      </c>
      <c r="B152" s="65" t="s">
        <v>416</v>
      </c>
      <c r="C152" s="66" t="s">
        <v>4406</v>
      </c>
      <c r="D152" s="67">
        <v>1</v>
      </c>
      <c r="E152" s="68" t="s">
        <v>132</v>
      </c>
      <c r="F152" s="69">
        <v>32</v>
      </c>
      <c r="G152" s="66" t="s">
        <v>51</v>
      </c>
      <c r="H152" s="70"/>
      <c r="I152" s="71"/>
      <c r="J152" s="71"/>
      <c r="K152" s="35" t="s">
        <v>65</v>
      </c>
      <c r="L152" s="79">
        <v>152</v>
      </c>
      <c r="M152" s="79"/>
      <c r="N152" s="73"/>
      <c r="O152" s="90" t="s">
        <v>449</v>
      </c>
      <c r="P152" s="93">
        <v>44577.7293287037</v>
      </c>
      <c r="Q152" s="90" t="s">
        <v>518</v>
      </c>
      <c r="R152" s="90"/>
      <c r="S152" s="90"/>
      <c r="T152" s="90"/>
      <c r="U152" s="90"/>
      <c r="V152" s="95" t="str">
        <f>HYPERLINK("https://pbs.twimg.com/profile_images/1422294420125278217/BoRGINNN_normal.jpg")</f>
        <v>https://pbs.twimg.com/profile_images/1422294420125278217/BoRGINNN_normal.jpg</v>
      </c>
      <c r="W152" s="93">
        <v>44577.7293287037</v>
      </c>
      <c r="X152" s="102">
        <v>44577</v>
      </c>
      <c r="Y152" s="97" t="s">
        <v>684</v>
      </c>
      <c r="Z152" s="95" t="str">
        <f>HYPERLINK("https://twitter.com/tanjassa/status/1482767160783126545")</f>
        <v>https://twitter.com/tanjassa/status/1482767160783126545</v>
      </c>
      <c r="AA152" s="90"/>
      <c r="AB152" s="90"/>
      <c r="AC152" s="97" t="s">
        <v>925</v>
      </c>
      <c r="AD152" s="97" t="s">
        <v>924</v>
      </c>
      <c r="AE152" s="90" t="b">
        <v>0</v>
      </c>
      <c r="AF152" s="90">
        <v>13</v>
      </c>
      <c r="AG152" s="97" t="s">
        <v>1117</v>
      </c>
      <c r="AH152" s="90" t="b">
        <v>0</v>
      </c>
      <c r="AI152" s="90" t="s">
        <v>1127</v>
      </c>
      <c r="AJ152" s="90"/>
      <c r="AK152" s="97" t="s">
        <v>1087</v>
      </c>
      <c r="AL152" s="90" t="b">
        <v>0</v>
      </c>
      <c r="AM152" s="90">
        <v>0</v>
      </c>
      <c r="AN152" s="97" t="s">
        <v>1087</v>
      </c>
      <c r="AO152" s="97" t="s">
        <v>1134</v>
      </c>
      <c r="AP152" s="90" t="b">
        <v>0</v>
      </c>
      <c r="AQ152" s="97" t="s">
        <v>924</v>
      </c>
      <c r="AR152" s="90" t="s">
        <v>178</v>
      </c>
      <c r="AS152" s="90">
        <v>0</v>
      </c>
      <c r="AT152" s="90">
        <v>0</v>
      </c>
      <c r="AU152" s="90"/>
      <c r="AV152" s="90"/>
      <c r="AW152" s="90"/>
      <c r="AX152" s="90"/>
      <c r="AY152" s="90"/>
      <c r="AZ152" s="90"/>
      <c r="BA152" s="90"/>
      <c r="BB152" s="90"/>
      <c r="BC152">
        <v>3</v>
      </c>
      <c r="BD152" s="89" t="str">
        <f>REPLACE(INDEX(GroupVertices[Group],MATCH(Edges[[#This Row],[Vertex 1]],GroupVertices[Vertex],0)),1,1,"")</f>
        <v>5</v>
      </c>
      <c r="BE152" s="89" t="str">
        <f>REPLACE(INDEX(GroupVertices[Group],MATCH(Edges[[#This Row],[Vertex 2]],GroupVertices[Vertex],0)),1,1,"")</f>
        <v>3</v>
      </c>
      <c r="BF152" s="49"/>
      <c r="BG152" s="50"/>
      <c r="BH152" s="49"/>
      <c r="BI152" s="50"/>
      <c r="BJ152" s="49"/>
      <c r="BK152" s="50"/>
      <c r="BL152" s="49"/>
      <c r="BM152" s="50"/>
      <c r="BN152" s="49"/>
    </row>
    <row r="153" spans="1:66" ht="15">
      <c r="A153" s="65" t="s">
        <v>309</v>
      </c>
      <c r="B153" s="65" t="s">
        <v>341</v>
      </c>
      <c r="C153" s="66" t="s">
        <v>4406</v>
      </c>
      <c r="D153" s="67">
        <v>1</v>
      </c>
      <c r="E153" s="68" t="s">
        <v>132</v>
      </c>
      <c r="F153" s="69">
        <v>32</v>
      </c>
      <c r="G153" s="66" t="s">
        <v>51</v>
      </c>
      <c r="H153" s="70"/>
      <c r="I153" s="71"/>
      <c r="J153" s="71"/>
      <c r="K153" s="35" t="s">
        <v>65</v>
      </c>
      <c r="L153" s="79">
        <v>153</v>
      </c>
      <c r="M153" s="79"/>
      <c r="N153" s="73"/>
      <c r="O153" s="90" t="s">
        <v>447</v>
      </c>
      <c r="P153" s="93">
        <v>44577.689363425925</v>
      </c>
      <c r="Q153" s="90" t="s">
        <v>514</v>
      </c>
      <c r="R153" s="90"/>
      <c r="S153" s="90"/>
      <c r="T153" s="90"/>
      <c r="U153" s="95" t="str">
        <f>HYPERLINK("https://pbs.twimg.com/media/FJPK-YrWUAYi1BM.jpg")</f>
        <v>https://pbs.twimg.com/media/FJPK-YrWUAYi1BM.jpg</v>
      </c>
      <c r="V153" s="95" t="str">
        <f>HYPERLINK("https://pbs.twimg.com/media/FJPK-YrWUAYi1BM.jpg")</f>
        <v>https://pbs.twimg.com/media/FJPK-YrWUAYi1BM.jpg</v>
      </c>
      <c r="W153" s="93">
        <v>44577.689363425925</v>
      </c>
      <c r="X153" s="102">
        <v>44577</v>
      </c>
      <c r="Y153" s="97" t="s">
        <v>686</v>
      </c>
      <c r="Z153" s="95" t="str">
        <f>HYPERLINK("https://twitter.com/superlammas/status/1482752680665784330")</f>
        <v>https://twitter.com/superlammas/status/1482752680665784330</v>
      </c>
      <c r="AA153" s="90"/>
      <c r="AB153" s="90"/>
      <c r="AC153" s="97" t="s">
        <v>927</v>
      </c>
      <c r="AD153" s="90"/>
      <c r="AE153" s="90" t="b">
        <v>0</v>
      </c>
      <c r="AF153" s="90">
        <v>0</v>
      </c>
      <c r="AG153" s="97" t="s">
        <v>1087</v>
      </c>
      <c r="AH153" s="90" t="b">
        <v>0</v>
      </c>
      <c r="AI153" s="90" t="s">
        <v>1127</v>
      </c>
      <c r="AJ153" s="90"/>
      <c r="AK153" s="97" t="s">
        <v>1087</v>
      </c>
      <c r="AL153" s="90" t="b">
        <v>0</v>
      </c>
      <c r="AM153" s="90">
        <v>36</v>
      </c>
      <c r="AN153" s="97" t="s">
        <v>1040</v>
      </c>
      <c r="AO153" s="97" t="s">
        <v>1133</v>
      </c>
      <c r="AP153" s="90" t="b">
        <v>0</v>
      </c>
      <c r="AQ153" s="97" t="s">
        <v>1040</v>
      </c>
      <c r="AR153" s="90" t="s">
        <v>178</v>
      </c>
      <c r="AS153" s="90">
        <v>0</v>
      </c>
      <c r="AT153" s="90">
        <v>0</v>
      </c>
      <c r="AU153" s="90"/>
      <c r="AV153" s="90"/>
      <c r="AW153" s="90"/>
      <c r="AX153" s="90"/>
      <c r="AY153" s="90"/>
      <c r="AZ153" s="90"/>
      <c r="BA153" s="90"/>
      <c r="BB153" s="90"/>
      <c r="BC153">
        <v>2</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4</v>
      </c>
      <c r="BM153" s="50">
        <v>100</v>
      </c>
      <c r="BN153" s="49">
        <v>4</v>
      </c>
    </row>
    <row r="154" spans="1:66" ht="15">
      <c r="A154" s="65" t="s">
        <v>309</v>
      </c>
      <c r="B154" s="65" t="s">
        <v>341</v>
      </c>
      <c r="C154" s="66" t="s">
        <v>4406</v>
      </c>
      <c r="D154" s="67">
        <v>1</v>
      </c>
      <c r="E154" s="68" t="s">
        <v>132</v>
      </c>
      <c r="F154" s="69">
        <v>32</v>
      </c>
      <c r="G154" s="66" t="s">
        <v>51</v>
      </c>
      <c r="H154" s="70"/>
      <c r="I154" s="71"/>
      <c r="J154" s="71"/>
      <c r="K154" s="35" t="s">
        <v>65</v>
      </c>
      <c r="L154" s="79">
        <v>154</v>
      </c>
      <c r="M154" s="79"/>
      <c r="N154" s="73"/>
      <c r="O154" s="90" t="s">
        <v>447</v>
      </c>
      <c r="P154" s="93">
        <v>44577.73133101852</v>
      </c>
      <c r="Q154" s="90" t="s">
        <v>520</v>
      </c>
      <c r="R154" s="90"/>
      <c r="S154" s="90"/>
      <c r="T154" s="90"/>
      <c r="U154" s="90"/>
      <c r="V154" s="95" t="str">
        <f>HYPERLINK("https://pbs.twimg.com/profile_images/1374987689171300353/DM4iLgT5_normal.jpg")</f>
        <v>https://pbs.twimg.com/profile_images/1374987689171300353/DM4iLgT5_normal.jpg</v>
      </c>
      <c r="W154" s="93">
        <v>44577.73133101852</v>
      </c>
      <c r="X154" s="102">
        <v>44577</v>
      </c>
      <c r="Y154" s="97" t="s">
        <v>687</v>
      </c>
      <c r="Z154" s="95" t="str">
        <f>HYPERLINK("https://twitter.com/superlammas/status/1482767888364748807")</f>
        <v>https://twitter.com/superlammas/status/1482767888364748807</v>
      </c>
      <c r="AA154" s="90"/>
      <c r="AB154" s="90"/>
      <c r="AC154" s="97" t="s">
        <v>928</v>
      </c>
      <c r="AD154" s="90"/>
      <c r="AE154" s="90" t="b">
        <v>0</v>
      </c>
      <c r="AF154" s="90">
        <v>0</v>
      </c>
      <c r="AG154" s="97" t="s">
        <v>1087</v>
      </c>
      <c r="AH154" s="90" t="b">
        <v>0</v>
      </c>
      <c r="AI154" s="90" t="s">
        <v>1127</v>
      </c>
      <c r="AJ154" s="90"/>
      <c r="AK154" s="97" t="s">
        <v>1087</v>
      </c>
      <c r="AL154" s="90" t="b">
        <v>0</v>
      </c>
      <c r="AM154" s="90">
        <v>24</v>
      </c>
      <c r="AN154" s="97" t="s">
        <v>1041</v>
      </c>
      <c r="AO154" s="97" t="s">
        <v>1133</v>
      </c>
      <c r="AP154" s="90" t="b">
        <v>0</v>
      </c>
      <c r="AQ154" s="97" t="s">
        <v>1041</v>
      </c>
      <c r="AR154" s="90" t="s">
        <v>178</v>
      </c>
      <c r="AS154" s="90">
        <v>0</v>
      </c>
      <c r="AT154" s="90">
        <v>0</v>
      </c>
      <c r="AU154" s="90"/>
      <c r="AV154" s="90"/>
      <c r="AW154" s="90"/>
      <c r="AX154" s="90"/>
      <c r="AY154" s="90"/>
      <c r="AZ154" s="90"/>
      <c r="BA154" s="90"/>
      <c r="BB154" s="90"/>
      <c r="BC154">
        <v>2</v>
      </c>
      <c r="BD154" s="89" t="str">
        <f>REPLACE(INDEX(GroupVertices[Group],MATCH(Edges[[#This Row],[Vertex 1]],GroupVertices[Vertex],0)),1,1,"")</f>
        <v>1</v>
      </c>
      <c r="BE154" s="89" t="str">
        <f>REPLACE(INDEX(GroupVertices[Group],MATCH(Edges[[#This Row],[Vertex 2]],GroupVertices[Vertex],0)),1,1,"")</f>
        <v>1</v>
      </c>
      <c r="BF154" s="49">
        <v>0</v>
      </c>
      <c r="BG154" s="50">
        <v>0</v>
      </c>
      <c r="BH154" s="49">
        <v>0</v>
      </c>
      <c r="BI154" s="50">
        <v>0</v>
      </c>
      <c r="BJ154" s="49">
        <v>0</v>
      </c>
      <c r="BK154" s="50">
        <v>0</v>
      </c>
      <c r="BL154" s="49">
        <v>16</v>
      </c>
      <c r="BM154" s="50">
        <v>100</v>
      </c>
      <c r="BN154" s="49">
        <v>16</v>
      </c>
    </row>
    <row r="155" spans="1:66" ht="15">
      <c r="A155" s="65" t="s">
        <v>310</v>
      </c>
      <c r="B155" s="65" t="s">
        <v>341</v>
      </c>
      <c r="C155" s="66" t="s">
        <v>4405</v>
      </c>
      <c r="D155" s="67">
        <v>1</v>
      </c>
      <c r="E155" s="68" t="s">
        <v>132</v>
      </c>
      <c r="F155" s="69">
        <v>32</v>
      </c>
      <c r="G155" s="66" t="s">
        <v>51</v>
      </c>
      <c r="H155" s="70"/>
      <c r="I155" s="71"/>
      <c r="J155" s="71"/>
      <c r="K155" s="35" t="s">
        <v>65</v>
      </c>
      <c r="L155" s="79">
        <v>155</v>
      </c>
      <c r="M155" s="79"/>
      <c r="N155" s="73"/>
      <c r="O155" s="90" t="s">
        <v>447</v>
      </c>
      <c r="P155" s="93">
        <v>44577.74304398148</v>
      </c>
      <c r="Q155" s="90" t="s">
        <v>514</v>
      </c>
      <c r="R155" s="90"/>
      <c r="S155" s="90"/>
      <c r="T155" s="90"/>
      <c r="U155" s="95" t="str">
        <f>HYPERLINK("https://pbs.twimg.com/media/FJPK-YrWUAYi1BM.jpg")</f>
        <v>https://pbs.twimg.com/media/FJPK-YrWUAYi1BM.jpg</v>
      </c>
      <c r="V155" s="95" t="str">
        <f>HYPERLINK("https://pbs.twimg.com/media/FJPK-YrWUAYi1BM.jpg")</f>
        <v>https://pbs.twimg.com/media/FJPK-YrWUAYi1BM.jpg</v>
      </c>
      <c r="W155" s="93">
        <v>44577.74304398148</v>
      </c>
      <c r="X155" s="102">
        <v>44577</v>
      </c>
      <c r="Y155" s="97" t="s">
        <v>688</v>
      </c>
      <c r="Z155" s="95" t="str">
        <f>HYPERLINK("https://twitter.com/arquez13/status/1482772131800924171")</f>
        <v>https://twitter.com/arquez13/status/1482772131800924171</v>
      </c>
      <c r="AA155" s="90"/>
      <c r="AB155" s="90"/>
      <c r="AC155" s="97" t="s">
        <v>929</v>
      </c>
      <c r="AD155" s="90"/>
      <c r="AE155" s="90" t="b">
        <v>0</v>
      </c>
      <c r="AF155" s="90">
        <v>0</v>
      </c>
      <c r="AG155" s="97" t="s">
        <v>1087</v>
      </c>
      <c r="AH155" s="90" t="b">
        <v>0</v>
      </c>
      <c r="AI155" s="90" t="s">
        <v>1127</v>
      </c>
      <c r="AJ155" s="90"/>
      <c r="AK155" s="97" t="s">
        <v>1087</v>
      </c>
      <c r="AL155" s="90" t="b">
        <v>0</v>
      </c>
      <c r="AM155" s="90">
        <v>36</v>
      </c>
      <c r="AN155" s="97" t="s">
        <v>1040</v>
      </c>
      <c r="AO155" s="97" t="s">
        <v>1133</v>
      </c>
      <c r="AP155" s="90" t="b">
        <v>0</v>
      </c>
      <c r="AQ155" s="97" t="s">
        <v>1040</v>
      </c>
      <c r="AR155" s="90" t="s">
        <v>178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4</v>
      </c>
      <c r="BM155" s="50">
        <v>100</v>
      </c>
      <c r="BN155" s="49">
        <v>4</v>
      </c>
    </row>
    <row r="156" spans="1:66" ht="15">
      <c r="A156" s="65" t="s">
        <v>311</v>
      </c>
      <c r="B156" s="65" t="s">
        <v>341</v>
      </c>
      <c r="C156" s="66" t="s">
        <v>4405</v>
      </c>
      <c r="D156" s="67">
        <v>1</v>
      </c>
      <c r="E156" s="68" t="s">
        <v>132</v>
      </c>
      <c r="F156" s="69">
        <v>32</v>
      </c>
      <c r="G156" s="66" t="s">
        <v>51</v>
      </c>
      <c r="H156" s="70"/>
      <c r="I156" s="71"/>
      <c r="J156" s="71"/>
      <c r="K156" s="35" t="s">
        <v>65</v>
      </c>
      <c r="L156" s="79">
        <v>156</v>
      </c>
      <c r="M156" s="79"/>
      <c r="N156" s="73"/>
      <c r="O156" s="90" t="s">
        <v>447</v>
      </c>
      <c r="P156" s="93">
        <v>44577.74376157407</v>
      </c>
      <c r="Q156" s="90" t="s">
        <v>514</v>
      </c>
      <c r="R156" s="90"/>
      <c r="S156" s="90"/>
      <c r="T156" s="90"/>
      <c r="U156" s="95" t="str">
        <f>HYPERLINK("https://pbs.twimg.com/media/FJPK-YrWUAYi1BM.jpg")</f>
        <v>https://pbs.twimg.com/media/FJPK-YrWUAYi1BM.jpg</v>
      </c>
      <c r="V156" s="95" t="str">
        <f>HYPERLINK("https://pbs.twimg.com/media/FJPK-YrWUAYi1BM.jpg")</f>
        <v>https://pbs.twimg.com/media/FJPK-YrWUAYi1BM.jpg</v>
      </c>
      <c r="W156" s="93">
        <v>44577.74376157407</v>
      </c>
      <c r="X156" s="102">
        <v>44577</v>
      </c>
      <c r="Y156" s="97" t="s">
        <v>689</v>
      </c>
      <c r="Z156" s="95" t="str">
        <f>HYPERLINK("https://twitter.com/tttn786754/status/1482772393571536896")</f>
        <v>https://twitter.com/tttn786754/status/1482772393571536896</v>
      </c>
      <c r="AA156" s="90"/>
      <c r="AB156" s="90"/>
      <c r="AC156" s="97" t="s">
        <v>930</v>
      </c>
      <c r="AD156" s="90"/>
      <c r="AE156" s="90" t="b">
        <v>0</v>
      </c>
      <c r="AF156" s="90">
        <v>0</v>
      </c>
      <c r="AG156" s="97" t="s">
        <v>1087</v>
      </c>
      <c r="AH156" s="90" t="b">
        <v>0</v>
      </c>
      <c r="AI156" s="90" t="s">
        <v>1127</v>
      </c>
      <c r="AJ156" s="90"/>
      <c r="AK156" s="97" t="s">
        <v>1087</v>
      </c>
      <c r="AL156" s="90" t="b">
        <v>0</v>
      </c>
      <c r="AM156" s="90">
        <v>36</v>
      </c>
      <c r="AN156" s="97" t="s">
        <v>1040</v>
      </c>
      <c r="AO156" s="97" t="s">
        <v>1133</v>
      </c>
      <c r="AP156" s="90" t="b">
        <v>0</v>
      </c>
      <c r="AQ156" s="97" t="s">
        <v>1040</v>
      </c>
      <c r="AR156" s="90" t="s">
        <v>178</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4</v>
      </c>
      <c r="BM156" s="50">
        <v>100</v>
      </c>
      <c r="BN156" s="49">
        <v>4</v>
      </c>
    </row>
    <row r="157" spans="1:66" ht="15">
      <c r="A157" s="65" t="s">
        <v>312</v>
      </c>
      <c r="B157" s="65" t="s">
        <v>341</v>
      </c>
      <c r="C157" s="66" t="s">
        <v>4405</v>
      </c>
      <c r="D157" s="67">
        <v>1</v>
      </c>
      <c r="E157" s="68" t="s">
        <v>132</v>
      </c>
      <c r="F157" s="69">
        <v>32</v>
      </c>
      <c r="G157" s="66" t="s">
        <v>51</v>
      </c>
      <c r="H157" s="70"/>
      <c r="I157" s="71"/>
      <c r="J157" s="71"/>
      <c r="K157" s="35" t="s">
        <v>65</v>
      </c>
      <c r="L157" s="79">
        <v>157</v>
      </c>
      <c r="M157" s="79"/>
      <c r="N157" s="73"/>
      <c r="O157" s="90" t="s">
        <v>447</v>
      </c>
      <c r="P157" s="93">
        <v>44577.75467592593</v>
      </c>
      <c r="Q157" s="90" t="s">
        <v>514</v>
      </c>
      <c r="R157" s="90"/>
      <c r="S157" s="90"/>
      <c r="T157" s="90"/>
      <c r="U157" s="95" t="str">
        <f>HYPERLINK("https://pbs.twimg.com/media/FJPK-YrWUAYi1BM.jpg")</f>
        <v>https://pbs.twimg.com/media/FJPK-YrWUAYi1BM.jpg</v>
      </c>
      <c r="V157" s="95" t="str">
        <f>HYPERLINK("https://pbs.twimg.com/media/FJPK-YrWUAYi1BM.jpg")</f>
        <v>https://pbs.twimg.com/media/FJPK-YrWUAYi1BM.jpg</v>
      </c>
      <c r="W157" s="93">
        <v>44577.75467592593</v>
      </c>
      <c r="X157" s="102">
        <v>44577</v>
      </c>
      <c r="Y157" s="97" t="s">
        <v>690</v>
      </c>
      <c r="Z157" s="95" t="str">
        <f>HYPERLINK("https://twitter.com/putki_ilmari/status/1482776345709056000")</f>
        <v>https://twitter.com/putki_ilmari/status/1482776345709056000</v>
      </c>
      <c r="AA157" s="90"/>
      <c r="AB157" s="90"/>
      <c r="AC157" s="97" t="s">
        <v>931</v>
      </c>
      <c r="AD157" s="90"/>
      <c r="AE157" s="90" t="b">
        <v>0</v>
      </c>
      <c r="AF157" s="90">
        <v>0</v>
      </c>
      <c r="AG157" s="97" t="s">
        <v>1087</v>
      </c>
      <c r="AH157" s="90" t="b">
        <v>0</v>
      </c>
      <c r="AI157" s="90" t="s">
        <v>1127</v>
      </c>
      <c r="AJ157" s="90"/>
      <c r="AK157" s="97" t="s">
        <v>1087</v>
      </c>
      <c r="AL157" s="90" t="b">
        <v>0</v>
      </c>
      <c r="AM157" s="90">
        <v>36</v>
      </c>
      <c r="AN157" s="97" t="s">
        <v>1040</v>
      </c>
      <c r="AO157" s="97" t="s">
        <v>1133</v>
      </c>
      <c r="AP157" s="90" t="b">
        <v>0</v>
      </c>
      <c r="AQ157" s="97" t="s">
        <v>1040</v>
      </c>
      <c r="AR157" s="90" t="s">
        <v>178</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4</v>
      </c>
      <c r="BM157" s="50">
        <v>100</v>
      </c>
      <c r="BN157" s="49">
        <v>4</v>
      </c>
    </row>
    <row r="158" spans="1:66" ht="15">
      <c r="A158" s="65" t="s">
        <v>313</v>
      </c>
      <c r="B158" s="65" t="s">
        <v>341</v>
      </c>
      <c r="C158" s="66" t="s">
        <v>4406</v>
      </c>
      <c r="D158" s="67">
        <v>1</v>
      </c>
      <c r="E158" s="68" t="s">
        <v>132</v>
      </c>
      <c r="F158" s="69">
        <v>32</v>
      </c>
      <c r="G158" s="66" t="s">
        <v>51</v>
      </c>
      <c r="H158" s="70"/>
      <c r="I158" s="71"/>
      <c r="J158" s="71"/>
      <c r="K158" s="35" t="s">
        <v>65</v>
      </c>
      <c r="L158" s="79">
        <v>158</v>
      </c>
      <c r="M158" s="79"/>
      <c r="N158" s="73"/>
      <c r="O158" s="90" t="s">
        <v>447</v>
      </c>
      <c r="P158" s="93">
        <v>44577.745462962965</v>
      </c>
      <c r="Q158" s="90" t="s">
        <v>520</v>
      </c>
      <c r="R158" s="90"/>
      <c r="S158" s="90"/>
      <c r="T158" s="90"/>
      <c r="U158" s="90"/>
      <c r="V158" s="95" t="str">
        <f>HYPERLINK("https://pbs.twimg.com/profile_images/1469743721101115399/wDTCEU22_normal.jpg")</f>
        <v>https://pbs.twimg.com/profile_images/1469743721101115399/wDTCEU22_normal.jpg</v>
      </c>
      <c r="W158" s="93">
        <v>44577.745462962965</v>
      </c>
      <c r="X158" s="102">
        <v>44577</v>
      </c>
      <c r="Y158" s="97" t="s">
        <v>691</v>
      </c>
      <c r="Z158" s="95" t="str">
        <f>HYPERLINK("https://twitter.com/teppotuomola/status/1482773010327162884")</f>
        <v>https://twitter.com/teppotuomola/status/1482773010327162884</v>
      </c>
      <c r="AA158" s="90"/>
      <c r="AB158" s="90"/>
      <c r="AC158" s="97" t="s">
        <v>932</v>
      </c>
      <c r="AD158" s="90"/>
      <c r="AE158" s="90" t="b">
        <v>0</v>
      </c>
      <c r="AF158" s="90">
        <v>0</v>
      </c>
      <c r="AG158" s="97" t="s">
        <v>1087</v>
      </c>
      <c r="AH158" s="90" t="b">
        <v>0</v>
      </c>
      <c r="AI158" s="90" t="s">
        <v>1127</v>
      </c>
      <c r="AJ158" s="90"/>
      <c r="AK158" s="97" t="s">
        <v>1087</v>
      </c>
      <c r="AL158" s="90" t="b">
        <v>0</v>
      </c>
      <c r="AM158" s="90">
        <v>24</v>
      </c>
      <c r="AN158" s="97" t="s">
        <v>1041</v>
      </c>
      <c r="AO158" s="97" t="s">
        <v>1133</v>
      </c>
      <c r="AP158" s="90" t="b">
        <v>0</v>
      </c>
      <c r="AQ158" s="97" t="s">
        <v>1041</v>
      </c>
      <c r="AR158" s="90" t="s">
        <v>178</v>
      </c>
      <c r="AS158" s="90">
        <v>0</v>
      </c>
      <c r="AT158" s="90">
        <v>0</v>
      </c>
      <c r="AU158" s="90"/>
      <c r="AV158" s="90"/>
      <c r="AW158" s="90"/>
      <c r="AX158" s="90"/>
      <c r="AY158" s="90"/>
      <c r="AZ158" s="90"/>
      <c r="BA158" s="90"/>
      <c r="BB158" s="90"/>
      <c r="BC158">
        <v>2</v>
      </c>
      <c r="BD158" s="89" t="str">
        <f>REPLACE(INDEX(GroupVertices[Group],MATCH(Edges[[#This Row],[Vertex 1]],GroupVertices[Vertex],0)),1,1,"")</f>
        <v>1</v>
      </c>
      <c r="BE158" s="89" t="str">
        <f>REPLACE(INDEX(GroupVertices[Group],MATCH(Edges[[#This Row],[Vertex 2]],GroupVertices[Vertex],0)),1,1,"")</f>
        <v>1</v>
      </c>
      <c r="BF158" s="49">
        <v>0</v>
      </c>
      <c r="BG158" s="50">
        <v>0</v>
      </c>
      <c r="BH158" s="49">
        <v>0</v>
      </c>
      <c r="BI158" s="50">
        <v>0</v>
      </c>
      <c r="BJ158" s="49">
        <v>0</v>
      </c>
      <c r="BK158" s="50">
        <v>0</v>
      </c>
      <c r="BL158" s="49">
        <v>16</v>
      </c>
      <c r="BM158" s="50">
        <v>100</v>
      </c>
      <c r="BN158" s="49">
        <v>16</v>
      </c>
    </row>
    <row r="159" spans="1:66" ht="15">
      <c r="A159" s="65" t="s">
        <v>313</v>
      </c>
      <c r="B159" s="65" t="s">
        <v>341</v>
      </c>
      <c r="C159" s="66" t="s">
        <v>4406</v>
      </c>
      <c r="D159" s="67">
        <v>1</v>
      </c>
      <c r="E159" s="68" t="s">
        <v>132</v>
      </c>
      <c r="F159" s="69">
        <v>32</v>
      </c>
      <c r="G159" s="66" t="s">
        <v>51</v>
      </c>
      <c r="H159" s="70"/>
      <c r="I159" s="71"/>
      <c r="J159" s="71"/>
      <c r="K159" s="35" t="s">
        <v>65</v>
      </c>
      <c r="L159" s="79">
        <v>159</v>
      </c>
      <c r="M159" s="79"/>
      <c r="N159" s="73"/>
      <c r="O159" s="90" t="s">
        <v>447</v>
      </c>
      <c r="P159" s="93">
        <v>44577.76944444444</v>
      </c>
      <c r="Q159" s="90" t="s">
        <v>514</v>
      </c>
      <c r="R159" s="90"/>
      <c r="S159" s="90"/>
      <c r="T159" s="90"/>
      <c r="U159" s="95" t="str">
        <f>HYPERLINK("https://pbs.twimg.com/media/FJPK-YrWUAYi1BM.jpg")</f>
        <v>https://pbs.twimg.com/media/FJPK-YrWUAYi1BM.jpg</v>
      </c>
      <c r="V159" s="95" t="str">
        <f>HYPERLINK("https://pbs.twimg.com/media/FJPK-YrWUAYi1BM.jpg")</f>
        <v>https://pbs.twimg.com/media/FJPK-YrWUAYi1BM.jpg</v>
      </c>
      <c r="W159" s="93">
        <v>44577.76944444444</v>
      </c>
      <c r="X159" s="102">
        <v>44577</v>
      </c>
      <c r="Y159" s="97" t="s">
        <v>692</v>
      </c>
      <c r="Z159" s="95" t="str">
        <f>HYPERLINK("https://twitter.com/teppotuomola/status/1482781697770934273")</f>
        <v>https://twitter.com/teppotuomola/status/1482781697770934273</v>
      </c>
      <c r="AA159" s="90"/>
      <c r="AB159" s="90"/>
      <c r="AC159" s="97" t="s">
        <v>933</v>
      </c>
      <c r="AD159" s="90"/>
      <c r="AE159" s="90" t="b">
        <v>0</v>
      </c>
      <c r="AF159" s="90">
        <v>0</v>
      </c>
      <c r="AG159" s="97" t="s">
        <v>1087</v>
      </c>
      <c r="AH159" s="90" t="b">
        <v>0</v>
      </c>
      <c r="AI159" s="90" t="s">
        <v>1127</v>
      </c>
      <c r="AJ159" s="90"/>
      <c r="AK159" s="97" t="s">
        <v>1087</v>
      </c>
      <c r="AL159" s="90" t="b">
        <v>0</v>
      </c>
      <c r="AM159" s="90">
        <v>36</v>
      </c>
      <c r="AN159" s="97" t="s">
        <v>1040</v>
      </c>
      <c r="AO159" s="97" t="s">
        <v>1133</v>
      </c>
      <c r="AP159" s="90" t="b">
        <v>0</v>
      </c>
      <c r="AQ159" s="97" t="s">
        <v>1040</v>
      </c>
      <c r="AR159" s="90" t="s">
        <v>178</v>
      </c>
      <c r="AS159" s="90">
        <v>0</v>
      </c>
      <c r="AT159" s="90">
        <v>0</v>
      </c>
      <c r="AU159" s="90"/>
      <c r="AV159" s="90"/>
      <c r="AW159" s="90"/>
      <c r="AX159" s="90"/>
      <c r="AY159" s="90"/>
      <c r="AZ159" s="90"/>
      <c r="BA159" s="90"/>
      <c r="BB159" s="90"/>
      <c r="BC159">
        <v>2</v>
      </c>
      <c r="BD159" s="89" t="str">
        <f>REPLACE(INDEX(GroupVertices[Group],MATCH(Edges[[#This Row],[Vertex 1]],GroupVertices[Vertex],0)),1,1,"")</f>
        <v>1</v>
      </c>
      <c r="BE159" s="89" t="str">
        <f>REPLACE(INDEX(GroupVertices[Group],MATCH(Edges[[#This Row],[Vertex 2]],GroupVertices[Vertex],0)),1,1,"")</f>
        <v>1</v>
      </c>
      <c r="BF159" s="49">
        <v>0</v>
      </c>
      <c r="BG159" s="50">
        <v>0</v>
      </c>
      <c r="BH159" s="49">
        <v>0</v>
      </c>
      <c r="BI159" s="50">
        <v>0</v>
      </c>
      <c r="BJ159" s="49">
        <v>0</v>
      </c>
      <c r="BK159" s="50">
        <v>0</v>
      </c>
      <c r="BL159" s="49">
        <v>4</v>
      </c>
      <c r="BM159" s="50">
        <v>100</v>
      </c>
      <c r="BN159" s="49">
        <v>4</v>
      </c>
    </row>
    <row r="160" spans="1:66" ht="15">
      <c r="A160" s="65" t="s">
        <v>314</v>
      </c>
      <c r="B160" s="65" t="s">
        <v>341</v>
      </c>
      <c r="C160" s="66" t="s">
        <v>4405</v>
      </c>
      <c r="D160" s="67">
        <v>1</v>
      </c>
      <c r="E160" s="68" t="s">
        <v>132</v>
      </c>
      <c r="F160" s="69">
        <v>32</v>
      </c>
      <c r="G160" s="66" t="s">
        <v>51</v>
      </c>
      <c r="H160" s="70"/>
      <c r="I160" s="71"/>
      <c r="J160" s="71"/>
      <c r="K160" s="35" t="s">
        <v>65</v>
      </c>
      <c r="L160" s="79">
        <v>160</v>
      </c>
      <c r="M160" s="79"/>
      <c r="N160" s="73"/>
      <c r="O160" s="90" t="s">
        <v>447</v>
      </c>
      <c r="P160" s="93">
        <v>44577.7833912037</v>
      </c>
      <c r="Q160" s="90" t="s">
        <v>520</v>
      </c>
      <c r="R160" s="90"/>
      <c r="S160" s="90"/>
      <c r="T160" s="90"/>
      <c r="U160" s="90"/>
      <c r="V160" s="95" t="str">
        <f>HYPERLINK("https://pbs.twimg.com/profile_images/1460614689860337665/JTQToP8H_normal.jpg")</f>
        <v>https://pbs.twimg.com/profile_images/1460614689860337665/JTQToP8H_normal.jpg</v>
      </c>
      <c r="W160" s="93">
        <v>44577.7833912037</v>
      </c>
      <c r="X160" s="102">
        <v>44577</v>
      </c>
      <c r="Y160" s="97" t="s">
        <v>693</v>
      </c>
      <c r="Z160" s="95" t="str">
        <f>HYPERLINK("https://twitter.com/linkinwd/status/1482786755262783497")</f>
        <v>https://twitter.com/linkinwd/status/1482786755262783497</v>
      </c>
      <c r="AA160" s="90"/>
      <c r="AB160" s="90"/>
      <c r="AC160" s="97" t="s">
        <v>934</v>
      </c>
      <c r="AD160" s="90"/>
      <c r="AE160" s="90" t="b">
        <v>0</v>
      </c>
      <c r="AF160" s="90">
        <v>0</v>
      </c>
      <c r="AG160" s="97" t="s">
        <v>1087</v>
      </c>
      <c r="AH160" s="90" t="b">
        <v>0</v>
      </c>
      <c r="AI160" s="90" t="s">
        <v>1127</v>
      </c>
      <c r="AJ160" s="90"/>
      <c r="AK160" s="97" t="s">
        <v>1087</v>
      </c>
      <c r="AL160" s="90" t="b">
        <v>0</v>
      </c>
      <c r="AM160" s="90">
        <v>24</v>
      </c>
      <c r="AN160" s="97" t="s">
        <v>1041</v>
      </c>
      <c r="AO160" s="97" t="s">
        <v>1132</v>
      </c>
      <c r="AP160" s="90" t="b">
        <v>0</v>
      </c>
      <c r="AQ160" s="97" t="s">
        <v>1041</v>
      </c>
      <c r="AR160" s="90" t="s">
        <v>178</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5" t="s">
        <v>315</v>
      </c>
      <c r="B161" s="65" t="s">
        <v>434</v>
      </c>
      <c r="C161" s="66" t="s">
        <v>4405</v>
      </c>
      <c r="D161" s="67">
        <v>1</v>
      </c>
      <c r="E161" s="68" t="s">
        <v>132</v>
      </c>
      <c r="F161" s="69">
        <v>32</v>
      </c>
      <c r="G161" s="66" t="s">
        <v>51</v>
      </c>
      <c r="H161" s="70"/>
      <c r="I161" s="71"/>
      <c r="J161" s="71"/>
      <c r="K161" s="35" t="s">
        <v>65</v>
      </c>
      <c r="L161" s="79">
        <v>161</v>
      </c>
      <c r="M161" s="79"/>
      <c r="N161" s="73"/>
      <c r="O161" s="90" t="s">
        <v>448</v>
      </c>
      <c r="P161" s="93">
        <v>44577.79417824074</v>
      </c>
      <c r="Q161" s="90" t="s">
        <v>521</v>
      </c>
      <c r="R161" s="90"/>
      <c r="S161" s="90"/>
      <c r="T161" s="90"/>
      <c r="U161" s="90"/>
      <c r="V161" s="95" t="str">
        <f>HYPERLINK("https://pbs.twimg.com/profile_images/1199039891381862401/eOX3Hr0L_normal.jpg")</f>
        <v>https://pbs.twimg.com/profile_images/1199039891381862401/eOX3Hr0L_normal.jpg</v>
      </c>
      <c r="W161" s="93">
        <v>44577.79417824074</v>
      </c>
      <c r="X161" s="102">
        <v>44577</v>
      </c>
      <c r="Y161" s="97" t="s">
        <v>694</v>
      </c>
      <c r="Z161" s="95" t="str">
        <f>HYPERLINK("https://twitter.com/jarijyrkankoski/status/1482790663913676803")</f>
        <v>https://twitter.com/jarijyrkankoski/status/1482790663913676803</v>
      </c>
      <c r="AA161" s="90"/>
      <c r="AB161" s="90"/>
      <c r="AC161" s="97" t="s">
        <v>935</v>
      </c>
      <c r="AD161" s="97" t="s">
        <v>1077</v>
      </c>
      <c r="AE161" s="90" t="b">
        <v>0</v>
      </c>
      <c r="AF161" s="90">
        <v>9</v>
      </c>
      <c r="AG161" s="97" t="s">
        <v>1112</v>
      </c>
      <c r="AH161" s="90" t="b">
        <v>0</v>
      </c>
      <c r="AI161" s="90" t="s">
        <v>1127</v>
      </c>
      <c r="AJ161" s="90"/>
      <c r="AK161" s="97" t="s">
        <v>1087</v>
      </c>
      <c r="AL161" s="90" t="b">
        <v>0</v>
      </c>
      <c r="AM161" s="90">
        <v>0</v>
      </c>
      <c r="AN161" s="97" t="s">
        <v>1087</v>
      </c>
      <c r="AO161" s="97" t="s">
        <v>1133</v>
      </c>
      <c r="AP161" s="90" t="b">
        <v>0</v>
      </c>
      <c r="AQ161" s="97" t="s">
        <v>1077</v>
      </c>
      <c r="AR161" s="90" t="s">
        <v>178</v>
      </c>
      <c r="AS161" s="90">
        <v>0</v>
      </c>
      <c r="AT161" s="90">
        <v>0</v>
      </c>
      <c r="AU161" s="90"/>
      <c r="AV161" s="90"/>
      <c r="AW161" s="90"/>
      <c r="AX161" s="90"/>
      <c r="AY161" s="90"/>
      <c r="AZ161" s="90"/>
      <c r="BA161" s="90"/>
      <c r="BB161" s="90"/>
      <c r="BC161">
        <v>1</v>
      </c>
      <c r="BD161" s="89" t="str">
        <f>REPLACE(INDEX(GroupVertices[Group],MATCH(Edges[[#This Row],[Vertex 1]],GroupVertices[Vertex],0)),1,1,"")</f>
        <v>3</v>
      </c>
      <c r="BE161" s="89" t="str">
        <f>REPLACE(INDEX(GroupVertices[Group],MATCH(Edges[[#This Row],[Vertex 2]],GroupVertices[Vertex],0)),1,1,"")</f>
        <v>3</v>
      </c>
      <c r="BF161" s="49"/>
      <c r="BG161" s="50"/>
      <c r="BH161" s="49"/>
      <c r="BI161" s="50"/>
      <c r="BJ161" s="49"/>
      <c r="BK161" s="50"/>
      <c r="BL161" s="49"/>
      <c r="BM161" s="50"/>
      <c r="BN161" s="49"/>
    </row>
    <row r="162" spans="1:66" ht="15">
      <c r="A162" s="65" t="s">
        <v>316</v>
      </c>
      <c r="B162" s="65" t="s">
        <v>434</v>
      </c>
      <c r="C162" s="66" t="s">
        <v>4405</v>
      </c>
      <c r="D162" s="67">
        <v>1</v>
      </c>
      <c r="E162" s="68" t="s">
        <v>132</v>
      </c>
      <c r="F162" s="69">
        <v>32</v>
      </c>
      <c r="G162" s="66" t="s">
        <v>51</v>
      </c>
      <c r="H162" s="70"/>
      <c r="I162" s="71"/>
      <c r="J162" s="71"/>
      <c r="K162" s="35" t="s">
        <v>65</v>
      </c>
      <c r="L162" s="79">
        <v>162</v>
      </c>
      <c r="M162" s="79"/>
      <c r="N162" s="73"/>
      <c r="O162" s="90" t="s">
        <v>449</v>
      </c>
      <c r="P162" s="93">
        <v>44577.80079861111</v>
      </c>
      <c r="Q162" s="90" t="s">
        <v>522</v>
      </c>
      <c r="R162" s="90"/>
      <c r="S162" s="90"/>
      <c r="T162" s="90"/>
      <c r="U162" s="90"/>
      <c r="V162" s="95" t="str">
        <f>HYPERLINK("https://pbs.twimg.com/profile_images/1404315315367034884/cfVvVFTR_normal.jpg")</f>
        <v>https://pbs.twimg.com/profile_images/1404315315367034884/cfVvVFTR_normal.jpg</v>
      </c>
      <c r="W162" s="93">
        <v>44577.80079861111</v>
      </c>
      <c r="X162" s="102">
        <v>44577</v>
      </c>
      <c r="Y162" s="97" t="s">
        <v>695</v>
      </c>
      <c r="Z162" s="95" t="str">
        <f>HYPERLINK("https://twitter.com/oula_silver/status/1482793062577356803")</f>
        <v>https://twitter.com/oula_silver/status/1482793062577356803</v>
      </c>
      <c r="AA162" s="90"/>
      <c r="AB162" s="90"/>
      <c r="AC162" s="97" t="s">
        <v>936</v>
      </c>
      <c r="AD162" s="97" t="s">
        <v>935</v>
      </c>
      <c r="AE162" s="90" t="b">
        <v>0</v>
      </c>
      <c r="AF162" s="90">
        <v>12</v>
      </c>
      <c r="AG162" s="97" t="s">
        <v>1118</v>
      </c>
      <c r="AH162" s="90" t="b">
        <v>0</v>
      </c>
      <c r="AI162" s="90" t="s">
        <v>1127</v>
      </c>
      <c r="AJ162" s="90"/>
      <c r="AK162" s="97" t="s">
        <v>1087</v>
      </c>
      <c r="AL162" s="90" t="b">
        <v>0</v>
      </c>
      <c r="AM162" s="90">
        <v>0</v>
      </c>
      <c r="AN162" s="97" t="s">
        <v>1087</v>
      </c>
      <c r="AO162" s="97" t="s">
        <v>1133</v>
      </c>
      <c r="AP162" s="90" t="b">
        <v>0</v>
      </c>
      <c r="AQ162" s="97" t="s">
        <v>935</v>
      </c>
      <c r="AR162" s="90" t="s">
        <v>178</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315</v>
      </c>
      <c r="B163" s="65" t="s">
        <v>416</v>
      </c>
      <c r="C163" s="66" t="s">
        <v>4405</v>
      </c>
      <c r="D163" s="67">
        <v>1</v>
      </c>
      <c r="E163" s="68" t="s">
        <v>132</v>
      </c>
      <c r="F163" s="69">
        <v>32</v>
      </c>
      <c r="G163" s="66" t="s">
        <v>51</v>
      </c>
      <c r="H163" s="70"/>
      <c r="I163" s="71"/>
      <c r="J163" s="71"/>
      <c r="K163" s="35" t="s">
        <v>65</v>
      </c>
      <c r="L163" s="79">
        <v>163</v>
      </c>
      <c r="M163" s="79"/>
      <c r="N163" s="73"/>
      <c r="O163" s="90" t="s">
        <v>449</v>
      </c>
      <c r="P163" s="93">
        <v>44577.79417824074</v>
      </c>
      <c r="Q163" s="90" t="s">
        <v>521</v>
      </c>
      <c r="R163" s="90"/>
      <c r="S163" s="90"/>
      <c r="T163" s="90"/>
      <c r="U163" s="90"/>
      <c r="V163" s="95" t="str">
        <f>HYPERLINK("https://pbs.twimg.com/profile_images/1199039891381862401/eOX3Hr0L_normal.jpg")</f>
        <v>https://pbs.twimg.com/profile_images/1199039891381862401/eOX3Hr0L_normal.jpg</v>
      </c>
      <c r="W163" s="93">
        <v>44577.79417824074</v>
      </c>
      <c r="X163" s="102">
        <v>44577</v>
      </c>
      <c r="Y163" s="97" t="s">
        <v>694</v>
      </c>
      <c r="Z163" s="95" t="str">
        <f>HYPERLINK("https://twitter.com/jarijyrkankoski/status/1482790663913676803")</f>
        <v>https://twitter.com/jarijyrkankoski/status/1482790663913676803</v>
      </c>
      <c r="AA163" s="90"/>
      <c r="AB163" s="90"/>
      <c r="AC163" s="97" t="s">
        <v>935</v>
      </c>
      <c r="AD163" s="97" t="s">
        <v>1077</v>
      </c>
      <c r="AE163" s="90" t="b">
        <v>0</v>
      </c>
      <c r="AF163" s="90">
        <v>9</v>
      </c>
      <c r="AG163" s="97" t="s">
        <v>1112</v>
      </c>
      <c r="AH163" s="90" t="b">
        <v>0</v>
      </c>
      <c r="AI163" s="90" t="s">
        <v>1127</v>
      </c>
      <c r="AJ163" s="90"/>
      <c r="AK163" s="97" t="s">
        <v>1087</v>
      </c>
      <c r="AL163" s="90" t="b">
        <v>0</v>
      </c>
      <c r="AM163" s="90">
        <v>0</v>
      </c>
      <c r="AN163" s="97" t="s">
        <v>1087</v>
      </c>
      <c r="AO163" s="97" t="s">
        <v>1133</v>
      </c>
      <c r="AP163" s="90" t="b">
        <v>0</v>
      </c>
      <c r="AQ163" s="97" t="s">
        <v>1077</v>
      </c>
      <c r="AR163" s="90" t="s">
        <v>178</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v>0</v>
      </c>
      <c r="BG163" s="50">
        <v>0</v>
      </c>
      <c r="BH163" s="49">
        <v>0</v>
      </c>
      <c r="BI163" s="50">
        <v>0</v>
      </c>
      <c r="BJ163" s="49">
        <v>0</v>
      </c>
      <c r="BK163" s="50">
        <v>0</v>
      </c>
      <c r="BL163" s="49">
        <v>7</v>
      </c>
      <c r="BM163" s="50">
        <v>100</v>
      </c>
      <c r="BN163" s="49">
        <v>7</v>
      </c>
    </row>
    <row r="164" spans="1:66" ht="15">
      <c r="A164" s="65" t="s">
        <v>316</v>
      </c>
      <c r="B164" s="65" t="s">
        <v>315</v>
      </c>
      <c r="C164" s="66" t="s">
        <v>4405</v>
      </c>
      <c r="D164" s="67">
        <v>1</v>
      </c>
      <c r="E164" s="68" t="s">
        <v>132</v>
      </c>
      <c r="F164" s="69">
        <v>32</v>
      </c>
      <c r="G164" s="66" t="s">
        <v>51</v>
      </c>
      <c r="H164" s="70"/>
      <c r="I164" s="71"/>
      <c r="J164" s="71"/>
      <c r="K164" s="35" t="s">
        <v>65</v>
      </c>
      <c r="L164" s="79">
        <v>164</v>
      </c>
      <c r="M164" s="79"/>
      <c r="N164" s="73"/>
      <c r="O164" s="90" t="s">
        <v>448</v>
      </c>
      <c r="P164" s="93">
        <v>44577.80079861111</v>
      </c>
      <c r="Q164" s="90" t="s">
        <v>522</v>
      </c>
      <c r="R164" s="90"/>
      <c r="S164" s="90"/>
      <c r="T164" s="90"/>
      <c r="U164" s="90"/>
      <c r="V164" s="95" t="str">
        <f>HYPERLINK("https://pbs.twimg.com/profile_images/1404315315367034884/cfVvVFTR_normal.jpg")</f>
        <v>https://pbs.twimg.com/profile_images/1404315315367034884/cfVvVFTR_normal.jpg</v>
      </c>
      <c r="W164" s="93">
        <v>44577.80079861111</v>
      </c>
      <c r="X164" s="102">
        <v>44577</v>
      </c>
      <c r="Y164" s="97" t="s">
        <v>695</v>
      </c>
      <c r="Z164" s="95" t="str">
        <f>HYPERLINK("https://twitter.com/oula_silver/status/1482793062577356803")</f>
        <v>https://twitter.com/oula_silver/status/1482793062577356803</v>
      </c>
      <c r="AA164" s="90"/>
      <c r="AB164" s="90"/>
      <c r="AC164" s="97" t="s">
        <v>936</v>
      </c>
      <c r="AD164" s="97" t="s">
        <v>935</v>
      </c>
      <c r="AE164" s="90" t="b">
        <v>0</v>
      </c>
      <c r="AF164" s="90">
        <v>12</v>
      </c>
      <c r="AG164" s="97" t="s">
        <v>1118</v>
      </c>
      <c r="AH164" s="90" t="b">
        <v>0</v>
      </c>
      <c r="AI164" s="90" t="s">
        <v>1127</v>
      </c>
      <c r="AJ164" s="90"/>
      <c r="AK164" s="97" t="s">
        <v>1087</v>
      </c>
      <c r="AL164" s="90" t="b">
        <v>0</v>
      </c>
      <c r="AM164" s="90">
        <v>0</v>
      </c>
      <c r="AN164" s="97" t="s">
        <v>1087</v>
      </c>
      <c r="AO164" s="97" t="s">
        <v>1133</v>
      </c>
      <c r="AP164" s="90" t="b">
        <v>0</v>
      </c>
      <c r="AQ164" s="97" t="s">
        <v>935</v>
      </c>
      <c r="AR164" s="90" t="s">
        <v>178</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c r="BG164" s="50"/>
      <c r="BH164" s="49"/>
      <c r="BI164" s="50"/>
      <c r="BJ164" s="49"/>
      <c r="BK164" s="50"/>
      <c r="BL164" s="49"/>
      <c r="BM164" s="50"/>
      <c r="BN164" s="49"/>
    </row>
    <row r="165" spans="1:66" ht="15">
      <c r="A165" s="65" t="s">
        <v>316</v>
      </c>
      <c r="B165" s="65" t="s">
        <v>416</v>
      </c>
      <c r="C165" s="66" t="s">
        <v>4405</v>
      </c>
      <c r="D165" s="67">
        <v>1</v>
      </c>
      <c r="E165" s="68" t="s">
        <v>132</v>
      </c>
      <c r="F165" s="69">
        <v>32</v>
      </c>
      <c r="G165" s="66" t="s">
        <v>51</v>
      </c>
      <c r="H165" s="70"/>
      <c r="I165" s="71"/>
      <c r="J165" s="71"/>
      <c r="K165" s="35" t="s">
        <v>65</v>
      </c>
      <c r="L165" s="79">
        <v>165</v>
      </c>
      <c r="M165" s="79"/>
      <c r="N165" s="73"/>
      <c r="O165" s="90" t="s">
        <v>449</v>
      </c>
      <c r="P165" s="93">
        <v>44577.80079861111</v>
      </c>
      <c r="Q165" s="90" t="s">
        <v>522</v>
      </c>
      <c r="R165" s="90"/>
      <c r="S165" s="90"/>
      <c r="T165" s="90"/>
      <c r="U165" s="90"/>
      <c r="V165" s="95" t="str">
        <f>HYPERLINK("https://pbs.twimg.com/profile_images/1404315315367034884/cfVvVFTR_normal.jpg")</f>
        <v>https://pbs.twimg.com/profile_images/1404315315367034884/cfVvVFTR_normal.jpg</v>
      </c>
      <c r="W165" s="93">
        <v>44577.80079861111</v>
      </c>
      <c r="X165" s="102">
        <v>44577</v>
      </c>
      <c r="Y165" s="97" t="s">
        <v>695</v>
      </c>
      <c r="Z165" s="95" t="str">
        <f>HYPERLINK("https://twitter.com/oula_silver/status/1482793062577356803")</f>
        <v>https://twitter.com/oula_silver/status/1482793062577356803</v>
      </c>
      <c r="AA165" s="90"/>
      <c r="AB165" s="90"/>
      <c r="AC165" s="97" t="s">
        <v>936</v>
      </c>
      <c r="AD165" s="97" t="s">
        <v>935</v>
      </c>
      <c r="AE165" s="90" t="b">
        <v>0</v>
      </c>
      <c r="AF165" s="90">
        <v>12</v>
      </c>
      <c r="AG165" s="97" t="s">
        <v>1118</v>
      </c>
      <c r="AH165" s="90" t="b">
        <v>0</v>
      </c>
      <c r="AI165" s="90" t="s">
        <v>1127</v>
      </c>
      <c r="AJ165" s="90"/>
      <c r="AK165" s="97" t="s">
        <v>1087</v>
      </c>
      <c r="AL165" s="90" t="b">
        <v>0</v>
      </c>
      <c r="AM165" s="90">
        <v>0</v>
      </c>
      <c r="AN165" s="97" t="s">
        <v>1087</v>
      </c>
      <c r="AO165" s="97" t="s">
        <v>1133</v>
      </c>
      <c r="AP165" s="90" t="b">
        <v>0</v>
      </c>
      <c r="AQ165" s="97" t="s">
        <v>935</v>
      </c>
      <c r="AR165" s="90" t="s">
        <v>178</v>
      </c>
      <c r="AS165" s="90">
        <v>0</v>
      </c>
      <c r="AT165" s="90">
        <v>0</v>
      </c>
      <c r="AU165" s="90"/>
      <c r="AV165" s="90"/>
      <c r="AW165" s="90"/>
      <c r="AX165" s="90"/>
      <c r="AY165" s="90"/>
      <c r="AZ165" s="90"/>
      <c r="BA165" s="90"/>
      <c r="BB165" s="90"/>
      <c r="BC165">
        <v>1</v>
      </c>
      <c r="BD165" s="89" t="str">
        <f>REPLACE(INDEX(GroupVertices[Group],MATCH(Edges[[#This Row],[Vertex 1]],GroupVertices[Vertex],0)),1,1,"")</f>
        <v>3</v>
      </c>
      <c r="BE165" s="89" t="str">
        <f>REPLACE(INDEX(GroupVertices[Group],MATCH(Edges[[#This Row],[Vertex 2]],GroupVertices[Vertex],0)),1,1,"")</f>
        <v>3</v>
      </c>
      <c r="BF165" s="49">
        <v>0</v>
      </c>
      <c r="BG165" s="50">
        <v>0</v>
      </c>
      <c r="BH165" s="49">
        <v>0</v>
      </c>
      <c r="BI165" s="50">
        <v>0</v>
      </c>
      <c r="BJ165" s="49">
        <v>0</v>
      </c>
      <c r="BK165" s="50">
        <v>0</v>
      </c>
      <c r="BL165" s="49">
        <v>9</v>
      </c>
      <c r="BM165" s="50">
        <v>100</v>
      </c>
      <c r="BN165" s="49">
        <v>9</v>
      </c>
    </row>
    <row r="166" spans="1:66" ht="15">
      <c r="A166" s="65" t="s">
        <v>317</v>
      </c>
      <c r="B166" s="65" t="s">
        <v>341</v>
      </c>
      <c r="C166" s="66" t="s">
        <v>4405</v>
      </c>
      <c r="D166" s="67">
        <v>1</v>
      </c>
      <c r="E166" s="68" t="s">
        <v>132</v>
      </c>
      <c r="F166" s="69">
        <v>32</v>
      </c>
      <c r="G166" s="66" t="s">
        <v>51</v>
      </c>
      <c r="H166" s="70"/>
      <c r="I166" s="71"/>
      <c r="J166" s="71"/>
      <c r="K166" s="35" t="s">
        <v>65</v>
      </c>
      <c r="L166" s="79">
        <v>166</v>
      </c>
      <c r="M166" s="79"/>
      <c r="N166" s="73"/>
      <c r="O166" s="90" t="s">
        <v>447</v>
      </c>
      <c r="P166" s="93">
        <v>44577.801099537035</v>
      </c>
      <c r="Q166" s="90" t="s">
        <v>514</v>
      </c>
      <c r="R166" s="90"/>
      <c r="S166" s="90"/>
      <c r="T166" s="90"/>
      <c r="U166" s="95" t="str">
        <f>HYPERLINK("https://pbs.twimg.com/media/FJPK-YrWUAYi1BM.jpg")</f>
        <v>https://pbs.twimg.com/media/FJPK-YrWUAYi1BM.jpg</v>
      </c>
      <c r="V166" s="95" t="str">
        <f>HYPERLINK("https://pbs.twimg.com/media/FJPK-YrWUAYi1BM.jpg")</f>
        <v>https://pbs.twimg.com/media/FJPK-YrWUAYi1BM.jpg</v>
      </c>
      <c r="W166" s="93">
        <v>44577.801099537035</v>
      </c>
      <c r="X166" s="102">
        <v>44577</v>
      </c>
      <c r="Y166" s="97" t="s">
        <v>696</v>
      </c>
      <c r="Z166" s="95" t="str">
        <f>HYPERLINK("https://twitter.com/katriomamieli/status/1482793169041477637")</f>
        <v>https://twitter.com/katriomamieli/status/1482793169041477637</v>
      </c>
      <c r="AA166" s="90"/>
      <c r="AB166" s="90"/>
      <c r="AC166" s="97" t="s">
        <v>937</v>
      </c>
      <c r="AD166" s="90"/>
      <c r="AE166" s="90" t="b">
        <v>0</v>
      </c>
      <c r="AF166" s="90">
        <v>0</v>
      </c>
      <c r="AG166" s="97" t="s">
        <v>1087</v>
      </c>
      <c r="AH166" s="90" t="b">
        <v>0</v>
      </c>
      <c r="AI166" s="90" t="s">
        <v>1127</v>
      </c>
      <c r="AJ166" s="90"/>
      <c r="AK166" s="97" t="s">
        <v>1087</v>
      </c>
      <c r="AL166" s="90" t="b">
        <v>0</v>
      </c>
      <c r="AM166" s="90">
        <v>36</v>
      </c>
      <c r="AN166" s="97" t="s">
        <v>1040</v>
      </c>
      <c r="AO166" s="97" t="s">
        <v>1134</v>
      </c>
      <c r="AP166" s="90" t="b">
        <v>0</v>
      </c>
      <c r="AQ166" s="97" t="s">
        <v>1040</v>
      </c>
      <c r="AR166" s="90" t="s">
        <v>178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4</v>
      </c>
      <c r="BM166" s="50">
        <v>100</v>
      </c>
      <c r="BN166" s="49">
        <v>4</v>
      </c>
    </row>
    <row r="167" spans="1:66" ht="15">
      <c r="A167" s="65" t="s">
        <v>318</v>
      </c>
      <c r="B167" s="65" t="s">
        <v>341</v>
      </c>
      <c r="C167" s="66" t="s">
        <v>4405</v>
      </c>
      <c r="D167" s="67">
        <v>1</v>
      </c>
      <c r="E167" s="68" t="s">
        <v>132</v>
      </c>
      <c r="F167" s="69">
        <v>32</v>
      </c>
      <c r="G167" s="66" t="s">
        <v>51</v>
      </c>
      <c r="H167" s="70"/>
      <c r="I167" s="71"/>
      <c r="J167" s="71"/>
      <c r="K167" s="35" t="s">
        <v>65</v>
      </c>
      <c r="L167" s="79">
        <v>167</v>
      </c>
      <c r="M167" s="79"/>
      <c r="N167" s="73"/>
      <c r="O167" s="90" t="s">
        <v>447</v>
      </c>
      <c r="P167" s="93">
        <v>44577.80614583333</v>
      </c>
      <c r="Q167" s="90" t="s">
        <v>520</v>
      </c>
      <c r="R167" s="90"/>
      <c r="S167" s="90"/>
      <c r="T167" s="90"/>
      <c r="U167" s="90"/>
      <c r="V167" s="95" t="str">
        <f>HYPERLINK("https://pbs.twimg.com/profile_images/957702518930362370/hpfBosNO_normal.jpg")</f>
        <v>https://pbs.twimg.com/profile_images/957702518930362370/hpfBosNO_normal.jpg</v>
      </c>
      <c r="W167" s="93">
        <v>44577.80614583333</v>
      </c>
      <c r="X167" s="102">
        <v>44577</v>
      </c>
      <c r="Y167" s="97" t="s">
        <v>697</v>
      </c>
      <c r="Z167" s="95" t="str">
        <f>HYPERLINK("https://twitter.com/salineero/status/1482795001046315013")</f>
        <v>https://twitter.com/salineero/status/1482795001046315013</v>
      </c>
      <c r="AA167" s="90"/>
      <c r="AB167" s="90"/>
      <c r="AC167" s="97" t="s">
        <v>938</v>
      </c>
      <c r="AD167" s="90"/>
      <c r="AE167" s="90" t="b">
        <v>0</v>
      </c>
      <c r="AF167" s="90">
        <v>0</v>
      </c>
      <c r="AG167" s="97" t="s">
        <v>1087</v>
      </c>
      <c r="AH167" s="90" t="b">
        <v>0</v>
      </c>
      <c r="AI167" s="90" t="s">
        <v>1127</v>
      </c>
      <c r="AJ167" s="90"/>
      <c r="AK167" s="97" t="s">
        <v>1087</v>
      </c>
      <c r="AL167" s="90" t="b">
        <v>0</v>
      </c>
      <c r="AM167" s="90">
        <v>24</v>
      </c>
      <c r="AN167" s="97" t="s">
        <v>1041</v>
      </c>
      <c r="AO167" s="97" t="s">
        <v>1132</v>
      </c>
      <c r="AP167" s="90" t="b">
        <v>0</v>
      </c>
      <c r="AQ167" s="97" t="s">
        <v>1041</v>
      </c>
      <c r="AR167" s="90" t="s">
        <v>178</v>
      </c>
      <c r="AS167" s="90">
        <v>0</v>
      </c>
      <c r="AT167" s="90">
        <v>0</v>
      </c>
      <c r="AU167" s="90"/>
      <c r="AV167" s="90"/>
      <c r="AW167" s="90"/>
      <c r="AX167" s="90"/>
      <c r="AY167" s="90"/>
      <c r="AZ167" s="90"/>
      <c r="BA167" s="90"/>
      <c r="BB167" s="90"/>
      <c r="BC167">
        <v>1</v>
      </c>
      <c r="BD167" s="89" t="str">
        <f>REPLACE(INDEX(GroupVertices[Group],MATCH(Edges[[#This Row],[Vertex 1]],GroupVertices[Vertex],0)),1,1,"")</f>
        <v>1</v>
      </c>
      <c r="BE167" s="89"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5" t="s">
        <v>319</v>
      </c>
      <c r="B168" s="65" t="s">
        <v>341</v>
      </c>
      <c r="C168" s="66" t="s">
        <v>4405</v>
      </c>
      <c r="D168" s="67">
        <v>1</v>
      </c>
      <c r="E168" s="68" t="s">
        <v>132</v>
      </c>
      <c r="F168" s="69">
        <v>32</v>
      </c>
      <c r="G168" s="66" t="s">
        <v>51</v>
      </c>
      <c r="H168" s="70"/>
      <c r="I168" s="71"/>
      <c r="J168" s="71"/>
      <c r="K168" s="35" t="s">
        <v>65</v>
      </c>
      <c r="L168" s="79">
        <v>168</v>
      </c>
      <c r="M168" s="79"/>
      <c r="N168" s="73"/>
      <c r="O168" s="90" t="s">
        <v>447</v>
      </c>
      <c r="P168" s="93">
        <v>44577.81215277778</v>
      </c>
      <c r="Q168" s="90" t="s">
        <v>514</v>
      </c>
      <c r="R168" s="90"/>
      <c r="S168" s="90"/>
      <c r="T168" s="90"/>
      <c r="U168" s="95" t="str">
        <f>HYPERLINK("https://pbs.twimg.com/media/FJPK-YrWUAYi1BM.jpg")</f>
        <v>https://pbs.twimg.com/media/FJPK-YrWUAYi1BM.jpg</v>
      </c>
      <c r="V168" s="95" t="str">
        <f>HYPERLINK("https://pbs.twimg.com/media/FJPK-YrWUAYi1BM.jpg")</f>
        <v>https://pbs.twimg.com/media/FJPK-YrWUAYi1BM.jpg</v>
      </c>
      <c r="W168" s="93">
        <v>44577.81215277778</v>
      </c>
      <c r="X168" s="102">
        <v>44577</v>
      </c>
      <c r="Y168" s="97" t="s">
        <v>698</v>
      </c>
      <c r="Z168" s="95" t="str">
        <f>HYPERLINK("https://twitter.com/akiharkonen/status/1482797177458069505")</f>
        <v>https://twitter.com/akiharkonen/status/1482797177458069505</v>
      </c>
      <c r="AA168" s="90"/>
      <c r="AB168" s="90"/>
      <c r="AC168" s="97" t="s">
        <v>939</v>
      </c>
      <c r="AD168" s="90"/>
      <c r="AE168" s="90" t="b">
        <v>0</v>
      </c>
      <c r="AF168" s="90">
        <v>0</v>
      </c>
      <c r="AG168" s="97" t="s">
        <v>1087</v>
      </c>
      <c r="AH168" s="90" t="b">
        <v>0</v>
      </c>
      <c r="AI168" s="90" t="s">
        <v>1127</v>
      </c>
      <c r="AJ168" s="90"/>
      <c r="AK168" s="97" t="s">
        <v>1087</v>
      </c>
      <c r="AL168" s="90" t="b">
        <v>0</v>
      </c>
      <c r="AM168" s="90">
        <v>36</v>
      </c>
      <c r="AN168" s="97" t="s">
        <v>1040</v>
      </c>
      <c r="AO168" s="97" t="s">
        <v>1135</v>
      </c>
      <c r="AP168" s="90" t="b">
        <v>0</v>
      </c>
      <c r="AQ168" s="97" t="s">
        <v>1040</v>
      </c>
      <c r="AR168" s="90" t="s">
        <v>178</v>
      </c>
      <c r="AS168" s="90">
        <v>0</v>
      </c>
      <c r="AT168" s="90">
        <v>0</v>
      </c>
      <c r="AU168" s="90"/>
      <c r="AV168" s="90"/>
      <c r="AW168" s="90"/>
      <c r="AX168" s="90"/>
      <c r="AY168" s="90"/>
      <c r="AZ168" s="90"/>
      <c r="BA168" s="90"/>
      <c r="BB168" s="90"/>
      <c r="BC168">
        <v>1</v>
      </c>
      <c r="BD168" s="89" t="str">
        <f>REPLACE(INDEX(GroupVertices[Group],MATCH(Edges[[#This Row],[Vertex 1]],GroupVertices[Vertex],0)),1,1,"")</f>
        <v>1</v>
      </c>
      <c r="BE168" s="89" t="str">
        <f>REPLACE(INDEX(GroupVertices[Group],MATCH(Edges[[#This Row],[Vertex 2]],GroupVertices[Vertex],0)),1,1,"")</f>
        <v>1</v>
      </c>
      <c r="BF168" s="49">
        <v>0</v>
      </c>
      <c r="BG168" s="50">
        <v>0</v>
      </c>
      <c r="BH168" s="49">
        <v>0</v>
      </c>
      <c r="BI168" s="50">
        <v>0</v>
      </c>
      <c r="BJ168" s="49">
        <v>0</v>
      </c>
      <c r="BK168" s="50">
        <v>0</v>
      </c>
      <c r="BL168" s="49">
        <v>4</v>
      </c>
      <c r="BM168" s="50">
        <v>100</v>
      </c>
      <c r="BN168" s="49">
        <v>4</v>
      </c>
    </row>
    <row r="169" spans="1:66" ht="15">
      <c r="A169" s="65" t="s">
        <v>320</v>
      </c>
      <c r="B169" s="65" t="s">
        <v>341</v>
      </c>
      <c r="C169" s="66" t="s">
        <v>4405</v>
      </c>
      <c r="D169" s="67">
        <v>1</v>
      </c>
      <c r="E169" s="68" t="s">
        <v>132</v>
      </c>
      <c r="F169" s="69">
        <v>32</v>
      </c>
      <c r="G169" s="66" t="s">
        <v>51</v>
      </c>
      <c r="H169" s="70"/>
      <c r="I169" s="71"/>
      <c r="J169" s="71"/>
      <c r="K169" s="35" t="s">
        <v>65</v>
      </c>
      <c r="L169" s="79">
        <v>169</v>
      </c>
      <c r="M169" s="79"/>
      <c r="N169" s="73"/>
      <c r="O169" s="90" t="s">
        <v>447</v>
      </c>
      <c r="P169" s="93">
        <v>44577.81251157408</v>
      </c>
      <c r="Q169" s="90" t="s">
        <v>520</v>
      </c>
      <c r="R169" s="90"/>
      <c r="S169" s="90"/>
      <c r="T169" s="90"/>
      <c r="U169" s="90"/>
      <c r="V169" s="95" t="str">
        <f>HYPERLINK("https://pbs.twimg.com/profile_images/1476272939385434114/Gj6QJsk6_normal.jpg")</f>
        <v>https://pbs.twimg.com/profile_images/1476272939385434114/Gj6QJsk6_normal.jpg</v>
      </c>
      <c r="W169" s="93">
        <v>44577.81251157408</v>
      </c>
      <c r="X169" s="102">
        <v>44577</v>
      </c>
      <c r="Y169" s="97" t="s">
        <v>699</v>
      </c>
      <c r="Z169" s="95" t="str">
        <f>HYPERLINK("https://twitter.com/sandinakk/status/1482797304872861697")</f>
        <v>https://twitter.com/sandinakk/status/1482797304872861697</v>
      </c>
      <c r="AA169" s="90"/>
      <c r="AB169" s="90"/>
      <c r="AC169" s="97" t="s">
        <v>940</v>
      </c>
      <c r="AD169" s="90"/>
      <c r="AE169" s="90" t="b">
        <v>0</v>
      </c>
      <c r="AF169" s="90">
        <v>0</v>
      </c>
      <c r="AG169" s="97" t="s">
        <v>1087</v>
      </c>
      <c r="AH169" s="90" t="b">
        <v>0</v>
      </c>
      <c r="AI169" s="90" t="s">
        <v>1127</v>
      </c>
      <c r="AJ169" s="90"/>
      <c r="AK169" s="97" t="s">
        <v>1087</v>
      </c>
      <c r="AL169" s="90" t="b">
        <v>0</v>
      </c>
      <c r="AM169" s="90">
        <v>24</v>
      </c>
      <c r="AN169" s="97" t="s">
        <v>1041</v>
      </c>
      <c r="AO169" s="97" t="s">
        <v>1133</v>
      </c>
      <c r="AP169" s="90" t="b">
        <v>0</v>
      </c>
      <c r="AQ169" s="97" t="s">
        <v>1041</v>
      </c>
      <c r="AR169" s="90" t="s">
        <v>178</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v>0</v>
      </c>
      <c r="BG169" s="50">
        <v>0</v>
      </c>
      <c r="BH169" s="49">
        <v>0</v>
      </c>
      <c r="BI169" s="50">
        <v>0</v>
      </c>
      <c r="BJ169" s="49">
        <v>0</v>
      </c>
      <c r="BK169" s="50">
        <v>0</v>
      </c>
      <c r="BL169" s="49">
        <v>16</v>
      </c>
      <c r="BM169" s="50">
        <v>100</v>
      </c>
      <c r="BN169" s="49">
        <v>16</v>
      </c>
    </row>
    <row r="170" spans="1:66" ht="15">
      <c r="A170" s="65" t="s">
        <v>321</v>
      </c>
      <c r="B170" s="65" t="s">
        <v>341</v>
      </c>
      <c r="C170" s="66" t="s">
        <v>4405</v>
      </c>
      <c r="D170" s="67">
        <v>1</v>
      </c>
      <c r="E170" s="68" t="s">
        <v>132</v>
      </c>
      <c r="F170" s="69">
        <v>32</v>
      </c>
      <c r="G170" s="66" t="s">
        <v>51</v>
      </c>
      <c r="H170" s="70"/>
      <c r="I170" s="71"/>
      <c r="J170" s="71"/>
      <c r="K170" s="35" t="s">
        <v>65</v>
      </c>
      <c r="L170" s="79">
        <v>170</v>
      </c>
      <c r="M170" s="79"/>
      <c r="N170" s="73"/>
      <c r="O170" s="90" t="s">
        <v>447</v>
      </c>
      <c r="P170" s="93">
        <v>44577.82865740741</v>
      </c>
      <c r="Q170" s="90" t="s">
        <v>514</v>
      </c>
      <c r="R170" s="90"/>
      <c r="S170" s="90"/>
      <c r="T170" s="90"/>
      <c r="U170" s="95" t="str">
        <f>HYPERLINK("https://pbs.twimg.com/media/FJPK-YrWUAYi1BM.jpg")</f>
        <v>https://pbs.twimg.com/media/FJPK-YrWUAYi1BM.jpg</v>
      </c>
      <c r="V170" s="95" t="str">
        <f>HYPERLINK("https://pbs.twimg.com/media/FJPK-YrWUAYi1BM.jpg")</f>
        <v>https://pbs.twimg.com/media/FJPK-YrWUAYi1BM.jpg</v>
      </c>
      <c r="W170" s="93">
        <v>44577.82865740741</v>
      </c>
      <c r="X170" s="102">
        <v>44577</v>
      </c>
      <c r="Y170" s="97" t="s">
        <v>700</v>
      </c>
      <c r="Z170" s="95" t="str">
        <f>HYPERLINK("https://twitter.com/perttipiirto/status/1482803158376239112")</f>
        <v>https://twitter.com/perttipiirto/status/1482803158376239112</v>
      </c>
      <c r="AA170" s="90"/>
      <c r="AB170" s="90"/>
      <c r="AC170" s="97" t="s">
        <v>941</v>
      </c>
      <c r="AD170" s="90"/>
      <c r="AE170" s="90" t="b">
        <v>0</v>
      </c>
      <c r="AF170" s="90">
        <v>0</v>
      </c>
      <c r="AG170" s="97" t="s">
        <v>1087</v>
      </c>
      <c r="AH170" s="90" t="b">
        <v>0</v>
      </c>
      <c r="AI170" s="90" t="s">
        <v>1127</v>
      </c>
      <c r="AJ170" s="90"/>
      <c r="AK170" s="97" t="s">
        <v>1087</v>
      </c>
      <c r="AL170" s="90" t="b">
        <v>0</v>
      </c>
      <c r="AM170" s="90">
        <v>36</v>
      </c>
      <c r="AN170" s="97" t="s">
        <v>1040</v>
      </c>
      <c r="AO170" s="97" t="s">
        <v>1132</v>
      </c>
      <c r="AP170" s="90" t="b">
        <v>0</v>
      </c>
      <c r="AQ170" s="97" t="s">
        <v>1040</v>
      </c>
      <c r="AR170" s="90" t="s">
        <v>178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0</v>
      </c>
      <c r="BG170" s="50">
        <v>0</v>
      </c>
      <c r="BH170" s="49">
        <v>0</v>
      </c>
      <c r="BI170" s="50">
        <v>0</v>
      </c>
      <c r="BJ170" s="49">
        <v>0</v>
      </c>
      <c r="BK170" s="50">
        <v>0</v>
      </c>
      <c r="BL170" s="49">
        <v>4</v>
      </c>
      <c r="BM170" s="50">
        <v>100</v>
      </c>
      <c r="BN170" s="49">
        <v>4</v>
      </c>
    </row>
    <row r="171" spans="1:66" ht="15">
      <c r="A171" s="65" t="s">
        <v>322</v>
      </c>
      <c r="B171" s="65" t="s">
        <v>341</v>
      </c>
      <c r="C171" s="66" t="s">
        <v>4405</v>
      </c>
      <c r="D171" s="67">
        <v>1</v>
      </c>
      <c r="E171" s="68" t="s">
        <v>132</v>
      </c>
      <c r="F171" s="69">
        <v>32</v>
      </c>
      <c r="G171" s="66" t="s">
        <v>51</v>
      </c>
      <c r="H171" s="70"/>
      <c r="I171" s="71"/>
      <c r="J171" s="71"/>
      <c r="K171" s="35" t="s">
        <v>65</v>
      </c>
      <c r="L171" s="79">
        <v>171</v>
      </c>
      <c r="M171" s="79"/>
      <c r="N171" s="73"/>
      <c r="O171" s="90" t="s">
        <v>447</v>
      </c>
      <c r="P171" s="93">
        <v>44577.832094907404</v>
      </c>
      <c r="Q171" s="90" t="s">
        <v>514</v>
      </c>
      <c r="R171" s="90"/>
      <c r="S171" s="90"/>
      <c r="T171" s="90"/>
      <c r="U171" s="95" t="str">
        <f>HYPERLINK("https://pbs.twimg.com/media/FJPK-YrWUAYi1BM.jpg")</f>
        <v>https://pbs.twimg.com/media/FJPK-YrWUAYi1BM.jpg</v>
      </c>
      <c r="V171" s="95" t="str">
        <f>HYPERLINK("https://pbs.twimg.com/media/FJPK-YrWUAYi1BM.jpg")</f>
        <v>https://pbs.twimg.com/media/FJPK-YrWUAYi1BM.jpg</v>
      </c>
      <c r="W171" s="93">
        <v>44577.832094907404</v>
      </c>
      <c r="X171" s="102">
        <v>44577</v>
      </c>
      <c r="Y171" s="97" t="s">
        <v>701</v>
      </c>
      <c r="Z171" s="95" t="str">
        <f>HYPERLINK("https://twitter.com/mbacardinen/status/1482804403094577152")</f>
        <v>https://twitter.com/mbacardinen/status/1482804403094577152</v>
      </c>
      <c r="AA171" s="90"/>
      <c r="AB171" s="90"/>
      <c r="AC171" s="97" t="s">
        <v>942</v>
      </c>
      <c r="AD171" s="90"/>
      <c r="AE171" s="90" t="b">
        <v>0</v>
      </c>
      <c r="AF171" s="90">
        <v>0</v>
      </c>
      <c r="AG171" s="97" t="s">
        <v>1087</v>
      </c>
      <c r="AH171" s="90" t="b">
        <v>0</v>
      </c>
      <c r="AI171" s="90" t="s">
        <v>1127</v>
      </c>
      <c r="AJ171" s="90"/>
      <c r="AK171" s="97" t="s">
        <v>1087</v>
      </c>
      <c r="AL171" s="90" t="b">
        <v>0</v>
      </c>
      <c r="AM171" s="90">
        <v>36</v>
      </c>
      <c r="AN171" s="97" t="s">
        <v>1040</v>
      </c>
      <c r="AO171" s="97" t="s">
        <v>1132</v>
      </c>
      <c r="AP171" s="90" t="b">
        <v>0</v>
      </c>
      <c r="AQ171" s="97" t="s">
        <v>1040</v>
      </c>
      <c r="AR171" s="90" t="s">
        <v>178</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5" t="s">
        <v>323</v>
      </c>
      <c r="B172" s="65" t="s">
        <v>400</v>
      </c>
      <c r="C172" s="66" t="s">
        <v>4405</v>
      </c>
      <c r="D172" s="67">
        <v>1</v>
      </c>
      <c r="E172" s="68" t="s">
        <v>132</v>
      </c>
      <c r="F172" s="69">
        <v>32</v>
      </c>
      <c r="G172" s="66" t="s">
        <v>51</v>
      </c>
      <c r="H172" s="70"/>
      <c r="I172" s="71"/>
      <c r="J172" s="71"/>
      <c r="K172" s="35" t="s">
        <v>65</v>
      </c>
      <c r="L172" s="79">
        <v>172</v>
      </c>
      <c r="M172" s="79"/>
      <c r="N172" s="73"/>
      <c r="O172" s="90" t="s">
        <v>447</v>
      </c>
      <c r="P172" s="93">
        <v>44577.83739583333</v>
      </c>
      <c r="Q172" s="90" t="s">
        <v>523</v>
      </c>
      <c r="R172" s="95" t="str">
        <f>HYPERLINK("https://www.tripadvisor.com/Restaurant_Review-g189934-d21338840-Reviews-Bardot-Helsinki_Uusimaa.html")</f>
        <v>https://www.tripadvisor.com/Restaurant_Review-g189934-d21338840-Reviews-Bardot-Helsinki_Uusimaa.html</v>
      </c>
      <c r="S172" s="90" t="s">
        <v>554</v>
      </c>
      <c r="T172" s="90"/>
      <c r="U172" s="90"/>
      <c r="V172" s="95" t="str">
        <f>HYPERLINK("https://pbs.twimg.com/profile_images/1478452368127799301/FBH0yNwP_normal.jpg")</f>
        <v>https://pbs.twimg.com/profile_images/1478452368127799301/FBH0yNwP_normal.jpg</v>
      </c>
      <c r="W172" s="93">
        <v>44577.83739583333</v>
      </c>
      <c r="X172" s="102">
        <v>44577</v>
      </c>
      <c r="Y172" s="97" t="s">
        <v>702</v>
      </c>
      <c r="Z172" s="95" t="str">
        <f>HYPERLINK("https://twitter.com/vyyhdinpurkaja/status/1482806323616100363")</f>
        <v>https://twitter.com/vyyhdinpurkaja/status/1482806323616100363</v>
      </c>
      <c r="AA172" s="90"/>
      <c r="AB172" s="90"/>
      <c r="AC172" s="97" t="s">
        <v>943</v>
      </c>
      <c r="AD172" s="90"/>
      <c r="AE172" s="90" t="b">
        <v>0</v>
      </c>
      <c r="AF172" s="90">
        <v>0</v>
      </c>
      <c r="AG172" s="97" t="s">
        <v>1087</v>
      </c>
      <c r="AH172" s="90" t="b">
        <v>0</v>
      </c>
      <c r="AI172" s="90" t="s">
        <v>1127</v>
      </c>
      <c r="AJ172" s="90"/>
      <c r="AK172" s="97" t="s">
        <v>1087</v>
      </c>
      <c r="AL172" s="90" t="b">
        <v>0</v>
      </c>
      <c r="AM172" s="90">
        <v>15</v>
      </c>
      <c r="AN172" s="97" t="s">
        <v>1043</v>
      </c>
      <c r="AO172" s="97" t="s">
        <v>1133</v>
      </c>
      <c r="AP172" s="90" t="b">
        <v>0</v>
      </c>
      <c r="AQ172" s="97" t="s">
        <v>1043</v>
      </c>
      <c r="AR172" s="90" t="s">
        <v>178</v>
      </c>
      <c r="AS172" s="90">
        <v>0</v>
      </c>
      <c r="AT172" s="90">
        <v>0</v>
      </c>
      <c r="AU172" s="90"/>
      <c r="AV172" s="90"/>
      <c r="AW172" s="90"/>
      <c r="AX172" s="90"/>
      <c r="AY172" s="90"/>
      <c r="AZ172" s="90"/>
      <c r="BA172" s="90"/>
      <c r="BB172" s="90"/>
      <c r="BC172">
        <v>1</v>
      </c>
      <c r="BD172" s="89" t="str">
        <f>REPLACE(INDEX(GroupVertices[Group],MATCH(Edges[[#This Row],[Vertex 1]],GroupVertices[Vertex],0)),1,1,"")</f>
        <v>5</v>
      </c>
      <c r="BE172" s="89" t="str">
        <f>REPLACE(INDEX(GroupVertices[Group],MATCH(Edges[[#This Row],[Vertex 2]],GroupVertices[Vertex],0)),1,1,"")</f>
        <v>5</v>
      </c>
      <c r="BF172" s="49">
        <v>0</v>
      </c>
      <c r="BG172" s="50">
        <v>0</v>
      </c>
      <c r="BH172" s="49">
        <v>0</v>
      </c>
      <c r="BI172" s="50">
        <v>0</v>
      </c>
      <c r="BJ172" s="49">
        <v>0</v>
      </c>
      <c r="BK172" s="50">
        <v>0</v>
      </c>
      <c r="BL172" s="49">
        <v>13</v>
      </c>
      <c r="BM172" s="50">
        <v>100</v>
      </c>
      <c r="BN172" s="49">
        <v>13</v>
      </c>
    </row>
    <row r="173" spans="1:66" ht="15">
      <c r="A173" s="65" t="s">
        <v>324</v>
      </c>
      <c r="B173" s="65" t="s">
        <v>341</v>
      </c>
      <c r="C173" s="66" t="s">
        <v>4405</v>
      </c>
      <c r="D173" s="67">
        <v>1</v>
      </c>
      <c r="E173" s="68" t="s">
        <v>132</v>
      </c>
      <c r="F173" s="69">
        <v>32</v>
      </c>
      <c r="G173" s="66" t="s">
        <v>51</v>
      </c>
      <c r="H173" s="70"/>
      <c r="I173" s="71"/>
      <c r="J173" s="71"/>
      <c r="K173" s="35" t="s">
        <v>65</v>
      </c>
      <c r="L173" s="79">
        <v>173</v>
      </c>
      <c r="M173" s="79"/>
      <c r="N173" s="73"/>
      <c r="O173" s="90" t="s">
        <v>447</v>
      </c>
      <c r="P173" s="93">
        <v>44577.843310185184</v>
      </c>
      <c r="Q173" s="90" t="s">
        <v>514</v>
      </c>
      <c r="R173" s="90"/>
      <c r="S173" s="90"/>
      <c r="T173" s="90"/>
      <c r="U173" s="95" t="str">
        <f>HYPERLINK("https://pbs.twimg.com/media/FJPK-YrWUAYi1BM.jpg")</f>
        <v>https://pbs.twimg.com/media/FJPK-YrWUAYi1BM.jpg</v>
      </c>
      <c r="V173" s="95" t="str">
        <f>HYPERLINK("https://pbs.twimg.com/media/FJPK-YrWUAYi1BM.jpg")</f>
        <v>https://pbs.twimg.com/media/FJPK-YrWUAYi1BM.jpg</v>
      </c>
      <c r="W173" s="93">
        <v>44577.843310185184</v>
      </c>
      <c r="X173" s="102">
        <v>44577</v>
      </c>
      <c r="Y173" s="97" t="s">
        <v>703</v>
      </c>
      <c r="Z173" s="95" t="str">
        <f>HYPERLINK("https://twitter.com/lahtilahti/status/1482808468792922112")</f>
        <v>https://twitter.com/lahtilahti/status/1482808468792922112</v>
      </c>
      <c r="AA173" s="90"/>
      <c r="AB173" s="90"/>
      <c r="AC173" s="97" t="s">
        <v>944</v>
      </c>
      <c r="AD173" s="90"/>
      <c r="AE173" s="90" t="b">
        <v>0</v>
      </c>
      <c r="AF173" s="90">
        <v>0</v>
      </c>
      <c r="AG173" s="97" t="s">
        <v>1087</v>
      </c>
      <c r="AH173" s="90" t="b">
        <v>0</v>
      </c>
      <c r="AI173" s="90" t="s">
        <v>1127</v>
      </c>
      <c r="AJ173" s="90"/>
      <c r="AK173" s="97" t="s">
        <v>1087</v>
      </c>
      <c r="AL173" s="90" t="b">
        <v>0</v>
      </c>
      <c r="AM173" s="90">
        <v>36</v>
      </c>
      <c r="AN173" s="97" t="s">
        <v>1040</v>
      </c>
      <c r="AO173" s="97" t="s">
        <v>1135</v>
      </c>
      <c r="AP173" s="90" t="b">
        <v>0</v>
      </c>
      <c r="AQ173" s="97" t="s">
        <v>1040</v>
      </c>
      <c r="AR173" s="90" t="s">
        <v>178</v>
      </c>
      <c r="AS173" s="90">
        <v>0</v>
      </c>
      <c r="AT173" s="90">
        <v>0</v>
      </c>
      <c r="AU173" s="90"/>
      <c r="AV173" s="90"/>
      <c r="AW173" s="90"/>
      <c r="AX173" s="90"/>
      <c r="AY173" s="90"/>
      <c r="AZ173" s="90"/>
      <c r="BA173" s="90"/>
      <c r="BB173" s="90"/>
      <c r="BC173">
        <v>1</v>
      </c>
      <c r="BD173" s="89" t="str">
        <f>REPLACE(INDEX(GroupVertices[Group],MATCH(Edges[[#This Row],[Vertex 1]],GroupVertices[Vertex],0)),1,1,"")</f>
        <v>1</v>
      </c>
      <c r="BE173" s="89"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5" t="s">
        <v>325</v>
      </c>
      <c r="B174" s="65" t="s">
        <v>341</v>
      </c>
      <c r="C174" s="66" t="s">
        <v>4405</v>
      </c>
      <c r="D174" s="67">
        <v>1</v>
      </c>
      <c r="E174" s="68" t="s">
        <v>132</v>
      </c>
      <c r="F174" s="69">
        <v>32</v>
      </c>
      <c r="G174" s="66" t="s">
        <v>51</v>
      </c>
      <c r="H174" s="70"/>
      <c r="I174" s="71"/>
      <c r="J174" s="71"/>
      <c r="K174" s="35" t="s">
        <v>65</v>
      </c>
      <c r="L174" s="79">
        <v>174</v>
      </c>
      <c r="M174" s="79"/>
      <c r="N174" s="73"/>
      <c r="O174" s="90" t="s">
        <v>447</v>
      </c>
      <c r="P174" s="93">
        <v>44577.84799768519</v>
      </c>
      <c r="Q174" s="90" t="s">
        <v>520</v>
      </c>
      <c r="R174" s="90"/>
      <c r="S174" s="90"/>
      <c r="T174" s="90"/>
      <c r="U174" s="90"/>
      <c r="V174" s="95" t="str">
        <f>HYPERLINK("https://pbs.twimg.com/profile_images/551426092918403072/ubEVFRXF_normal.jpeg")</f>
        <v>https://pbs.twimg.com/profile_images/551426092918403072/ubEVFRXF_normal.jpeg</v>
      </c>
      <c r="W174" s="93">
        <v>44577.84799768519</v>
      </c>
      <c r="X174" s="102">
        <v>44577</v>
      </c>
      <c r="Y174" s="97" t="s">
        <v>704</v>
      </c>
      <c r="Z174" s="95" t="str">
        <f>HYPERLINK("https://twitter.com/sussekiltou/status/1482810164449353734")</f>
        <v>https://twitter.com/sussekiltou/status/1482810164449353734</v>
      </c>
      <c r="AA174" s="90"/>
      <c r="AB174" s="90"/>
      <c r="AC174" s="97" t="s">
        <v>945</v>
      </c>
      <c r="AD174" s="90"/>
      <c r="AE174" s="90" t="b">
        <v>0</v>
      </c>
      <c r="AF174" s="90">
        <v>0</v>
      </c>
      <c r="AG174" s="97" t="s">
        <v>1087</v>
      </c>
      <c r="AH174" s="90" t="b">
        <v>0</v>
      </c>
      <c r="AI174" s="90" t="s">
        <v>1127</v>
      </c>
      <c r="AJ174" s="90"/>
      <c r="AK174" s="97" t="s">
        <v>1087</v>
      </c>
      <c r="AL174" s="90" t="b">
        <v>0</v>
      </c>
      <c r="AM174" s="90">
        <v>24</v>
      </c>
      <c r="AN174" s="97" t="s">
        <v>1041</v>
      </c>
      <c r="AO174" s="97" t="s">
        <v>1133</v>
      </c>
      <c r="AP174" s="90" t="b">
        <v>0</v>
      </c>
      <c r="AQ174" s="97" t="s">
        <v>1041</v>
      </c>
      <c r="AR174" s="90" t="s">
        <v>178</v>
      </c>
      <c r="AS174" s="90">
        <v>0</v>
      </c>
      <c r="AT174" s="90">
        <v>0</v>
      </c>
      <c r="AU174" s="90"/>
      <c r="AV174" s="90"/>
      <c r="AW174" s="90"/>
      <c r="AX174" s="90"/>
      <c r="AY174" s="90"/>
      <c r="AZ174" s="90"/>
      <c r="BA174" s="90"/>
      <c r="BB174" s="90"/>
      <c r="BC174">
        <v>1</v>
      </c>
      <c r="BD174" s="89" t="str">
        <f>REPLACE(INDEX(GroupVertices[Group],MATCH(Edges[[#This Row],[Vertex 1]],GroupVertices[Vertex],0)),1,1,"")</f>
        <v>1</v>
      </c>
      <c r="BE174" s="89"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5" t="s">
        <v>326</v>
      </c>
      <c r="B175" s="65" t="s">
        <v>341</v>
      </c>
      <c r="C175" s="66" t="s">
        <v>4405</v>
      </c>
      <c r="D175" s="67">
        <v>1</v>
      </c>
      <c r="E175" s="68" t="s">
        <v>132</v>
      </c>
      <c r="F175" s="69">
        <v>32</v>
      </c>
      <c r="G175" s="66" t="s">
        <v>51</v>
      </c>
      <c r="H175" s="70"/>
      <c r="I175" s="71"/>
      <c r="J175" s="71"/>
      <c r="K175" s="35" t="s">
        <v>65</v>
      </c>
      <c r="L175" s="79">
        <v>175</v>
      </c>
      <c r="M175" s="79"/>
      <c r="N175" s="73"/>
      <c r="O175" s="90" t="s">
        <v>447</v>
      </c>
      <c r="P175" s="93">
        <v>44577.84972222222</v>
      </c>
      <c r="Q175" s="90" t="s">
        <v>514</v>
      </c>
      <c r="R175" s="90"/>
      <c r="S175" s="90"/>
      <c r="T175" s="90"/>
      <c r="U175" s="95" t="str">
        <f>HYPERLINK("https://pbs.twimg.com/media/FJPK-YrWUAYi1BM.jpg")</f>
        <v>https://pbs.twimg.com/media/FJPK-YrWUAYi1BM.jpg</v>
      </c>
      <c r="V175" s="95" t="str">
        <f>HYPERLINK("https://pbs.twimg.com/media/FJPK-YrWUAYi1BM.jpg")</f>
        <v>https://pbs.twimg.com/media/FJPK-YrWUAYi1BM.jpg</v>
      </c>
      <c r="W175" s="93">
        <v>44577.84972222222</v>
      </c>
      <c r="X175" s="102">
        <v>44577</v>
      </c>
      <c r="Y175" s="97" t="s">
        <v>705</v>
      </c>
      <c r="Z175" s="95" t="str">
        <f>HYPERLINK("https://twitter.com/nuuniunna/status/1482810792353411072")</f>
        <v>https://twitter.com/nuuniunna/status/1482810792353411072</v>
      </c>
      <c r="AA175" s="90"/>
      <c r="AB175" s="90"/>
      <c r="AC175" s="97" t="s">
        <v>946</v>
      </c>
      <c r="AD175" s="90"/>
      <c r="AE175" s="90" t="b">
        <v>0</v>
      </c>
      <c r="AF175" s="90">
        <v>0</v>
      </c>
      <c r="AG175" s="97" t="s">
        <v>1087</v>
      </c>
      <c r="AH175" s="90" t="b">
        <v>0</v>
      </c>
      <c r="AI175" s="90" t="s">
        <v>1127</v>
      </c>
      <c r="AJ175" s="90"/>
      <c r="AK175" s="97" t="s">
        <v>1087</v>
      </c>
      <c r="AL175" s="90" t="b">
        <v>0</v>
      </c>
      <c r="AM175" s="90">
        <v>36</v>
      </c>
      <c r="AN175" s="97" t="s">
        <v>1040</v>
      </c>
      <c r="AO175" s="97" t="s">
        <v>1132</v>
      </c>
      <c r="AP175" s="90" t="b">
        <v>0</v>
      </c>
      <c r="AQ175" s="97" t="s">
        <v>1040</v>
      </c>
      <c r="AR175" s="90" t="s">
        <v>178</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4</v>
      </c>
      <c r="BM175" s="50">
        <v>100</v>
      </c>
      <c r="BN175" s="49">
        <v>4</v>
      </c>
    </row>
    <row r="176" spans="1:66" ht="15">
      <c r="A176" s="65" t="s">
        <v>327</v>
      </c>
      <c r="B176" s="65" t="s">
        <v>341</v>
      </c>
      <c r="C176" s="66" t="s">
        <v>4405</v>
      </c>
      <c r="D176" s="67">
        <v>1</v>
      </c>
      <c r="E176" s="68" t="s">
        <v>132</v>
      </c>
      <c r="F176" s="69">
        <v>32</v>
      </c>
      <c r="G176" s="66" t="s">
        <v>51</v>
      </c>
      <c r="H176" s="70"/>
      <c r="I176" s="71"/>
      <c r="J176" s="71"/>
      <c r="K176" s="35" t="s">
        <v>65</v>
      </c>
      <c r="L176" s="79">
        <v>176</v>
      </c>
      <c r="M176" s="79"/>
      <c r="N176" s="73"/>
      <c r="O176" s="90" t="s">
        <v>447</v>
      </c>
      <c r="P176" s="93">
        <v>44577.85380787037</v>
      </c>
      <c r="Q176" s="90" t="s">
        <v>514</v>
      </c>
      <c r="R176" s="90"/>
      <c r="S176" s="90"/>
      <c r="T176" s="90"/>
      <c r="U176" s="95" t="str">
        <f>HYPERLINK("https://pbs.twimg.com/media/FJPK-YrWUAYi1BM.jpg")</f>
        <v>https://pbs.twimg.com/media/FJPK-YrWUAYi1BM.jpg</v>
      </c>
      <c r="V176" s="95" t="str">
        <f>HYPERLINK("https://pbs.twimg.com/media/FJPK-YrWUAYi1BM.jpg")</f>
        <v>https://pbs.twimg.com/media/FJPK-YrWUAYi1BM.jpg</v>
      </c>
      <c r="W176" s="93">
        <v>44577.85380787037</v>
      </c>
      <c r="X176" s="102">
        <v>44577</v>
      </c>
      <c r="Y176" s="97" t="s">
        <v>706</v>
      </c>
      <c r="Z176" s="95" t="str">
        <f>HYPERLINK("https://twitter.com/anne92445057/status/1482812270027673606")</f>
        <v>https://twitter.com/anne92445057/status/1482812270027673606</v>
      </c>
      <c r="AA176" s="90"/>
      <c r="AB176" s="90"/>
      <c r="AC176" s="97" t="s">
        <v>947</v>
      </c>
      <c r="AD176" s="90"/>
      <c r="AE176" s="90" t="b">
        <v>0</v>
      </c>
      <c r="AF176" s="90">
        <v>0</v>
      </c>
      <c r="AG176" s="97" t="s">
        <v>1087</v>
      </c>
      <c r="AH176" s="90" t="b">
        <v>0</v>
      </c>
      <c r="AI176" s="90" t="s">
        <v>1127</v>
      </c>
      <c r="AJ176" s="90"/>
      <c r="AK176" s="97" t="s">
        <v>1087</v>
      </c>
      <c r="AL176" s="90" t="b">
        <v>0</v>
      </c>
      <c r="AM176" s="90">
        <v>36</v>
      </c>
      <c r="AN176" s="97" t="s">
        <v>1040</v>
      </c>
      <c r="AO176" s="97" t="s">
        <v>1133</v>
      </c>
      <c r="AP176" s="90" t="b">
        <v>0</v>
      </c>
      <c r="AQ176" s="97" t="s">
        <v>1040</v>
      </c>
      <c r="AR176" s="90" t="s">
        <v>178</v>
      </c>
      <c r="AS176" s="90">
        <v>0</v>
      </c>
      <c r="AT176" s="90">
        <v>0</v>
      </c>
      <c r="AU176" s="90"/>
      <c r="AV176" s="90"/>
      <c r="AW176" s="90"/>
      <c r="AX176" s="90"/>
      <c r="AY176" s="90"/>
      <c r="AZ176" s="90"/>
      <c r="BA176" s="90"/>
      <c r="BB176" s="90"/>
      <c r="BC176">
        <v>1</v>
      </c>
      <c r="BD176" s="89" t="str">
        <f>REPLACE(INDEX(GroupVertices[Group],MATCH(Edges[[#This Row],[Vertex 1]],GroupVertices[Vertex],0)),1,1,"")</f>
        <v>1</v>
      </c>
      <c r="BE176" s="89" t="str">
        <f>REPLACE(INDEX(GroupVertices[Group],MATCH(Edges[[#This Row],[Vertex 2]],GroupVertices[Vertex],0)),1,1,"")</f>
        <v>1</v>
      </c>
      <c r="BF176" s="49">
        <v>0</v>
      </c>
      <c r="BG176" s="50">
        <v>0</v>
      </c>
      <c r="BH176" s="49">
        <v>0</v>
      </c>
      <c r="BI176" s="50">
        <v>0</v>
      </c>
      <c r="BJ176" s="49">
        <v>0</v>
      </c>
      <c r="BK176" s="50">
        <v>0</v>
      </c>
      <c r="BL176" s="49">
        <v>4</v>
      </c>
      <c r="BM176" s="50">
        <v>100</v>
      </c>
      <c r="BN176" s="49">
        <v>4</v>
      </c>
    </row>
    <row r="177" spans="1:66" ht="15">
      <c r="A177" s="65" t="s">
        <v>328</v>
      </c>
      <c r="B177" s="65" t="s">
        <v>341</v>
      </c>
      <c r="C177" s="66" t="s">
        <v>4405</v>
      </c>
      <c r="D177" s="67">
        <v>1</v>
      </c>
      <c r="E177" s="68" t="s">
        <v>132</v>
      </c>
      <c r="F177" s="69">
        <v>32</v>
      </c>
      <c r="G177" s="66" t="s">
        <v>51</v>
      </c>
      <c r="H177" s="70"/>
      <c r="I177" s="71"/>
      <c r="J177" s="71"/>
      <c r="K177" s="35" t="s">
        <v>65</v>
      </c>
      <c r="L177" s="79">
        <v>177</v>
      </c>
      <c r="M177" s="79"/>
      <c r="N177" s="73"/>
      <c r="O177" s="90" t="s">
        <v>447</v>
      </c>
      <c r="P177" s="93">
        <v>44577.860601851855</v>
      </c>
      <c r="Q177" s="90" t="s">
        <v>520</v>
      </c>
      <c r="R177" s="90"/>
      <c r="S177" s="90"/>
      <c r="T177" s="90"/>
      <c r="U177" s="90"/>
      <c r="V177" s="95" t="str">
        <f>HYPERLINK("https://pbs.twimg.com/profile_images/1471388000806445056/CTpivI3B_normal.jpg")</f>
        <v>https://pbs.twimg.com/profile_images/1471388000806445056/CTpivI3B_normal.jpg</v>
      </c>
      <c r="W177" s="93">
        <v>44577.860601851855</v>
      </c>
      <c r="X177" s="102">
        <v>44577</v>
      </c>
      <c r="Y177" s="97" t="s">
        <v>707</v>
      </c>
      <c r="Z177" s="95" t="str">
        <f>HYPERLINK("https://twitter.com/jmaalalr007/status/1482814735636697088")</f>
        <v>https://twitter.com/jmaalalr007/status/1482814735636697088</v>
      </c>
      <c r="AA177" s="90"/>
      <c r="AB177" s="90"/>
      <c r="AC177" s="97" t="s">
        <v>948</v>
      </c>
      <c r="AD177" s="90"/>
      <c r="AE177" s="90" t="b">
        <v>0</v>
      </c>
      <c r="AF177" s="90">
        <v>0</v>
      </c>
      <c r="AG177" s="97" t="s">
        <v>1087</v>
      </c>
      <c r="AH177" s="90" t="b">
        <v>0</v>
      </c>
      <c r="AI177" s="90" t="s">
        <v>1127</v>
      </c>
      <c r="AJ177" s="90"/>
      <c r="AK177" s="97" t="s">
        <v>1087</v>
      </c>
      <c r="AL177" s="90" t="b">
        <v>0</v>
      </c>
      <c r="AM177" s="90">
        <v>24</v>
      </c>
      <c r="AN177" s="97" t="s">
        <v>1041</v>
      </c>
      <c r="AO177" s="97" t="s">
        <v>1133</v>
      </c>
      <c r="AP177" s="90" t="b">
        <v>0</v>
      </c>
      <c r="AQ177" s="97" t="s">
        <v>1041</v>
      </c>
      <c r="AR177" s="90" t="s">
        <v>178</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5" t="s">
        <v>329</v>
      </c>
      <c r="B178" s="65" t="s">
        <v>438</v>
      </c>
      <c r="C178" s="66" t="s">
        <v>4406</v>
      </c>
      <c r="D178" s="67">
        <v>1</v>
      </c>
      <c r="E178" s="68" t="s">
        <v>132</v>
      </c>
      <c r="F178" s="69">
        <v>32</v>
      </c>
      <c r="G178" s="66" t="s">
        <v>51</v>
      </c>
      <c r="H178" s="70"/>
      <c r="I178" s="71"/>
      <c r="J178" s="71"/>
      <c r="K178" s="35" t="s">
        <v>65</v>
      </c>
      <c r="L178" s="79">
        <v>178</v>
      </c>
      <c r="M178" s="79"/>
      <c r="N178" s="73"/>
      <c r="O178" s="90" t="s">
        <v>449</v>
      </c>
      <c r="P178" s="93">
        <v>44576.67668981481</v>
      </c>
      <c r="Q178" s="90" t="s">
        <v>524</v>
      </c>
      <c r="R178" s="90"/>
      <c r="S178" s="90"/>
      <c r="T178" s="90"/>
      <c r="U178" s="90"/>
      <c r="V178" s="95" t="str">
        <f>HYPERLINK("https://abs.twimg.com/sticky/default_profile_images/default_profile_normal.png")</f>
        <v>https://abs.twimg.com/sticky/default_profile_images/default_profile_normal.png</v>
      </c>
      <c r="W178" s="93">
        <v>44576.67668981481</v>
      </c>
      <c r="X178" s="102">
        <v>44576</v>
      </c>
      <c r="Y178" s="97" t="s">
        <v>708</v>
      </c>
      <c r="Z178" s="95" t="str">
        <f>HYPERLINK("https://twitter.com/erkhei/status/1482385696375586823")</f>
        <v>https://twitter.com/erkhei/status/1482385696375586823</v>
      </c>
      <c r="AA178" s="90"/>
      <c r="AB178" s="90"/>
      <c r="AC178" s="97" t="s">
        <v>949</v>
      </c>
      <c r="AD178" s="97" t="s">
        <v>1070</v>
      </c>
      <c r="AE178" s="90" t="b">
        <v>0</v>
      </c>
      <c r="AF178" s="90">
        <v>1</v>
      </c>
      <c r="AG178" s="97" t="s">
        <v>1110</v>
      </c>
      <c r="AH178" s="90" t="b">
        <v>0</v>
      </c>
      <c r="AI178" s="90" t="s">
        <v>1127</v>
      </c>
      <c r="AJ178" s="90"/>
      <c r="AK178" s="97" t="s">
        <v>1087</v>
      </c>
      <c r="AL178" s="90" t="b">
        <v>0</v>
      </c>
      <c r="AM178" s="90">
        <v>0</v>
      </c>
      <c r="AN178" s="97" t="s">
        <v>1087</v>
      </c>
      <c r="AO178" s="97" t="s">
        <v>1133</v>
      </c>
      <c r="AP178" s="90" t="b">
        <v>0</v>
      </c>
      <c r="AQ178" s="97" t="s">
        <v>1070</v>
      </c>
      <c r="AR178" s="90" t="s">
        <v>178</v>
      </c>
      <c r="AS178" s="90">
        <v>0</v>
      </c>
      <c r="AT178" s="90">
        <v>0</v>
      </c>
      <c r="AU178" s="90"/>
      <c r="AV178" s="90"/>
      <c r="AW178" s="90"/>
      <c r="AX178" s="90"/>
      <c r="AY178" s="90"/>
      <c r="AZ178" s="90"/>
      <c r="BA178" s="90"/>
      <c r="BB178" s="90"/>
      <c r="BC178">
        <v>2</v>
      </c>
      <c r="BD178" s="89" t="str">
        <f>REPLACE(INDEX(GroupVertices[Group],MATCH(Edges[[#This Row],[Vertex 1]],GroupVertices[Vertex],0)),1,1,"")</f>
        <v>3</v>
      </c>
      <c r="BE178" s="89" t="str">
        <f>REPLACE(INDEX(GroupVertices[Group],MATCH(Edges[[#This Row],[Vertex 2]],GroupVertices[Vertex],0)),1,1,"")</f>
        <v>3</v>
      </c>
      <c r="BF178" s="49"/>
      <c r="BG178" s="50"/>
      <c r="BH178" s="49"/>
      <c r="BI178" s="50"/>
      <c r="BJ178" s="49"/>
      <c r="BK178" s="50"/>
      <c r="BL178" s="49"/>
      <c r="BM178" s="50"/>
      <c r="BN178" s="49"/>
    </row>
    <row r="179" spans="1:66" ht="15">
      <c r="A179" s="65" t="s">
        <v>329</v>
      </c>
      <c r="B179" s="65" t="s">
        <v>438</v>
      </c>
      <c r="C179" s="66" t="s">
        <v>4406</v>
      </c>
      <c r="D179" s="67">
        <v>1</v>
      </c>
      <c r="E179" s="68" t="s">
        <v>132</v>
      </c>
      <c r="F179" s="69">
        <v>32</v>
      </c>
      <c r="G179" s="66" t="s">
        <v>51</v>
      </c>
      <c r="H179" s="70"/>
      <c r="I179" s="71"/>
      <c r="J179" s="71"/>
      <c r="K179" s="35" t="s">
        <v>65</v>
      </c>
      <c r="L179" s="79">
        <v>179</v>
      </c>
      <c r="M179" s="79"/>
      <c r="N179" s="73"/>
      <c r="O179" s="90" t="s">
        <v>449</v>
      </c>
      <c r="P179" s="93">
        <v>44577.863078703704</v>
      </c>
      <c r="Q179" s="90" t="s">
        <v>525</v>
      </c>
      <c r="R179" s="90"/>
      <c r="S179" s="90"/>
      <c r="T179" s="90"/>
      <c r="U179" s="90"/>
      <c r="V179" s="95" t="str">
        <f>HYPERLINK("https://abs.twimg.com/sticky/default_profile_images/default_profile_normal.png")</f>
        <v>https://abs.twimg.com/sticky/default_profile_images/default_profile_normal.png</v>
      </c>
      <c r="W179" s="93">
        <v>44577.863078703704</v>
      </c>
      <c r="X179" s="102">
        <v>44577</v>
      </c>
      <c r="Y179" s="97" t="s">
        <v>709</v>
      </c>
      <c r="Z179" s="95" t="str">
        <f>HYPERLINK("https://twitter.com/erkhei/status/1482815629174444035")</f>
        <v>https://twitter.com/erkhei/status/1482815629174444035</v>
      </c>
      <c r="AA179" s="90"/>
      <c r="AB179" s="90"/>
      <c r="AC179" s="97" t="s">
        <v>950</v>
      </c>
      <c r="AD179" s="97" t="s">
        <v>1078</v>
      </c>
      <c r="AE179" s="90" t="b">
        <v>0</v>
      </c>
      <c r="AF179" s="90">
        <v>1</v>
      </c>
      <c r="AG179" s="97" t="s">
        <v>1119</v>
      </c>
      <c r="AH179" s="90" t="b">
        <v>0</v>
      </c>
      <c r="AI179" s="90" t="s">
        <v>1127</v>
      </c>
      <c r="AJ179" s="90"/>
      <c r="AK179" s="97" t="s">
        <v>1087</v>
      </c>
      <c r="AL179" s="90" t="b">
        <v>0</v>
      </c>
      <c r="AM179" s="90">
        <v>0</v>
      </c>
      <c r="AN179" s="97" t="s">
        <v>1087</v>
      </c>
      <c r="AO179" s="97" t="s">
        <v>1133</v>
      </c>
      <c r="AP179" s="90" t="b">
        <v>0</v>
      </c>
      <c r="AQ179" s="97" t="s">
        <v>1078</v>
      </c>
      <c r="AR179" s="90" t="s">
        <v>178</v>
      </c>
      <c r="AS179" s="90">
        <v>0</v>
      </c>
      <c r="AT179" s="90">
        <v>0</v>
      </c>
      <c r="AU179" s="90"/>
      <c r="AV179" s="90"/>
      <c r="AW179" s="90"/>
      <c r="AX179" s="90"/>
      <c r="AY179" s="90"/>
      <c r="AZ179" s="90"/>
      <c r="BA179" s="90"/>
      <c r="BB179" s="90"/>
      <c r="BC179">
        <v>2</v>
      </c>
      <c r="BD179" s="89" t="str">
        <f>REPLACE(INDEX(GroupVertices[Group],MATCH(Edges[[#This Row],[Vertex 1]],GroupVertices[Vertex],0)),1,1,"")</f>
        <v>3</v>
      </c>
      <c r="BE179" s="89" t="str">
        <f>REPLACE(INDEX(GroupVertices[Group],MATCH(Edges[[#This Row],[Vertex 2]],GroupVertices[Vertex],0)),1,1,"")</f>
        <v>3</v>
      </c>
      <c r="BF179" s="49"/>
      <c r="BG179" s="50"/>
      <c r="BH179" s="49"/>
      <c r="BI179" s="50"/>
      <c r="BJ179" s="49"/>
      <c r="BK179" s="50"/>
      <c r="BL179" s="49"/>
      <c r="BM179" s="50"/>
      <c r="BN179" s="49"/>
    </row>
    <row r="180" spans="1:66" ht="15">
      <c r="A180" s="65" t="s">
        <v>329</v>
      </c>
      <c r="B180" s="65" t="s">
        <v>439</v>
      </c>
      <c r="C180" s="66" t="s">
        <v>4406</v>
      </c>
      <c r="D180" s="67">
        <v>1</v>
      </c>
      <c r="E180" s="68" t="s">
        <v>132</v>
      </c>
      <c r="F180" s="69">
        <v>32</v>
      </c>
      <c r="G180" s="66" t="s">
        <v>51</v>
      </c>
      <c r="H180" s="70"/>
      <c r="I180" s="71"/>
      <c r="J180" s="71"/>
      <c r="K180" s="35" t="s">
        <v>65</v>
      </c>
      <c r="L180" s="79">
        <v>180</v>
      </c>
      <c r="M180" s="79"/>
      <c r="N180" s="73"/>
      <c r="O180" s="90" t="s">
        <v>449</v>
      </c>
      <c r="P180" s="93">
        <v>44576.67668981481</v>
      </c>
      <c r="Q180" s="90" t="s">
        <v>524</v>
      </c>
      <c r="R180" s="90"/>
      <c r="S180" s="90"/>
      <c r="T180" s="90"/>
      <c r="U180" s="90"/>
      <c r="V180" s="95" t="str">
        <f>HYPERLINK("https://abs.twimg.com/sticky/default_profile_images/default_profile_normal.png")</f>
        <v>https://abs.twimg.com/sticky/default_profile_images/default_profile_normal.png</v>
      </c>
      <c r="W180" s="93">
        <v>44576.67668981481</v>
      </c>
      <c r="X180" s="102">
        <v>44576</v>
      </c>
      <c r="Y180" s="97" t="s">
        <v>708</v>
      </c>
      <c r="Z180" s="95" t="str">
        <f>HYPERLINK("https://twitter.com/erkhei/status/1482385696375586823")</f>
        <v>https://twitter.com/erkhei/status/1482385696375586823</v>
      </c>
      <c r="AA180" s="90"/>
      <c r="AB180" s="90"/>
      <c r="AC180" s="97" t="s">
        <v>949</v>
      </c>
      <c r="AD180" s="97" t="s">
        <v>1070</v>
      </c>
      <c r="AE180" s="90" t="b">
        <v>0</v>
      </c>
      <c r="AF180" s="90">
        <v>1</v>
      </c>
      <c r="AG180" s="97" t="s">
        <v>1110</v>
      </c>
      <c r="AH180" s="90" t="b">
        <v>0</v>
      </c>
      <c r="AI180" s="90" t="s">
        <v>1127</v>
      </c>
      <c r="AJ180" s="90"/>
      <c r="AK180" s="97" t="s">
        <v>1087</v>
      </c>
      <c r="AL180" s="90" t="b">
        <v>0</v>
      </c>
      <c r="AM180" s="90">
        <v>0</v>
      </c>
      <c r="AN180" s="97" t="s">
        <v>1087</v>
      </c>
      <c r="AO180" s="97" t="s">
        <v>1133</v>
      </c>
      <c r="AP180" s="90" t="b">
        <v>0</v>
      </c>
      <c r="AQ180" s="97" t="s">
        <v>1070</v>
      </c>
      <c r="AR180" s="90" t="s">
        <v>178</v>
      </c>
      <c r="AS180" s="90">
        <v>0</v>
      </c>
      <c r="AT180" s="90">
        <v>0</v>
      </c>
      <c r="AU180" s="90"/>
      <c r="AV180" s="90"/>
      <c r="AW180" s="90"/>
      <c r="AX180" s="90"/>
      <c r="AY180" s="90"/>
      <c r="AZ180" s="90"/>
      <c r="BA180" s="90"/>
      <c r="BB180" s="90"/>
      <c r="BC180">
        <v>2</v>
      </c>
      <c r="BD180" s="89" t="str">
        <f>REPLACE(INDEX(GroupVertices[Group],MATCH(Edges[[#This Row],[Vertex 1]],GroupVertices[Vertex],0)),1,1,"")</f>
        <v>3</v>
      </c>
      <c r="BE180" s="89" t="str">
        <f>REPLACE(INDEX(GroupVertices[Group],MATCH(Edges[[#This Row],[Vertex 2]],GroupVertices[Vertex],0)),1,1,"")</f>
        <v>3</v>
      </c>
      <c r="BF180" s="49">
        <v>0</v>
      </c>
      <c r="BG180" s="50">
        <v>0</v>
      </c>
      <c r="BH180" s="49">
        <v>0</v>
      </c>
      <c r="BI180" s="50">
        <v>0</v>
      </c>
      <c r="BJ180" s="49">
        <v>0</v>
      </c>
      <c r="BK180" s="50">
        <v>0</v>
      </c>
      <c r="BL180" s="49">
        <v>32</v>
      </c>
      <c r="BM180" s="50">
        <v>100</v>
      </c>
      <c r="BN180" s="49">
        <v>32</v>
      </c>
    </row>
    <row r="181" spans="1:66" ht="15">
      <c r="A181" s="65" t="s">
        <v>329</v>
      </c>
      <c r="B181" s="65" t="s">
        <v>439</v>
      </c>
      <c r="C181" s="66" t="s">
        <v>4406</v>
      </c>
      <c r="D181" s="67">
        <v>1</v>
      </c>
      <c r="E181" s="68" t="s">
        <v>132</v>
      </c>
      <c r="F181" s="69">
        <v>32</v>
      </c>
      <c r="G181" s="66" t="s">
        <v>51</v>
      </c>
      <c r="H181" s="70"/>
      <c r="I181" s="71"/>
      <c r="J181" s="71"/>
      <c r="K181" s="35" t="s">
        <v>65</v>
      </c>
      <c r="L181" s="79">
        <v>181</v>
      </c>
      <c r="M181" s="79"/>
      <c r="N181" s="73"/>
      <c r="O181" s="90" t="s">
        <v>449</v>
      </c>
      <c r="P181" s="93">
        <v>44577.863078703704</v>
      </c>
      <c r="Q181" s="90" t="s">
        <v>525</v>
      </c>
      <c r="R181" s="90"/>
      <c r="S181" s="90"/>
      <c r="T181" s="90"/>
      <c r="U181" s="90"/>
      <c r="V181" s="95" t="str">
        <f>HYPERLINK("https://abs.twimg.com/sticky/default_profile_images/default_profile_normal.png")</f>
        <v>https://abs.twimg.com/sticky/default_profile_images/default_profile_normal.png</v>
      </c>
      <c r="W181" s="93">
        <v>44577.863078703704</v>
      </c>
      <c r="X181" s="102">
        <v>44577</v>
      </c>
      <c r="Y181" s="97" t="s">
        <v>709</v>
      </c>
      <c r="Z181" s="95" t="str">
        <f>HYPERLINK("https://twitter.com/erkhei/status/1482815629174444035")</f>
        <v>https://twitter.com/erkhei/status/1482815629174444035</v>
      </c>
      <c r="AA181" s="90"/>
      <c r="AB181" s="90"/>
      <c r="AC181" s="97" t="s">
        <v>950</v>
      </c>
      <c r="AD181" s="97" t="s">
        <v>1078</v>
      </c>
      <c r="AE181" s="90" t="b">
        <v>0</v>
      </c>
      <c r="AF181" s="90">
        <v>1</v>
      </c>
      <c r="AG181" s="97" t="s">
        <v>1119</v>
      </c>
      <c r="AH181" s="90" t="b">
        <v>0</v>
      </c>
      <c r="AI181" s="90" t="s">
        <v>1127</v>
      </c>
      <c r="AJ181" s="90"/>
      <c r="AK181" s="97" t="s">
        <v>1087</v>
      </c>
      <c r="AL181" s="90" t="b">
        <v>0</v>
      </c>
      <c r="AM181" s="90">
        <v>0</v>
      </c>
      <c r="AN181" s="97" t="s">
        <v>1087</v>
      </c>
      <c r="AO181" s="97" t="s">
        <v>1133</v>
      </c>
      <c r="AP181" s="90" t="b">
        <v>0</v>
      </c>
      <c r="AQ181" s="97" t="s">
        <v>1078</v>
      </c>
      <c r="AR181" s="90" t="s">
        <v>178</v>
      </c>
      <c r="AS181" s="90">
        <v>0</v>
      </c>
      <c r="AT181" s="90">
        <v>0</v>
      </c>
      <c r="AU181" s="90"/>
      <c r="AV181" s="90"/>
      <c r="AW181" s="90"/>
      <c r="AX181" s="90"/>
      <c r="AY181" s="90"/>
      <c r="AZ181" s="90"/>
      <c r="BA181" s="90"/>
      <c r="BB181" s="90"/>
      <c r="BC181">
        <v>2</v>
      </c>
      <c r="BD181" s="89" t="str">
        <f>REPLACE(INDEX(GroupVertices[Group],MATCH(Edges[[#This Row],[Vertex 1]],GroupVertices[Vertex],0)),1,1,"")</f>
        <v>3</v>
      </c>
      <c r="BE181" s="89" t="str">
        <f>REPLACE(INDEX(GroupVertices[Group],MATCH(Edges[[#This Row],[Vertex 2]],GroupVertices[Vertex],0)),1,1,"")</f>
        <v>3</v>
      </c>
      <c r="BF181" s="49"/>
      <c r="BG181" s="50"/>
      <c r="BH181" s="49"/>
      <c r="BI181" s="50"/>
      <c r="BJ181" s="49"/>
      <c r="BK181" s="50"/>
      <c r="BL181" s="49"/>
      <c r="BM181" s="50"/>
      <c r="BN181" s="49"/>
    </row>
    <row r="182" spans="1:66" ht="15">
      <c r="A182" s="65" t="s">
        <v>329</v>
      </c>
      <c r="B182" s="65" t="s">
        <v>431</v>
      </c>
      <c r="C182" s="66" t="s">
        <v>4405</v>
      </c>
      <c r="D182" s="67">
        <v>1</v>
      </c>
      <c r="E182" s="68" t="s">
        <v>132</v>
      </c>
      <c r="F182" s="69">
        <v>32</v>
      </c>
      <c r="G182" s="66" t="s">
        <v>51</v>
      </c>
      <c r="H182" s="70"/>
      <c r="I182" s="71"/>
      <c r="J182" s="71"/>
      <c r="K182" s="35" t="s">
        <v>65</v>
      </c>
      <c r="L182" s="79">
        <v>182</v>
      </c>
      <c r="M182" s="79"/>
      <c r="N182" s="73"/>
      <c r="O182" s="90" t="s">
        <v>448</v>
      </c>
      <c r="P182" s="93">
        <v>44576.67668981481</v>
      </c>
      <c r="Q182" s="90" t="s">
        <v>524</v>
      </c>
      <c r="R182" s="90"/>
      <c r="S182" s="90"/>
      <c r="T182" s="90"/>
      <c r="U182" s="90"/>
      <c r="V182" s="95" t="str">
        <f>HYPERLINK("https://abs.twimg.com/sticky/default_profile_images/default_profile_normal.png")</f>
        <v>https://abs.twimg.com/sticky/default_profile_images/default_profile_normal.png</v>
      </c>
      <c r="W182" s="93">
        <v>44576.67668981481</v>
      </c>
      <c r="X182" s="102">
        <v>44576</v>
      </c>
      <c r="Y182" s="97" t="s">
        <v>708</v>
      </c>
      <c r="Z182" s="95" t="str">
        <f>HYPERLINK("https://twitter.com/erkhei/status/1482385696375586823")</f>
        <v>https://twitter.com/erkhei/status/1482385696375586823</v>
      </c>
      <c r="AA182" s="90"/>
      <c r="AB182" s="90"/>
      <c r="AC182" s="97" t="s">
        <v>949</v>
      </c>
      <c r="AD182" s="97" t="s">
        <v>1070</v>
      </c>
      <c r="AE182" s="90" t="b">
        <v>0</v>
      </c>
      <c r="AF182" s="90">
        <v>1</v>
      </c>
      <c r="AG182" s="97" t="s">
        <v>1110</v>
      </c>
      <c r="AH182" s="90" t="b">
        <v>0</v>
      </c>
      <c r="AI182" s="90" t="s">
        <v>1127</v>
      </c>
      <c r="AJ182" s="90"/>
      <c r="AK182" s="97" t="s">
        <v>1087</v>
      </c>
      <c r="AL182" s="90" t="b">
        <v>0</v>
      </c>
      <c r="AM182" s="90">
        <v>0</v>
      </c>
      <c r="AN182" s="97" t="s">
        <v>1087</v>
      </c>
      <c r="AO182" s="97" t="s">
        <v>1133</v>
      </c>
      <c r="AP182" s="90" t="b">
        <v>0</v>
      </c>
      <c r="AQ182" s="97" t="s">
        <v>1070</v>
      </c>
      <c r="AR182" s="90" t="s">
        <v>178</v>
      </c>
      <c r="AS182" s="90">
        <v>0</v>
      </c>
      <c r="AT182" s="90">
        <v>0</v>
      </c>
      <c r="AU182" s="90"/>
      <c r="AV182" s="90"/>
      <c r="AW182" s="90"/>
      <c r="AX182" s="90"/>
      <c r="AY182" s="90"/>
      <c r="AZ182" s="90"/>
      <c r="BA182" s="90"/>
      <c r="BB182" s="90"/>
      <c r="BC182">
        <v>1</v>
      </c>
      <c r="BD182" s="89" t="str">
        <f>REPLACE(INDEX(GroupVertices[Group],MATCH(Edges[[#This Row],[Vertex 1]],GroupVertices[Vertex],0)),1,1,"")</f>
        <v>3</v>
      </c>
      <c r="BE182" s="89" t="str">
        <f>REPLACE(INDEX(GroupVertices[Group],MATCH(Edges[[#This Row],[Vertex 2]],GroupVertices[Vertex],0)),1,1,"")</f>
        <v>3</v>
      </c>
      <c r="BF182" s="49"/>
      <c r="BG182" s="50"/>
      <c r="BH182" s="49"/>
      <c r="BI182" s="50"/>
      <c r="BJ182" s="49"/>
      <c r="BK182" s="50"/>
      <c r="BL182" s="49"/>
      <c r="BM182" s="50"/>
      <c r="BN182" s="49"/>
    </row>
    <row r="183" spans="1:66" ht="15">
      <c r="A183" s="65" t="s">
        <v>329</v>
      </c>
      <c r="B183" s="65" t="s">
        <v>431</v>
      </c>
      <c r="C183" s="66" t="s">
        <v>4405</v>
      </c>
      <c r="D183" s="67">
        <v>1</v>
      </c>
      <c r="E183" s="68" t="s">
        <v>132</v>
      </c>
      <c r="F183" s="69">
        <v>32</v>
      </c>
      <c r="G183" s="66" t="s">
        <v>51</v>
      </c>
      <c r="H183" s="70"/>
      <c r="I183" s="71"/>
      <c r="J183" s="71"/>
      <c r="K183" s="35" t="s">
        <v>65</v>
      </c>
      <c r="L183" s="79">
        <v>183</v>
      </c>
      <c r="M183" s="79"/>
      <c r="N183" s="73"/>
      <c r="O183" s="90" t="s">
        <v>449</v>
      </c>
      <c r="P183" s="93">
        <v>44577.863078703704</v>
      </c>
      <c r="Q183" s="90" t="s">
        <v>525</v>
      </c>
      <c r="R183" s="90"/>
      <c r="S183" s="90"/>
      <c r="T183" s="90"/>
      <c r="U183" s="90"/>
      <c r="V183" s="95" t="str">
        <f>HYPERLINK("https://abs.twimg.com/sticky/default_profile_images/default_profile_normal.png")</f>
        <v>https://abs.twimg.com/sticky/default_profile_images/default_profile_normal.png</v>
      </c>
      <c r="W183" s="93">
        <v>44577.863078703704</v>
      </c>
      <c r="X183" s="102">
        <v>44577</v>
      </c>
      <c r="Y183" s="97" t="s">
        <v>709</v>
      </c>
      <c r="Z183" s="95" t="str">
        <f>HYPERLINK("https://twitter.com/erkhei/status/1482815629174444035")</f>
        <v>https://twitter.com/erkhei/status/1482815629174444035</v>
      </c>
      <c r="AA183" s="90"/>
      <c r="AB183" s="90"/>
      <c r="AC183" s="97" t="s">
        <v>950</v>
      </c>
      <c r="AD183" s="97" t="s">
        <v>1078</v>
      </c>
      <c r="AE183" s="90" t="b">
        <v>0</v>
      </c>
      <c r="AF183" s="90">
        <v>1</v>
      </c>
      <c r="AG183" s="97" t="s">
        <v>1119</v>
      </c>
      <c r="AH183" s="90" t="b">
        <v>0</v>
      </c>
      <c r="AI183" s="90" t="s">
        <v>1127</v>
      </c>
      <c r="AJ183" s="90"/>
      <c r="AK183" s="97" t="s">
        <v>1087</v>
      </c>
      <c r="AL183" s="90" t="b">
        <v>0</v>
      </c>
      <c r="AM183" s="90">
        <v>0</v>
      </c>
      <c r="AN183" s="97" t="s">
        <v>1087</v>
      </c>
      <c r="AO183" s="97" t="s">
        <v>1133</v>
      </c>
      <c r="AP183" s="90" t="b">
        <v>0</v>
      </c>
      <c r="AQ183" s="97" t="s">
        <v>1078</v>
      </c>
      <c r="AR183" s="90" t="s">
        <v>178</v>
      </c>
      <c r="AS183" s="90">
        <v>0</v>
      </c>
      <c r="AT183" s="90">
        <v>0</v>
      </c>
      <c r="AU183" s="90"/>
      <c r="AV183" s="90"/>
      <c r="AW183" s="90"/>
      <c r="AX183" s="90"/>
      <c r="AY183" s="90"/>
      <c r="AZ183" s="90"/>
      <c r="BA183" s="90"/>
      <c r="BB183" s="90"/>
      <c r="BC183">
        <v>1</v>
      </c>
      <c r="BD183" s="89" t="str">
        <f>REPLACE(INDEX(GroupVertices[Group],MATCH(Edges[[#This Row],[Vertex 1]],GroupVertices[Vertex],0)),1,1,"")</f>
        <v>3</v>
      </c>
      <c r="BE183" s="89" t="str">
        <f>REPLACE(INDEX(GroupVertices[Group],MATCH(Edges[[#This Row],[Vertex 2]],GroupVertices[Vertex],0)),1,1,"")</f>
        <v>3</v>
      </c>
      <c r="BF183" s="49"/>
      <c r="BG183" s="50"/>
      <c r="BH183" s="49"/>
      <c r="BI183" s="50"/>
      <c r="BJ183" s="49"/>
      <c r="BK183" s="50"/>
      <c r="BL183" s="49"/>
      <c r="BM183" s="50"/>
      <c r="BN183" s="49"/>
    </row>
    <row r="184" spans="1:66" ht="15">
      <c r="A184" s="65" t="s">
        <v>329</v>
      </c>
      <c r="B184" s="65" t="s">
        <v>440</v>
      </c>
      <c r="C184" s="66" t="s">
        <v>4405</v>
      </c>
      <c r="D184" s="67">
        <v>1</v>
      </c>
      <c r="E184" s="68" t="s">
        <v>132</v>
      </c>
      <c r="F184" s="69">
        <v>32</v>
      </c>
      <c r="G184" s="66" t="s">
        <v>51</v>
      </c>
      <c r="H184" s="70"/>
      <c r="I184" s="71"/>
      <c r="J184" s="71"/>
      <c r="K184" s="35" t="s">
        <v>65</v>
      </c>
      <c r="L184" s="79">
        <v>184</v>
      </c>
      <c r="M184" s="79"/>
      <c r="N184" s="73"/>
      <c r="O184" s="90" t="s">
        <v>448</v>
      </c>
      <c r="P184" s="93">
        <v>44577.863078703704</v>
      </c>
      <c r="Q184" s="90" t="s">
        <v>525</v>
      </c>
      <c r="R184" s="90"/>
      <c r="S184" s="90"/>
      <c r="T184" s="90"/>
      <c r="U184" s="90"/>
      <c r="V184" s="95" t="str">
        <f>HYPERLINK("https://abs.twimg.com/sticky/default_profile_images/default_profile_normal.png")</f>
        <v>https://abs.twimg.com/sticky/default_profile_images/default_profile_normal.png</v>
      </c>
      <c r="W184" s="93">
        <v>44577.863078703704</v>
      </c>
      <c r="X184" s="102">
        <v>44577</v>
      </c>
      <c r="Y184" s="97" t="s">
        <v>709</v>
      </c>
      <c r="Z184" s="95" t="str">
        <f>HYPERLINK("https://twitter.com/erkhei/status/1482815629174444035")</f>
        <v>https://twitter.com/erkhei/status/1482815629174444035</v>
      </c>
      <c r="AA184" s="90"/>
      <c r="AB184" s="90"/>
      <c r="AC184" s="97" t="s">
        <v>950</v>
      </c>
      <c r="AD184" s="97" t="s">
        <v>1078</v>
      </c>
      <c r="AE184" s="90" t="b">
        <v>0</v>
      </c>
      <c r="AF184" s="90">
        <v>1</v>
      </c>
      <c r="AG184" s="97" t="s">
        <v>1119</v>
      </c>
      <c r="AH184" s="90" t="b">
        <v>0</v>
      </c>
      <c r="AI184" s="90" t="s">
        <v>1127</v>
      </c>
      <c r="AJ184" s="90"/>
      <c r="AK184" s="97" t="s">
        <v>1087</v>
      </c>
      <c r="AL184" s="90" t="b">
        <v>0</v>
      </c>
      <c r="AM184" s="90">
        <v>0</v>
      </c>
      <c r="AN184" s="97" t="s">
        <v>1087</v>
      </c>
      <c r="AO184" s="97" t="s">
        <v>1133</v>
      </c>
      <c r="AP184" s="90" t="b">
        <v>0</v>
      </c>
      <c r="AQ184" s="97" t="s">
        <v>1078</v>
      </c>
      <c r="AR184" s="90" t="s">
        <v>178</v>
      </c>
      <c r="AS184" s="90">
        <v>0</v>
      </c>
      <c r="AT184" s="90">
        <v>0</v>
      </c>
      <c r="AU184" s="90"/>
      <c r="AV184" s="90"/>
      <c r="AW184" s="90"/>
      <c r="AX184" s="90"/>
      <c r="AY184" s="90"/>
      <c r="AZ184" s="90"/>
      <c r="BA184" s="90"/>
      <c r="BB184" s="90"/>
      <c r="BC184">
        <v>1</v>
      </c>
      <c r="BD184" s="89" t="str">
        <f>REPLACE(INDEX(GroupVertices[Group],MATCH(Edges[[#This Row],[Vertex 1]],GroupVertices[Vertex],0)),1,1,"")</f>
        <v>3</v>
      </c>
      <c r="BE184" s="89" t="str">
        <f>REPLACE(INDEX(GroupVertices[Group],MATCH(Edges[[#This Row],[Vertex 2]],GroupVertices[Vertex],0)),1,1,"")</f>
        <v>3</v>
      </c>
      <c r="BF184" s="49">
        <v>0</v>
      </c>
      <c r="BG184" s="50">
        <v>0</v>
      </c>
      <c r="BH184" s="49">
        <v>0</v>
      </c>
      <c r="BI184" s="50">
        <v>0</v>
      </c>
      <c r="BJ184" s="49">
        <v>0</v>
      </c>
      <c r="BK184" s="50">
        <v>0</v>
      </c>
      <c r="BL184" s="49">
        <v>36</v>
      </c>
      <c r="BM184" s="50">
        <v>100</v>
      </c>
      <c r="BN184" s="49">
        <v>36</v>
      </c>
    </row>
    <row r="185" spans="1:66" ht="15">
      <c r="A185" s="65" t="s">
        <v>329</v>
      </c>
      <c r="B185" s="65" t="s">
        <v>416</v>
      </c>
      <c r="C185" s="66" t="s">
        <v>4405</v>
      </c>
      <c r="D185" s="67">
        <v>1</v>
      </c>
      <c r="E185" s="68" t="s">
        <v>132</v>
      </c>
      <c r="F185" s="69">
        <v>32</v>
      </c>
      <c r="G185" s="66" t="s">
        <v>51</v>
      </c>
      <c r="H185" s="70"/>
      <c r="I185" s="71"/>
      <c r="J185" s="71"/>
      <c r="K185" s="35" t="s">
        <v>65</v>
      </c>
      <c r="L185" s="79">
        <v>185</v>
      </c>
      <c r="M185" s="79"/>
      <c r="N185" s="73"/>
      <c r="O185" s="90" t="s">
        <v>449</v>
      </c>
      <c r="P185" s="93">
        <v>44577.863078703704</v>
      </c>
      <c r="Q185" s="90" t="s">
        <v>525</v>
      </c>
      <c r="R185" s="90"/>
      <c r="S185" s="90"/>
      <c r="T185" s="90"/>
      <c r="U185" s="90"/>
      <c r="V185" s="95" t="str">
        <f>HYPERLINK("https://abs.twimg.com/sticky/default_profile_images/default_profile_normal.png")</f>
        <v>https://abs.twimg.com/sticky/default_profile_images/default_profile_normal.png</v>
      </c>
      <c r="W185" s="93">
        <v>44577.863078703704</v>
      </c>
      <c r="X185" s="102">
        <v>44577</v>
      </c>
      <c r="Y185" s="97" t="s">
        <v>709</v>
      </c>
      <c r="Z185" s="95" t="str">
        <f>HYPERLINK("https://twitter.com/erkhei/status/1482815629174444035")</f>
        <v>https://twitter.com/erkhei/status/1482815629174444035</v>
      </c>
      <c r="AA185" s="90"/>
      <c r="AB185" s="90"/>
      <c r="AC185" s="97" t="s">
        <v>950</v>
      </c>
      <c r="AD185" s="97" t="s">
        <v>1078</v>
      </c>
      <c r="AE185" s="90" t="b">
        <v>0</v>
      </c>
      <c r="AF185" s="90">
        <v>1</v>
      </c>
      <c r="AG185" s="97" t="s">
        <v>1119</v>
      </c>
      <c r="AH185" s="90" t="b">
        <v>0</v>
      </c>
      <c r="AI185" s="90" t="s">
        <v>1127</v>
      </c>
      <c r="AJ185" s="90"/>
      <c r="AK185" s="97" t="s">
        <v>1087</v>
      </c>
      <c r="AL185" s="90" t="b">
        <v>0</v>
      </c>
      <c r="AM185" s="90">
        <v>0</v>
      </c>
      <c r="AN185" s="97" t="s">
        <v>1087</v>
      </c>
      <c r="AO185" s="97" t="s">
        <v>1133</v>
      </c>
      <c r="AP185" s="90" t="b">
        <v>0</v>
      </c>
      <c r="AQ185" s="97" t="s">
        <v>1078</v>
      </c>
      <c r="AR185" s="90" t="s">
        <v>178</v>
      </c>
      <c r="AS185" s="90">
        <v>0</v>
      </c>
      <c r="AT185" s="90">
        <v>0</v>
      </c>
      <c r="AU185" s="90"/>
      <c r="AV185" s="90"/>
      <c r="AW185" s="90"/>
      <c r="AX185" s="90"/>
      <c r="AY185" s="90"/>
      <c r="AZ185" s="90"/>
      <c r="BA185" s="90"/>
      <c r="BB185" s="90"/>
      <c r="BC185">
        <v>1</v>
      </c>
      <c r="BD185" s="89" t="str">
        <f>REPLACE(INDEX(GroupVertices[Group],MATCH(Edges[[#This Row],[Vertex 1]],GroupVertices[Vertex],0)),1,1,"")</f>
        <v>3</v>
      </c>
      <c r="BE185" s="89" t="str">
        <f>REPLACE(INDEX(GroupVertices[Group],MATCH(Edges[[#This Row],[Vertex 2]],GroupVertices[Vertex],0)),1,1,"")</f>
        <v>3</v>
      </c>
      <c r="BF185" s="49"/>
      <c r="BG185" s="50"/>
      <c r="BH185" s="49"/>
      <c r="BI185" s="50"/>
      <c r="BJ185" s="49"/>
      <c r="BK185" s="50"/>
      <c r="BL185" s="49"/>
      <c r="BM185" s="50"/>
      <c r="BN185" s="49"/>
    </row>
    <row r="186" spans="1:66" ht="15">
      <c r="A186" s="65" t="s">
        <v>330</v>
      </c>
      <c r="B186" s="65" t="s">
        <v>341</v>
      </c>
      <c r="C186" s="66" t="s">
        <v>4405</v>
      </c>
      <c r="D186" s="67">
        <v>1</v>
      </c>
      <c r="E186" s="68" t="s">
        <v>132</v>
      </c>
      <c r="F186" s="69">
        <v>32</v>
      </c>
      <c r="G186" s="66" t="s">
        <v>51</v>
      </c>
      <c r="H186" s="70"/>
      <c r="I186" s="71"/>
      <c r="J186" s="71"/>
      <c r="K186" s="35" t="s">
        <v>65</v>
      </c>
      <c r="L186" s="79">
        <v>186</v>
      </c>
      <c r="M186" s="79"/>
      <c r="N186" s="73"/>
      <c r="O186" s="90" t="s">
        <v>447</v>
      </c>
      <c r="P186" s="93">
        <v>44577.863645833335</v>
      </c>
      <c r="Q186" s="90" t="s">
        <v>520</v>
      </c>
      <c r="R186" s="90"/>
      <c r="S186" s="90"/>
      <c r="T186" s="90"/>
      <c r="U186" s="90"/>
      <c r="V186" s="95" t="str">
        <f>HYPERLINK("https://pbs.twimg.com/profile_images/1449079757048582150/5YuLKU0i_normal.jpg")</f>
        <v>https://pbs.twimg.com/profile_images/1449079757048582150/5YuLKU0i_normal.jpg</v>
      </c>
      <c r="W186" s="93">
        <v>44577.863645833335</v>
      </c>
      <c r="X186" s="102">
        <v>44577</v>
      </c>
      <c r="Y186" s="97" t="s">
        <v>710</v>
      </c>
      <c r="Z186" s="95" t="str">
        <f>HYPERLINK("https://twitter.com/sherrymarja/status/1482815837857800199")</f>
        <v>https://twitter.com/sherrymarja/status/1482815837857800199</v>
      </c>
      <c r="AA186" s="90"/>
      <c r="AB186" s="90"/>
      <c r="AC186" s="97" t="s">
        <v>951</v>
      </c>
      <c r="AD186" s="90"/>
      <c r="AE186" s="90" t="b">
        <v>0</v>
      </c>
      <c r="AF186" s="90">
        <v>0</v>
      </c>
      <c r="AG186" s="97" t="s">
        <v>1087</v>
      </c>
      <c r="AH186" s="90" t="b">
        <v>0</v>
      </c>
      <c r="AI186" s="90" t="s">
        <v>1127</v>
      </c>
      <c r="AJ186" s="90"/>
      <c r="AK186" s="97" t="s">
        <v>1087</v>
      </c>
      <c r="AL186" s="90" t="b">
        <v>0</v>
      </c>
      <c r="AM186" s="90">
        <v>24</v>
      </c>
      <c r="AN186" s="97" t="s">
        <v>1041</v>
      </c>
      <c r="AO186" s="97" t="s">
        <v>1132</v>
      </c>
      <c r="AP186" s="90" t="b">
        <v>0</v>
      </c>
      <c r="AQ186" s="97" t="s">
        <v>1041</v>
      </c>
      <c r="AR186" s="90" t="s">
        <v>178</v>
      </c>
      <c r="AS186" s="90">
        <v>0</v>
      </c>
      <c r="AT186" s="90">
        <v>0</v>
      </c>
      <c r="AU186" s="90"/>
      <c r="AV186" s="90"/>
      <c r="AW186" s="90"/>
      <c r="AX186" s="90"/>
      <c r="AY186" s="90"/>
      <c r="AZ186" s="90"/>
      <c r="BA186" s="90"/>
      <c r="BB186" s="90"/>
      <c r="BC186">
        <v>1</v>
      </c>
      <c r="BD186" s="89" t="str">
        <f>REPLACE(INDEX(GroupVertices[Group],MATCH(Edges[[#This Row],[Vertex 1]],GroupVertices[Vertex],0)),1,1,"")</f>
        <v>1</v>
      </c>
      <c r="BE186" s="89"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5" t="s">
        <v>331</v>
      </c>
      <c r="B187" s="65" t="s">
        <v>341</v>
      </c>
      <c r="C187" s="66" t="s">
        <v>4405</v>
      </c>
      <c r="D187" s="67">
        <v>1</v>
      </c>
      <c r="E187" s="68" t="s">
        <v>132</v>
      </c>
      <c r="F187" s="69">
        <v>32</v>
      </c>
      <c r="G187" s="66" t="s">
        <v>51</v>
      </c>
      <c r="H187" s="70"/>
      <c r="I187" s="71"/>
      <c r="J187" s="71"/>
      <c r="K187" s="35" t="s">
        <v>65</v>
      </c>
      <c r="L187" s="79">
        <v>187</v>
      </c>
      <c r="M187" s="79"/>
      <c r="N187" s="73"/>
      <c r="O187" s="90" t="s">
        <v>447</v>
      </c>
      <c r="P187" s="93">
        <v>44577.86539351852</v>
      </c>
      <c r="Q187" s="90" t="s">
        <v>520</v>
      </c>
      <c r="R187" s="90"/>
      <c r="S187" s="90"/>
      <c r="T187" s="90"/>
      <c r="U187" s="90"/>
      <c r="V187" s="95" t="str">
        <f>HYPERLINK("https://pbs.twimg.com/profile_images/848635167107403776/mtaLJg4P_normal.jpg")</f>
        <v>https://pbs.twimg.com/profile_images/848635167107403776/mtaLJg4P_normal.jpg</v>
      </c>
      <c r="W187" s="93">
        <v>44577.86539351852</v>
      </c>
      <c r="X187" s="102">
        <v>44577</v>
      </c>
      <c r="Y187" s="97" t="s">
        <v>711</v>
      </c>
      <c r="Z187" s="95" t="str">
        <f>HYPERLINK("https://twitter.com/timoriikonen67/status/1482816468282707973")</f>
        <v>https://twitter.com/timoriikonen67/status/1482816468282707973</v>
      </c>
      <c r="AA187" s="90"/>
      <c r="AB187" s="90"/>
      <c r="AC187" s="97" t="s">
        <v>952</v>
      </c>
      <c r="AD187" s="90"/>
      <c r="AE187" s="90" t="b">
        <v>0</v>
      </c>
      <c r="AF187" s="90">
        <v>0</v>
      </c>
      <c r="AG187" s="97" t="s">
        <v>1087</v>
      </c>
      <c r="AH187" s="90" t="b">
        <v>0</v>
      </c>
      <c r="AI187" s="90" t="s">
        <v>1127</v>
      </c>
      <c r="AJ187" s="90"/>
      <c r="AK187" s="97" t="s">
        <v>1087</v>
      </c>
      <c r="AL187" s="90" t="b">
        <v>0</v>
      </c>
      <c r="AM187" s="90">
        <v>24</v>
      </c>
      <c r="AN187" s="97" t="s">
        <v>1041</v>
      </c>
      <c r="AO187" s="97" t="s">
        <v>1132</v>
      </c>
      <c r="AP187" s="90" t="b">
        <v>0</v>
      </c>
      <c r="AQ187" s="97" t="s">
        <v>1041</v>
      </c>
      <c r="AR187" s="90" t="s">
        <v>178</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v>0</v>
      </c>
      <c r="BG187" s="50">
        <v>0</v>
      </c>
      <c r="BH187" s="49">
        <v>0</v>
      </c>
      <c r="BI187" s="50">
        <v>0</v>
      </c>
      <c r="BJ187" s="49">
        <v>0</v>
      </c>
      <c r="BK187" s="50">
        <v>0</v>
      </c>
      <c r="BL187" s="49">
        <v>16</v>
      </c>
      <c r="BM187" s="50">
        <v>100</v>
      </c>
      <c r="BN187" s="49">
        <v>16</v>
      </c>
    </row>
    <row r="188" spans="1:66" ht="15">
      <c r="A188" s="65" t="s">
        <v>332</v>
      </c>
      <c r="B188" s="65" t="s">
        <v>341</v>
      </c>
      <c r="C188" s="66" t="s">
        <v>4405</v>
      </c>
      <c r="D188" s="67">
        <v>1</v>
      </c>
      <c r="E188" s="68" t="s">
        <v>132</v>
      </c>
      <c r="F188" s="69">
        <v>32</v>
      </c>
      <c r="G188" s="66" t="s">
        <v>51</v>
      </c>
      <c r="H188" s="70"/>
      <c r="I188" s="71"/>
      <c r="J188" s="71"/>
      <c r="K188" s="35" t="s">
        <v>65</v>
      </c>
      <c r="L188" s="79">
        <v>188</v>
      </c>
      <c r="M188" s="79"/>
      <c r="N188" s="73"/>
      <c r="O188" s="90" t="s">
        <v>447</v>
      </c>
      <c r="P188" s="93">
        <v>44577.86678240741</v>
      </c>
      <c r="Q188" s="90" t="s">
        <v>514</v>
      </c>
      <c r="R188" s="90"/>
      <c r="S188" s="90"/>
      <c r="T188" s="90"/>
      <c r="U188" s="95" t="str">
        <f>HYPERLINK("https://pbs.twimg.com/media/FJPK-YrWUAYi1BM.jpg")</f>
        <v>https://pbs.twimg.com/media/FJPK-YrWUAYi1BM.jpg</v>
      </c>
      <c r="V188" s="95" t="str">
        <f>HYPERLINK("https://pbs.twimg.com/media/FJPK-YrWUAYi1BM.jpg")</f>
        <v>https://pbs.twimg.com/media/FJPK-YrWUAYi1BM.jpg</v>
      </c>
      <c r="W188" s="93">
        <v>44577.86678240741</v>
      </c>
      <c r="X188" s="102">
        <v>44577</v>
      </c>
      <c r="Y188" s="97" t="s">
        <v>712</v>
      </c>
      <c r="Z188" s="95" t="str">
        <f>HYPERLINK("https://twitter.com/jussilepola/status/1482816971402100738")</f>
        <v>https://twitter.com/jussilepola/status/1482816971402100738</v>
      </c>
      <c r="AA188" s="90"/>
      <c r="AB188" s="90"/>
      <c r="AC188" s="97" t="s">
        <v>953</v>
      </c>
      <c r="AD188" s="90"/>
      <c r="AE188" s="90" t="b">
        <v>0</v>
      </c>
      <c r="AF188" s="90">
        <v>0</v>
      </c>
      <c r="AG188" s="97" t="s">
        <v>1087</v>
      </c>
      <c r="AH188" s="90" t="b">
        <v>0</v>
      </c>
      <c r="AI188" s="90" t="s">
        <v>1127</v>
      </c>
      <c r="AJ188" s="90"/>
      <c r="AK188" s="97" t="s">
        <v>1087</v>
      </c>
      <c r="AL188" s="90" t="b">
        <v>0</v>
      </c>
      <c r="AM188" s="90">
        <v>36</v>
      </c>
      <c r="AN188" s="97" t="s">
        <v>1040</v>
      </c>
      <c r="AO188" s="97" t="s">
        <v>1132</v>
      </c>
      <c r="AP188" s="90" t="b">
        <v>0</v>
      </c>
      <c r="AQ188" s="97" t="s">
        <v>1040</v>
      </c>
      <c r="AR188" s="90" t="s">
        <v>178</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v>0</v>
      </c>
      <c r="BG188" s="50">
        <v>0</v>
      </c>
      <c r="BH188" s="49">
        <v>0</v>
      </c>
      <c r="BI188" s="50">
        <v>0</v>
      </c>
      <c r="BJ188" s="49">
        <v>0</v>
      </c>
      <c r="BK188" s="50">
        <v>0</v>
      </c>
      <c r="BL188" s="49">
        <v>4</v>
      </c>
      <c r="BM188" s="50">
        <v>100</v>
      </c>
      <c r="BN188" s="49">
        <v>4</v>
      </c>
    </row>
    <row r="189" spans="1:66" ht="15">
      <c r="A189" s="65" t="s">
        <v>333</v>
      </c>
      <c r="B189" s="65" t="s">
        <v>349</v>
      </c>
      <c r="C189" s="66" t="s">
        <v>4405</v>
      </c>
      <c r="D189" s="67">
        <v>1</v>
      </c>
      <c r="E189" s="68" t="s">
        <v>132</v>
      </c>
      <c r="F189" s="69">
        <v>32</v>
      </c>
      <c r="G189" s="66" t="s">
        <v>51</v>
      </c>
      <c r="H189" s="70"/>
      <c r="I189" s="71"/>
      <c r="J189" s="71"/>
      <c r="K189" s="35" t="s">
        <v>65</v>
      </c>
      <c r="L189" s="79">
        <v>189</v>
      </c>
      <c r="M189" s="79"/>
      <c r="N189" s="73"/>
      <c r="O189" s="90" t="s">
        <v>447</v>
      </c>
      <c r="P189" s="93">
        <v>44576.27952546296</v>
      </c>
      <c r="Q189" s="90" t="s">
        <v>451</v>
      </c>
      <c r="R189" s="90"/>
      <c r="S189" s="90"/>
      <c r="T189" s="97" t="s">
        <v>555</v>
      </c>
      <c r="U189" s="95" t="str">
        <f>HYPERLINK("https://pbs.twimg.com/media/FJEWU11XwAUKZay.jpg")</f>
        <v>https://pbs.twimg.com/media/FJEWU11XwAUKZay.jpg</v>
      </c>
      <c r="V189" s="95" t="str">
        <f>HYPERLINK("https://pbs.twimg.com/media/FJEWU11XwAUKZay.jpg")</f>
        <v>https://pbs.twimg.com/media/FJEWU11XwAUKZay.jpg</v>
      </c>
      <c r="W189" s="93">
        <v>44576.27952546296</v>
      </c>
      <c r="X189" s="102">
        <v>44576</v>
      </c>
      <c r="Y189" s="97" t="s">
        <v>713</v>
      </c>
      <c r="Z189" s="95" t="str">
        <f>HYPERLINK("https://twitter.com/turnukkaparta/status/1482241768867479553")</f>
        <v>https://twitter.com/turnukkaparta/status/1482241768867479553</v>
      </c>
      <c r="AA189" s="90"/>
      <c r="AB189" s="90"/>
      <c r="AC189" s="97" t="s">
        <v>954</v>
      </c>
      <c r="AD189" s="90"/>
      <c r="AE189" s="90" t="b">
        <v>0</v>
      </c>
      <c r="AF189" s="90">
        <v>0</v>
      </c>
      <c r="AG189" s="97" t="s">
        <v>1087</v>
      </c>
      <c r="AH189" s="90" t="b">
        <v>0</v>
      </c>
      <c r="AI189" s="90" t="s">
        <v>1127</v>
      </c>
      <c r="AJ189" s="90"/>
      <c r="AK189" s="97" t="s">
        <v>1087</v>
      </c>
      <c r="AL189" s="90" t="b">
        <v>0</v>
      </c>
      <c r="AM189" s="90">
        <v>11</v>
      </c>
      <c r="AN189" s="97" t="s">
        <v>975</v>
      </c>
      <c r="AO189" s="97" t="s">
        <v>1132</v>
      </c>
      <c r="AP189" s="90" t="b">
        <v>0</v>
      </c>
      <c r="AQ189" s="97" t="s">
        <v>975</v>
      </c>
      <c r="AR189" s="90" t="s">
        <v>178</v>
      </c>
      <c r="AS189" s="90">
        <v>0</v>
      </c>
      <c r="AT189" s="90">
        <v>0</v>
      </c>
      <c r="AU189" s="90"/>
      <c r="AV189" s="90"/>
      <c r="AW189" s="90"/>
      <c r="AX189" s="90"/>
      <c r="AY189" s="90"/>
      <c r="AZ189" s="90"/>
      <c r="BA189" s="90"/>
      <c r="BB189" s="90"/>
      <c r="BC189">
        <v>1</v>
      </c>
      <c r="BD189" s="89" t="str">
        <f>REPLACE(INDEX(GroupVertices[Group],MATCH(Edges[[#This Row],[Vertex 1]],GroupVertices[Vertex],0)),1,1,"")</f>
        <v>6</v>
      </c>
      <c r="BE189" s="89" t="str">
        <f>REPLACE(INDEX(GroupVertices[Group],MATCH(Edges[[#This Row],[Vertex 2]],GroupVertices[Vertex],0)),1,1,"")</f>
        <v>6</v>
      </c>
      <c r="BF189" s="49">
        <v>0</v>
      </c>
      <c r="BG189" s="50">
        <v>0</v>
      </c>
      <c r="BH189" s="49">
        <v>0</v>
      </c>
      <c r="BI189" s="50">
        <v>0</v>
      </c>
      <c r="BJ189" s="49">
        <v>0</v>
      </c>
      <c r="BK189" s="50">
        <v>0</v>
      </c>
      <c r="BL189" s="49">
        <v>29</v>
      </c>
      <c r="BM189" s="50">
        <v>100</v>
      </c>
      <c r="BN189" s="49">
        <v>29</v>
      </c>
    </row>
    <row r="190" spans="1:66" ht="15">
      <c r="A190" s="65" t="s">
        <v>333</v>
      </c>
      <c r="B190" s="65" t="s">
        <v>341</v>
      </c>
      <c r="C190" s="66" t="s">
        <v>4405</v>
      </c>
      <c r="D190" s="67">
        <v>1</v>
      </c>
      <c r="E190" s="68" t="s">
        <v>132</v>
      </c>
      <c r="F190" s="69">
        <v>32</v>
      </c>
      <c r="G190" s="66" t="s">
        <v>51</v>
      </c>
      <c r="H190" s="70"/>
      <c r="I190" s="71"/>
      <c r="J190" s="71"/>
      <c r="K190" s="35" t="s">
        <v>65</v>
      </c>
      <c r="L190" s="79">
        <v>190</v>
      </c>
      <c r="M190" s="79"/>
      <c r="N190" s="73"/>
      <c r="O190" s="90" t="s">
        <v>447</v>
      </c>
      <c r="P190" s="93">
        <v>44577.86829861111</v>
      </c>
      <c r="Q190" s="90" t="s">
        <v>520</v>
      </c>
      <c r="R190" s="90"/>
      <c r="S190" s="90"/>
      <c r="T190" s="90"/>
      <c r="U190" s="90"/>
      <c r="V190" s="95" t="str">
        <f>HYPERLINK("https://pbs.twimg.com/profile_images/1292208545149136905/qWlUdwFE_normal.jpg")</f>
        <v>https://pbs.twimg.com/profile_images/1292208545149136905/qWlUdwFE_normal.jpg</v>
      </c>
      <c r="W190" s="93">
        <v>44577.86829861111</v>
      </c>
      <c r="X190" s="102">
        <v>44577</v>
      </c>
      <c r="Y190" s="97" t="s">
        <v>714</v>
      </c>
      <c r="Z190" s="95" t="str">
        <f>HYPERLINK("https://twitter.com/turnukkaparta/status/1482817523091480581")</f>
        <v>https://twitter.com/turnukkaparta/status/1482817523091480581</v>
      </c>
      <c r="AA190" s="90"/>
      <c r="AB190" s="90"/>
      <c r="AC190" s="97" t="s">
        <v>955</v>
      </c>
      <c r="AD190" s="90"/>
      <c r="AE190" s="90" t="b">
        <v>0</v>
      </c>
      <c r="AF190" s="90">
        <v>0</v>
      </c>
      <c r="AG190" s="97" t="s">
        <v>1087</v>
      </c>
      <c r="AH190" s="90" t="b">
        <v>0</v>
      </c>
      <c r="AI190" s="90" t="s">
        <v>1127</v>
      </c>
      <c r="AJ190" s="90"/>
      <c r="AK190" s="97" t="s">
        <v>1087</v>
      </c>
      <c r="AL190" s="90" t="b">
        <v>0</v>
      </c>
      <c r="AM190" s="90">
        <v>24</v>
      </c>
      <c r="AN190" s="97" t="s">
        <v>1041</v>
      </c>
      <c r="AO190" s="97" t="s">
        <v>1132</v>
      </c>
      <c r="AP190" s="90" t="b">
        <v>0</v>
      </c>
      <c r="AQ190" s="97" t="s">
        <v>1041</v>
      </c>
      <c r="AR190" s="90" t="s">
        <v>178</v>
      </c>
      <c r="AS190" s="90">
        <v>0</v>
      </c>
      <c r="AT190" s="90">
        <v>0</v>
      </c>
      <c r="AU190" s="90"/>
      <c r="AV190" s="90"/>
      <c r="AW190" s="90"/>
      <c r="AX190" s="90"/>
      <c r="AY190" s="90"/>
      <c r="AZ190" s="90"/>
      <c r="BA190" s="90"/>
      <c r="BB190" s="90"/>
      <c r="BC190">
        <v>1</v>
      </c>
      <c r="BD190" s="89" t="str">
        <f>REPLACE(INDEX(GroupVertices[Group],MATCH(Edges[[#This Row],[Vertex 1]],GroupVertices[Vertex],0)),1,1,"")</f>
        <v>6</v>
      </c>
      <c r="BE190" s="89" t="str">
        <f>REPLACE(INDEX(GroupVertices[Group],MATCH(Edges[[#This Row],[Vertex 2]],GroupVertices[Vertex],0)),1,1,"")</f>
        <v>1</v>
      </c>
      <c r="BF190" s="49">
        <v>0</v>
      </c>
      <c r="BG190" s="50">
        <v>0</v>
      </c>
      <c r="BH190" s="49">
        <v>0</v>
      </c>
      <c r="BI190" s="50">
        <v>0</v>
      </c>
      <c r="BJ190" s="49">
        <v>0</v>
      </c>
      <c r="BK190" s="50">
        <v>0</v>
      </c>
      <c r="BL190" s="49">
        <v>16</v>
      </c>
      <c r="BM190" s="50">
        <v>100</v>
      </c>
      <c r="BN190" s="49">
        <v>16</v>
      </c>
    </row>
    <row r="191" spans="1:66" ht="15">
      <c r="A191" s="65" t="s">
        <v>334</v>
      </c>
      <c r="B191" s="65" t="s">
        <v>341</v>
      </c>
      <c r="C191" s="66" t="s">
        <v>4406</v>
      </c>
      <c r="D191" s="67">
        <v>1</v>
      </c>
      <c r="E191" s="68" t="s">
        <v>132</v>
      </c>
      <c r="F191" s="69">
        <v>32</v>
      </c>
      <c r="G191" s="66" t="s">
        <v>51</v>
      </c>
      <c r="H191" s="70"/>
      <c r="I191" s="71"/>
      <c r="J191" s="71"/>
      <c r="K191" s="35" t="s">
        <v>65</v>
      </c>
      <c r="L191" s="79">
        <v>191</v>
      </c>
      <c r="M191" s="79"/>
      <c r="N191" s="73"/>
      <c r="O191" s="90" t="s">
        <v>447</v>
      </c>
      <c r="P191" s="93">
        <v>44577.727326388886</v>
      </c>
      <c r="Q191" s="90" t="s">
        <v>520</v>
      </c>
      <c r="R191" s="90"/>
      <c r="S191" s="90"/>
      <c r="T191" s="90"/>
      <c r="U191" s="90"/>
      <c r="V191" s="95" t="str">
        <f>HYPERLINK("https://pbs.twimg.com/profile_images/1396501849671352330/WOhJsvLC_normal.jpg")</f>
        <v>https://pbs.twimg.com/profile_images/1396501849671352330/WOhJsvLC_normal.jpg</v>
      </c>
      <c r="W191" s="93">
        <v>44577.727326388886</v>
      </c>
      <c r="X191" s="102">
        <v>44577</v>
      </c>
      <c r="Y191" s="97" t="s">
        <v>715</v>
      </c>
      <c r="Z191" s="95" t="str">
        <f>HYPERLINK("https://twitter.com/huuhtanenpanu/status/1482766435193700353")</f>
        <v>https://twitter.com/huuhtanenpanu/status/1482766435193700353</v>
      </c>
      <c r="AA191" s="90"/>
      <c r="AB191" s="90"/>
      <c r="AC191" s="97" t="s">
        <v>956</v>
      </c>
      <c r="AD191" s="90"/>
      <c r="AE191" s="90" t="b">
        <v>0</v>
      </c>
      <c r="AF191" s="90">
        <v>0</v>
      </c>
      <c r="AG191" s="97" t="s">
        <v>1087</v>
      </c>
      <c r="AH191" s="90" t="b">
        <v>0</v>
      </c>
      <c r="AI191" s="90" t="s">
        <v>1127</v>
      </c>
      <c r="AJ191" s="90"/>
      <c r="AK191" s="97" t="s">
        <v>1087</v>
      </c>
      <c r="AL191" s="90" t="b">
        <v>0</v>
      </c>
      <c r="AM191" s="90">
        <v>24</v>
      </c>
      <c r="AN191" s="97" t="s">
        <v>1041</v>
      </c>
      <c r="AO191" s="97" t="s">
        <v>1132</v>
      </c>
      <c r="AP191" s="90" t="b">
        <v>0</v>
      </c>
      <c r="AQ191" s="97" t="s">
        <v>1041</v>
      </c>
      <c r="AR191" s="90" t="s">
        <v>178</v>
      </c>
      <c r="AS191" s="90">
        <v>0</v>
      </c>
      <c r="AT191" s="90">
        <v>0</v>
      </c>
      <c r="AU191" s="90"/>
      <c r="AV191" s="90"/>
      <c r="AW191" s="90"/>
      <c r="AX191" s="90"/>
      <c r="AY191" s="90"/>
      <c r="AZ191" s="90"/>
      <c r="BA191" s="90"/>
      <c r="BB191" s="90"/>
      <c r="BC191">
        <v>2</v>
      </c>
      <c r="BD191" s="89" t="str">
        <f>REPLACE(INDEX(GroupVertices[Group],MATCH(Edges[[#This Row],[Vertex 1]],GroupVertices[Vertex],0)),1,1,"")</f>
        <v>5</v>
      </c>
      <c r="BE191" s="89"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5" t="s">
        <v>334</v>
      </c>
      <c r="B192" s="65" t="s">
        <v>400</v>
      </c>
      <c r="C192" s="66" t="s">
        <v>4405</v>
      </c>
      <c r="D192" s="67">
        <v>1</v>
      </c>
      <c r="E192" s="68" t="s">
        <v>132</v>
      </c>
      <c r="F192" s="69">
        <v>32</v>
      </c>
      <c r="G192" s="66" t="s">
        <v>51</v>
      </c>
      <c r="H192" s="70"/>
      <c r="I192" s="71"/>
      <c r="J192" s="71"/>
      <c r="K192" s="35" t="s">
        <v>65</v>
      </c>
      <c r="L192" s="79">
        <v>192</v>
      </c>
      <c r="M192" s="79"/>
      <c r="N192" s="73"/>
      <c r="O192" s="90" t="s">
        <v>447</v>
      </c>
      <c r="P192" s="93">
        <v>44577.81638888889</v>
      </c>
      <c r="Q192" s="90" t="s">
        <v>523</v>
      </c>
      <c r="R192" s="95" t="str">
        <f>HYPERLINK("https://www.tripadvisor.com/Restaurant_Review-g189934-d21338840-Reviews-Bardot-Helsinki_Uusimaa.html")</f>
        <v>https://www.tripadvisor.com/Restaurant_Review-g189934-d21338840-Reviews-Bardot-Helsinki_Uusimaa.html</v>
      </c>
      <c r="S192" s="90" t="s">
        <v>554</v>
      </c>
      <c r="T192" s="90"/>
      <c r="U192" s="90"/>
      <c r="V192" s="95" t="str">
        <f>HYPERLINK("https://pbs.twimg.com/profile_images/1396501849671352330/WOhJsvLC_normal.jpg")</f>
        <v>https://pbs.twimg.com/profile_images/1396501849671352330/WOhJsvLC_normal.jpg</v>
      </c>
      <c r="W192" s="93">
        <v>44577.81638888889</v>
      </c>
      <c r="X192" s="102">
        <v>44577</v>
      </c>
      <c r="Y192" s="97" t="s">
        <v>716</v>
      </c>
      <c r="Z192" s="95" t="str">
        <f>HYPERLINK("https://twitter.com/huuhtanenpanu/status/1482798710723645445")</f>
        <v>https://twitter.com/huuhtanenpanu/status/1482798710723645445</v>
      </c>
      <c r="AA192" s="90"/>
      <c r="AB192" s="90"/>
      <c r="AC192" s="97" t="s">
        <v>957</v>
      </c>
      <c r="AD192" s="90"/>
      <c r="AE192" s="90" t="b">
        <v>0</v>
      </c>
      <c r="AF192" s="90">
        <v>0</v>
      </c>
      <c r="AG192" s="97" t="s">
        <v>1087</v>
      </c>
      <c r="AH192" s="90" t="b">
        <v>0</v>
      </c>
      <c r="AI192" s="90" t="s">
        <v>1127</v>
      </c>
      <c r="AJ192" s="90"/>
      <c r="AK192" s="97" t="s">
        <v>1087</v>
      </c>
      <c r="AL192" s="90" t="b">
        <v>0</v>
      </c>
      <c r="AM192" s="90">
        <v>15</v>
      </c>
      <c r="AN192" s="97" t="s">
        <v>1043</v>
      </c>
      <c r="AO192" s="97" t="s">
        <v>1132</v>
      </c>
      <c r="AP192" s="90" t="b">
        <v>0</v>
      </c>
      <c r="AQ192" s="97" t="s">
        <v>1043</v>
      </c>
      <c r="AR192" s="90" t="s">
        <v>178</v>
      </c>
      <c r="AS192" s="90">
        <v>0</v>
      </c>
      <c r="AT192" s="90">
        <v>0</v>
      </c>
      <c r="AU192" s="90"/>
      <c r="AV192" s="90"/>
      <c r="AW192" s="90"/>
      <c r="AX192" s="90"/>
      <c r="AY192" s="90"/>
      <c r="AZ192" s="90"/>
      <c r="BA192" s="90"/>
      <c r="BB192" s="90"/>
      <c r="BC192">
        <v>1</v>
      </c>
      <c r="BD192" s="89" t="str">
        <f>REPLACE(INDEX(GroupVertices[Group],MATCH(Edges[[#This Row],[Vertex 1]],GroupVertices[Vertex],0)),1,1,"")</f>
        <v>5</v>
      </c>
      <c r="BE192" s="89" t="str">
        <f>REPLACE(INDEX(GroupVertices[Group],MATCH(Edges[[#This Row],[Vertex 2]],GroupVertices[Vertex],0)),1,1,"")</f>
        <v>5</v>
      </c>
      <c r="BF192" s="49">
        <v>0</v>
      </c>
      <c r="BG192" s="50">
        <v>0</v>
      </c>
      <c r="BH192" s="49">
        <v>0</v>
      </c>
      <c r="BI192" s="50">
        <v>0</v>
      </c>
      <c r="BJ192" s="49">
        <v>0</v>
      </c>
      <c r="BK192" s="50">
        <v>0</v>
      </c>
      <c r="BL192" s="49">
        <v>13</v>
      </c>
      <c r="BM192" s="50">
        <v>100</v>
      </c>
      <c r="BN192" s="49">
        <v>13</v>
      </c>
    </row>
    <row r="193" spans="1:66" ht="15">
      <c r="A193" s="65" t="s">
        <v>334</v>
      </c>
      <c r="B193" s="65" t="s">
        <v>341</v>
      </c>
      <c r="C193" s="66" t="s">
        <v>4406</v>
      </c>
      <c r="D193" s="67">
        <v>1</v>
      </c>
      <c r="E193" s="68" t="s">
        <v>132</v>
      </c>
      <c r="F193" s="69">
        <v>32</v>
      </c>
      <c r="G193" s="66" t="s">
        <v>51</v>
      </c>
      <c r="H193" s="70"/>
      <c r="I193" s="71"/>
      <c r="J193" s="71"/>
      <c r="K193" s="35" t="s">
        <v>65</v>
      </c>
      <c r="L193" s="79">
        <v>193</v>
      </c>
      <c r="M193" s="79"/>
      <c r="N193" s="73"/>
      <c r="O193" s="90" t="s">
        <v>447</v>
      </c>
      <c r="P193" s="93">
        <v>44577.86850694445</v>
      </c>
      <c r="Q193" s="90" t="s">
        <v>514</v>
      </c>
      <c r="R193" s="90"/>
      <c r="S193" s="90"/>
      <c r="T193" s="90"/>
      <c r="U193" s="95" t="str">
        <f>HYPERLINK("https://pbs.twimg.com/media/FJPK-YrWUAYi1BM.jpg")</f>
        <v>https://pbs.twimg.com/media/FJPK-YrWUAYi1BM.jpg</v>
      </c>
      <c r="V193" s="95" t="str">
        <f>HYPERLINK("https://pbs.twimg.com/media/FJPK-YrWUAYi1BM.jpg")</f>
        <v>https://pbs.twimg.com/media/FJPK-YrWUAYi1BM.jpg</v>
      </c>
      <c r="W193" s="93">
        <v>44577.86850694445</v>
      </c>
      <c r="X193" s="102">
        <v>44577</v>
      </c>
      <c r="Y193" s="97" t="s">
        <v>717</v>
      </c>
      <c r="Z193" s="95" t="str">
        <f>HYPERLINK("https://twitter.com/huuhtanenpanu/status/1482817599813697539")</f>
        <v>https://twitter.com/huuhtanenpanu/status/1482817599813697539</v>
      </c>
      <c r="AA193" s="90"/>
      <c r="AB193" s="90"/>
      <c r="AC193" s="97" t="s">
        <v>958</v>
      </c>
      <c r="AD193" s="90"/>
      <c r="AE193" s="90" t="b">
        <v>0</v>
      </c>
      <c r="AF193" s="90">
        <v>0</v>
      </c>
      <c r="AG193" s="97" t="s">
        <v>1087</v>
      </c>
      <c r="AH193" s="90" t="b">
        <v>0</v>
      </c>
      <c r="AI193" s="90" t="s">
        <v>1127</v>
      </c>
      <c r="AJ193" s="90"/>
      <c r="AK193" s="97" t="s">
        <v>1087</v>
      </c>
      <c r="AL193" s="90" t="b">
        <v>0</v>
      </c>
      <c r="AM193" s="90">
        <v>36</v>
      </c>
      <c r="AN193" s="97" t="s">
        <v>1040</v>
      </c>
      <c r="AO193" s="97" t="s">
        <v>1132</v>
      </c>
      <c r="AP193" s="90" t="b">
        <v>0</v>
      </c>
      <c r="AQ193" s="97" t="s">
        <v>1040</v>
      </c>
      <c r="AR193" s="90" t="s">
        <v>178</v>
      </c>
      <c r="AS193" s="90">
        <v>0</v>
      </c>
      <c r="AT193" s="90">
        <v>0</v>
      </c>
      <c r="AU193" s="90"/>
      <c r="AV193" s="90"/>
      <c r="AW193" s="90"/>
      <c r="AX193" s="90"/>
      <c r="AY193" s="90"/>
      <c r="AZ193" s="90"/>
      <c r="BA193" s="90"/>
      <c r="BB193" s="90"/>
      <c r="BC193">
        <v>2</v>
      </c>
      <c r="BD193" s="89" t="str">
        <f>REPLACE(INDEX(GroupVertices[Group],MATCH(Edges[[#This Row],[Vertex 1]],GroupVertices[Vertex],0)),1,1,"")</f>
        <v>5</v>
      </c>
      <c r="BE193" s="89"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5" t="s">
        <v>335</v>
      </c>
      <c r="B194" s="65" t="s">
        <v>341</v>
      </c>
      <c r="C194" s="66" t="s">
        <v>4406</v>
      </c>
      <c r="D194" s="67">
        <v>1</v>
      </c>
      <c r="E194" s="68" t="s">
        <v>132</v>
      </c>
      <c r="F194" s="69">
        <v>32</v>
      </c>
      <c r="G194" s="66" t="s">
        <v>51</v>
      </c>
      <c r="H194" s="70"/>
      <c r="I194" s="71"/>
      <c r="J194" s="71"/>
      <c r="K194" s="35" t="s">
        <v>65</v>
      </c>
      <c r="L194" s="79">
        <v>194</v>
      </c>
      <c r="M194" s="79"/>
      <c r="N194" s="73"/>
      <c r="O194" s="90" t="s">
        <v>447</v>
      </c>
      <c r="P194" s="93">
        <v>44577.75116898148</v>
      </c>
      <c r="Q194" s="90" t="s">
        <v>520</v>
      </c>
      <c r="R194" s="90"/>
      <c r="S194" s="90"/>
      <c r="T194" s="90"/>
      <c r="U194" s="90"/>
      <c r="V194" s="95" t="str">
        <f>HYPERLINK("https://pbs.twimg.com/profile_images/1460722809844518924/eYLfO7sC_normal.jpg")</f>
        <v>https://pbs.twimg.com/profile_images/1460722809844518924/eYLfO7sC_normal.jpg</v>
      </c>
      <c r="W194" s="93">
        <v>44577.75116898148</v>
      </c>
      <c r="X194" s="102">
        <v>44577</v>
      </c>
      <c r="Y194" s="97" t="s">
        <v>718</v>
      </c>
      <c r="Z194" s="95" t="str">
        <f>HYPERLINK("https://twitter.com/emilia44948661/status/1482775078458859522")</f>
        <v>https://twitter.com/emilia44948661/status/1482775078458859522</v>
      </c>
      <c r="AA194" s="90"/>
      <c r="AB194" s="90"/>
      <c r="AC194" s="97" t="s">
        <v>959</v>
      </c>
      <c r="AD194" s="90"/>
      <c r="AE194" s="90" t="b">
        <v>0</v>
      </c>
      <c r="AF194" s="90">
        <v>0</v>
      </c>
      <c r="AG194" s="97" t="s">
        <v>1087</v>
      </c>
      <c r="AH194" s="90" t="b">
        <v>0</v>
      </c>
      <c r="AI194" s="90" t="s">
        <v>1127</v>
      </c>
      <c r="AJ194" s="90"/>
      <c r="AK194" s="97" t="s">
        <v>1087</v>
      </c>
      <c r="AL194" s="90" t="b">
        <v>0</v>
      </c>
      <c r="AM194" s="90">
        <v>24</v>
      </c>
      <c r="AN194" s="97" t="s">
        <v>1041</v>
      </c>
      <c r="AO194" s="97" t="s">
        <v>1132</v>
      </c>
      <c r="AP194" s="90" t="b">
        <v>0</v>
      </c>
      <c r="AQ194" s="97" t="s">
        <v>1041</v>
      </c>
      <c r="AR194" s="90" t="s">
        <v>178</v>
      </c>
      <c r="AS194" s="90">
        <v>0</v>
      </c>
      <c r="AT194" s="90">
        <v>0</v>
      </c>
      <c r="AU194" s="90"/>
      <c r="AV194" s="90"/>
      <c r="AW194" s="90"/>
      <c r="AX194" s="90"/>
      <c r="AY194" s="90"/>
      <c r="AZ194" s="90"/>
      <c r="BA194" s="90"/>
      <c r="BB194" s="90"/>
      <c r="BC194">
        <v>2</v>
      </c>
      <c r="BD194" s="89" t="str">
        <f>REPLACE(INDEX(GroupVertices[Group],MATCH(Edges[[#This Row],[Vertex 1]],GroupVertices[Vertex],0)),1,1,"")</f>
        <v>1</v>
      </c>
      <c r="BE194" s="89" t="str">
        <f>REPLACE(INDEX(GroupVertices[Group],MATCH(Edges[[#This Row],[Vertex 2]],GroupVertices[Vertex],0)),1,1,"")</f>
        <v>1</v>
      </c>
      <c r="BF194" s="49">
        <v>0</v>
      </c>
      <c r="BG194" s="50">
        <v>0</v>
      </c>
      <c r="BH194" s="49">
        <v>0</v>
      </c>
      <c r="BI194" s="50">
        <v>0</v>
      </c>
      <c r="BJ194" s="49">
        <v>0</v>
      </c>
      <c r="BK194" s="50">
        <v>0</v>
      </c>
      <c r="BL194" s="49">
        <v>16</v>
      </c>
      <c r="BM194" s="50">
        <v>100</v>
      </c>
      <c r="BN194" s="49">
        <v>16</v>
      </c>
    </row>
    <row r="195" spans="1:66" ht="15">
      <c r="A195" s="65" t="s">
        <v>335</v>
      </c>
      <c r="B195" s="65" t="s">
        <v>341</v>
      </c>
      <c r="C195" s="66" t="s">
        <v>4406</v>
      </c>
      <c r="D195" s="67">
        <v>1</v>
      </c>
      <c r="E195" s="68" t="s">
        <v>132</v>
      </c>
      <c r="F195" s="69">
        <v>32</v>
      </c>
      <c r="G195" s="66" t="s">
        <v>51</v>
      </c>
      <c r="H195" s="70"/>
      <c r="I195" s="71"/>
      <c r="J195" s="71"/>
      <c r="K195" s="35" t="s">
        <v>65</v>
      </c>
      <c r="L195" s="79">
        <v>195</v>
      </c>
      <c r="M195" s="79"/>
      <c r="N195" s="73"/>
      <c r="O195" s="90" t="s">
        <v>447</v>
      </c>
      <c r="P195" s="93">
        <v>44577.87042824074</v>
      </c>
      <c r="Q195" s="90" t="s">
        <v>514</v>
      </c>
      <c r="R195" s="90"/>
      <c r="S195" s="90"/>
      <c r="T195" s="90"/>
      <c r="U195" s="95" t="str">
        <f>HYPERLINK("https://pbs.twimg.com/media/FJPK-YrWUAYi1BM.jpg")</f>
        <v>https://pbs.twimg.com/media/FJPK-YrWUAYi1BM.jpg</v>
      </c>
      <c r="V195" s="95" t="str">
        <f>HYPERLINK("https://pbs.twimg.com/media/FJPK-YrWUAYi1BM.jpg")</f>
        <v>https://pbs.twimg.com/media/FJPK-YrWUAYi1BM.jpg</v>
      </c>
      <c r="W195" s="93">
        <v>44577.87042824074</v>
      </c>
      <c r="X195" s="102">
        <v>44577</v>
      </c>
      <c r="Y195" s="97" t="s">
        <v>719</v>
      </c>
      <c r="Z195" s="95" t="str">
        <f>HYPERLINK("https://twitter.com/emilia44948661/status/1482818295170535434")</f>
        <v>https://twitter.com/emilia44948661/status/1482818295170535434</v>
      </c>
      <c r="AA195" s="90"/>
      <c r="AB195" s="90"/>
      <c r="AC195" s="97" t="s">
        <v>960</v>
      </c>
      <c r="AD195" s="90"/>
      <c r="AE195" s="90" t="b">
        <v>0</v>
      </c>
      <c r="AF195" s="90">
        <v>0</v>
      </c>
      <c r="AG195" s="97" t="s">
        <v>1087</v>
      </c>
      <c r="AH195" s="90" t="b">
        <v>0</v>
      </c>
      <c r="AI195" s="90" t="s">
        <v>1127</v>
      </c>
      <c r="AJ195" s="90"/>
      <c r="AK195" s="97" t="s">
        <v>1087</v>
      </c>
      <c r="AL195" s="90" t="b">
        <v>0</v>
      </c>
      <c r="AM195" s="90">
        <v>36</v>
      </c>
      <c r="AN195" s="97" t="s">
        <v>1040</v>
      </c>
      <c r="AO195" s="97" t="s">
        <v>1132</v>
      </c>
      <c r="AP195" s="90" t="b">
        <v>0</v>
      </c>
      <c r="AQ195" s="97" t="s">
        <v>1040</v>
      </c>
      <c r="AR195" s="90" t="s">
        <v>178</v>
      </c>
      <c r="AS195" s="90">
        <v>0</v>
      </c>
      <c r="AT195" s="90">
        <v>0</v>
      </c>
      <c r="AU195" s="90"/>
      <c r="AV195" s="90"/>
      <c r="AW195" s="90"/>
      <c r="AX195" s="90"/>
      <c r="AY195" s="90"/>
      <c r="AZ195" s="90"/>
      <c r="BA195" s="90"/>
      <c r="BB195" s="90"/>
      <c r="BC195">
        <v>2</v>
      </c>
      <c r="BD195" s="89" t="str">
        <f>REPLACE(INDEX(GroupVertices[Group],MATCH(Edges[[#This Row],[Vertex 1]],GroupVertices[Vertex],0)),1,1,"")</f>
        <v>1</v>
      </c>
      <c r="BE195" s="89" t="str">
        <f>REPLACE(INDEX(GroupVertices[Group],MATCH(Edges[[#This Row],[Vertex 2]],GroupVertices[Vertex],0)),1,1,"")</f>
        <v>1</v>
      </c>
      <c r="BF195" s="49">
        <v>0</v>
      </c>
      <c r="BG195" s="50">
        <v>0</v>
      </c>
      <c r="BH195" s="49">
        <v>0</v>
      </c>
      <c r="BI195" s="50">
        <v>0</v>
      </c>
      <c r="BJ195" s="49">
        <v>0</v>
      </c>
      <c r="BK195" s="50">
        <v>0</v>
      </c>
      <c r="BL195" s="49">
        <v>4</v>
      </c>
      <c r="BM195" s="50">
        <v>100</v>
      </c>
      <c r="BN195" s="49">
        <v>4</v>
      </c>
    </row>
    <row r="196" spans="1:66" ht="15">
      <c r="A196" s="65" t="s">
        <v>336</v>
      </c>
      <c r="B196" s="65" t="s">
        <v>400</v>
      </c>
      <c r="C196" s="66" t="s">
        <v>4405</v>
      </c>
      <c r="D196" s="67">
        <v>1</v>
      </c>
      <c r="E196" s="68" t="s">
        <v>132</v>
      </c>
      <c r="F196" s="69">
        <v>32</v>
      </c>
      <c r="G196" s="66" t="s">
        <v>51</v>
      </c>
      <c r="H196" s="70"/>
      <c r="I196" s="71"/>
      <c r="J196" s="71"/>
      <c r="K196" s="35" t="s">
        <v>65</v>
      </c>
      <c r="L196" s="79">
        <v>196</v>
      </c>
      <c r="M196" s="79"/>
      <c r="N196" s="73"/>
      <c r="O196" s="90" t="s">
        <v>447</v>
      </c>
      <c r="P196" s="93">
        <v>44577.870844907404</v>
      </c>
      <c r="Q196" s="90" t="s">
        <v>523</v>
      </c>
      <c r="R196" s="95" t="str">
        <f>HYPERLINK("https://www.tripadvisor.com/Restaurant_Review-g189934-d21338840-Reviews-Bardot-Helsinki_Uusimaa.html")</f>
        <v>https://www.tripadvisor.com/Restaurant_Review-g189934-d21338840-Reviews-Bardot-Helsinki_Uusimaa.html</v>
      </c>
      <c r="S196" s="90" t="s">
        <v>554</v>
      </c>
      <c r="T196" s="90"/>
      <c r="U196" s="90"/>
      <c r="V196" s="95" t="str">
        <f>HYPERLINK("https://pbs.twimg.com/profile_images/1187411343764262912/JiXC-xB5_normal.jpg")</f>
        <v>https://pbs.twimg.com/profile_images/1187411343764262912/JiXC-xB5_normal.jpg</v>
      </c>
      <c r="W196" s="93">
        <v>44577.870844907404</v>
      </c>
      <c r="X196" s="102">
        <v>44577</v>
      </c>
      <c r="Y196" s="97" t="s">
        <v>720</v>
      </c>
      <c r="Z196" s="95" t="str">
        <f>HYPERLINK("https://twitter.com/sariheinonen5/status/1482818446886850568")</f>
        <v>https://twitter.com/sariheinonen5/status/1482818446886850568</v>
      </c>
      <c r="AA196" s="90"/>
      <c r="AB196" s="90"/>
      <c r="AC196" s="97" t="s">
        <v>961</v>
      </c>
      <c r="AD196" s="90"/>
      <c r="AE196" s="90" t="b">
        <v>0</v>
      </c>
      <c r="AF196" s="90">
        <v>0</v>
      </c>
      <c r="AG196" s="97" t="s">
        <v>1087</v>
      </c>
      <c r="AH196" s="90" t="b">
        <v>0</v>
      </c>
      <c r="AI196" s="90" t="s">
        <v>1127</v>
      </c>
      <c r="AJ196" s="90"/>
      <c r="AK196" s="97" t="s">
        <v>1087</v>
      </c>
      <c r="AL196" s="90" t="b">
        <v>0</v>
      </c>
      <c r="AM196" s="90">
        <v>15</v>
      </c>
      <c r="AN196" s="97" t="s">
        <v>1043</v>
      </c>
      <c r="AO196" s="97" t="s">
        <v>1133</v>
      </c>
      <c r="AP196" s="90" t="b">
        <v>0</v>
      </c>
      <c r="AQ196" s="97" t="s">
        <v>1043</v>
      </c>
      <c r="AR196" s="90" t="s">
        <v>178</v>
      </c>
      <c r="AS196" s="90">
        <v>0</v>
      </c>
      <c r="AT196" s="90">
        <v>0</v>
      </c>
      <c r="AU196" s="90"/>
      <c r="AV196" s="90"/>
      <c r="AW196" s="90"/>
      <c r="AX196" s="90"/>
      <c r="AY196" s="90"/>
      <c r="AZ196" s="90"/>
      <c r="BA196" s="90"/>
      <c r="BB196" s="90"/>
      <c r="BC196">
        <v>1</v>
      </c>
      <c r="BD196" s="89" t="str">
        <f>REPLACE(INDEX(GroupVertices[Group],MATCH(Edges[[#This Row],[Vertex 1]],GroupVertices[Vertex],0)),1,1,"")</f>
        <v>5</v>
      </c>
      <c r="BE196" s="89" t="str">
        <f>REPLACE(INDEX(GroupVertices[Group],MATCH(Edges[[#This Row],[Vertex 2]],GroupVertices[Vertex],0)),1,1,"")</f>
        <v>5</v>
      </c>
      <c r="BF196" s="49">
        <v>0</v>
      </c>
      <c r="BG196" s="50">
        <v>0</v>
      </c>
      <c r="BH196" s="49">
        <v>0</v>
      </c>
      <c r="BI196" s="50">
        <v>0</v>
      </c>
      <c r="BJ196" s="49">
        <v>0</v>
      </c>
      <c r="BK196" s="50">
        <v>0</v>
      </c>
      <c r="BL196" s="49">
        <v>13</v>
      </c>
      <c r="BM196" s="50">
        <v>100</v>
      </c>
      <c r="BN196" s="49">
        <v>13</v>
      </c>
    </row>
    <row r="197" spans="1:66" ht="15">
      <c r="A197" s="65" t="s">
        <v>337</v>
      </c>
      <c r="B197" s="65" t="s">
        <v>341</v>
      </c>
      <c r="C197" s="66" t="s">
        <v>4405</v>
      </c>
      <c r="D197" s="67">
        <v>1</v>
      </c>
      <c r="E197" s="68" t="s">
        <v>132</v>
      </c>
      <c r="F197" s="69">
        <v>32</v>
      </c>
      <c r="G197" s="66" t="s">
        <v>51</v>
      </c>
      <c r="H197" s="70"/>
      <c r="I197" s="71"/>
      <c r="J197" s="71"/>
      <c r="K197" s="35" t="s">
        <v>65</v>
      </c>
      <c r="L197" s="79">
        <v>197</v>
      </c>
      <c r="M197" s="79"/>
      <c r="N197" s="73"/>
      <c r="O197" s="90" t="s">
        <v>447</v>
      </c>
      <c r="P197" s="93">
        <v>44577.88643518519</v>
      </c>
      <c r="Q197" s="90" t="s">
        <v>514</v>
      </c>
      <c r="R197" s="90"/>
      <c r="S197" s="90"/>
      <c r="T197" s="90"/>
      <c r="U197" s="95" t="str">
        <f>HYPERLINK("https://pbs.twimg.com/media/FJPK-YrWUAYi1BM.jpg")</f>
        <v>https://pbs.twimg.com/media/FJPK-YrWUAYi1BM.jpg</v>
      </c>
      <c r="V197" s="95" t="str">
        <f>HYPERLINK("https://pbs.twimg.com/media/FJPK-YrWUAYi1BM.jpg")</f>
        <v>https://pbs.twimg.com/media/FJPK-YrWUAYi1BM.jpg</v>
      </c>
      <c r="W197" s="93">
        <v>44577.88643518519</v>
      </c>
      <c r="X197" s="102">
        <v>44577</v>
      </c>
      <c r="Y197" s="97" t="s">
        <v>721</v>
      </c>
      <c r="Z197" s="95" t="str">
        <f>HYPERLINK("https://twitter.com/konttiukko/status/1482824093997096962")</f>
        <v>https://twitter.com/konttiukko/status/1482824093997096962</v>
      </c>
      <c r="AA197" s="90"/>
      <c r="AB197" s="90"/>
      <c r="AC197" s="97" t="s">
        <v>962</v>
      </c>
      <c r="AD197" s="90"/>
      <c r="AE197" s="90" t="b">
        <v>0</v>
      </c>
      <c r="AF197" s="90">
        <v>0</v>
      </c>
      <c r="AG197" s="97" t="s">
        <v>1087</v>
      </c>
      <c r="AH197" s="90" t="b">
        <v>0</v>
      </c>
      <c r="AI197" s="90" t="s">
        <v>1127</v>
      </c>
      <c r="AJ197" s="90"/>
      <c r="AK197" s="97" t="s">
        <v>1087</v>
      </c>
      <c r="AL197" s="90" t="b">
        <v>0</v>
      </c>
      <c r="AM197" s="90">
        <v>36</v>
      </c>
      <c r="AN197" s="97" t="s">
        <v>1040</v>
      </c>
      <c r="AO197" s="97" t="s">
        <v>1133</v>
      </c>
      <c r="AP197" s="90" t="b">
        <v>0</v>
      </c>
      <c r="AQ197" s="97" t="s">
        <v>1040</v>
      </c>
      <c r="AR197" s="90" t="s">
        <v>178</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1</v>
      </c>
      <c r="BF197" s="49">
        <v>0</v>
      </c>
      <c r="BG197" s="50">
        <v>0</v>
      </c>
      <c r="BH197" s="49">
        <v>0</v>
      </c>
      <c r="BI197" s="50">
        <v>0</v>
      </c>
      <c r="BJ197" s="49">
        <v>0</v>
      </c>
      <c r="BK197" s="50">
        <v>0</v>
      </c>
      <c r="BL197" s="49">
        <v>4</v>
      </c>
      <c r="BM197" s="50">
        <v>100</v>
      </c>
      <c r="BN197" s="49">
        <v>4</v>
      </c>
    </row>
    <row r="198" spans="1:66" ht="15">
      <c r="A198" s="65" t="s">
        <v>338</v>
      </c>
      <c r="B198" s="65" t="s">
        <v>341</v>
      </c>
      <c r="C198" s="66" t="s">
        <v>4405</v>
      </c>
      <c r="D198" s="67">
        <v>1</v>
      </c>
      <c r="E198" s="68" t="s">
        <v>132</v>
      </c>
      <c r="F198" s="69">
        <v>32</v>
      </c>
      <c r="G198" s="66" t="s">
        <v>51</v>
      </c>
      <c r="H198" s="70"/>
      <c r="I198" s="71"/>
      <c r="J198" s="71"/>
      <c r="K198" s="35" t="s">
        <v>65</v>
      </c>
      <c r="L198" s="79">
        <v>198</v>
      </c>
      <c r="M198" s="79"/>
      <c r="N198" s="73"/>
      <c r="O198" s="90" t="s">
        <v>447</v>
      </c>
      <c r="P198" s="93">
        <v>44577.892430555556</v>
      </c>
      <c r="Q198" s="90" t="s">
        <v>520</v>
      </c>
      <c r="R198" s="90"/>
      <c r="S198" s="90"/>
      <c r="T198" s="90"/>
      <c r="U198" s="90"/>
      <c r="V198" s="95" t="str">
        <f>HYPERLINK("https://pbs.twimg.com/profile_images/1468821430896840709/aFhhYW--_normal.jpg")</f>
        <v>https://pbs.twimg.com/profile_images/1468821430896840709/aFhhYW--_normal.jpg</v>
      </c>
      <c r="W198" s="93">
        <v>44577.892430555556</v>
      </c>
      <c r="X198" s="102">
        <v>44577</v>
      </c>
      <c r="Y198" s="97" t="s">
        <v>722</v>
      </c>
      <c r="Z198" s="95" t="str">
        <f>HYPERLINK("https://twitter.com/vilikasvikkela/status/1482826268907294728")</f>
        <v>https://twitter.com/vilikasvikkela/status/1482826268907294728</v>
      </c>
      <c r="AA198" s="90"/>
      <c r="AB198" s="90"/>
      <c r="AC198" s="97" t="s">
        <v>963</v>
      </c>
      <c r="AD198" s="90"/>
      <c r="AE198" s="90" t="b">
        <v>0</v>
      </c>
      <c r="AF198" s="90">
        <v>0</v>
      </c>
      <c r="AG198" s="97" t="s">
        <v>1087</v>
      </c>
      <c r="AH198" s="90" t="b">
        <v>0</v>
      </c>
      <c r="AI198" s="90" t="s">
        <v>1127</v>
      </c>
      <c r="AJ198" s="90"/>
      <c r="AK198" s="97" t="s">
        <v>1087</v>
      </c>
      <c r="AL198" s="90" t="b">
        <v>0</v>
      </c>
      <c r="AM198" s="90">
        <v>24</v>
      </c>
      <c r="AN198" s="97" t="s">
        <v>1041</v>
      </c>
      <c r="AO198" s="97" t="s">
        <v>1133</v>
      </c>
      <c r="AP198" s="90" t="b">
        <v>0</v>
      </c>
      <c r="AQ198" s="97" t="s">
        <v>1041</v>
      </c>
      <c r="AR198" s="90" t="s">
        <v>178</v>
      </c>
      <c r="AS198" s="90">
        <v>0</v>
      </c>
      <c r="AT198" s="90">
        <v>0</v>
      </c>
      <c r="AU198" s="90"/>
      <c r="AV198" s="90"/>
      <c r="AW198" s="90"/>
      <c r="AX198" s="90"/>
      <c r="AY198" s="90"/>
      <c r="AZ198" s="90"/>
      <c r="BA198" s="90"/>
      <c r="BB198" s="90"/>
      <c r="BC198">
        <v>1</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16</v>
      </c>
      <c r="BM198" s="50">
        <v>100</v>
      </c>
      <c r="BN198" s="49">
        <v>16</v>
      </c>
    </row>
    <row r="199" spans="1:66" ht="15">
      <c r="A199" s="65" t="s">
        <v>339</v>
      </c>
      <c r="B199" s="65" t="s">
        <v>400</v>
      </c>
      <c r="C199" s="66" t="s">
        <v>4405</v>
      </c>
      <c r="D199" s="67">
        <v>1</v>
      </c>
      <c r="E199" s="68" t="s">
        <v>132</v>
      </c>
      <c r="F199" s="69">
        <v>32</v>
      </c>
      <c r="G199" s="66" t="s">
        <v>51</v>
      </c>
      <c r="H199" s="70"/>
      <c r="I199" s="71"/>
      <c r="J199" s="71"/>
      <c r="K199" s="35" t="s">
        <v>65</v>
      </c>
      <c r="L199" s="79">
        <v>199</v>
      </c>
      <c r="M199" s="79"/>
      <c r="N199" s="73"/>
      <c r="O199" s="90" t="s">
        <v>447</v>
      </c>
      <c r="P199" s="93">
        <v>44577.93417824074</v>
      </c>
      <c r="Q199" s="90" t="s">
        <v>523</v>
      </c>
      <c r="R199" s="95" t="str">
        <f>HYPERLINK("https://www.tripadvisor.com/Restaurant_Review-g189934-d21338840-Reviews-Bardot-Helsinki_Uusimaa.html")</f>
        <v>https://www.tripadvisor.com/Restaurant_Review-g189934-d21338840-Reviews-Bardot-Helsinki_Uusimaa.html</v>
      </c>
      <c r="S199" s="90" t="s">
        <v>554</v>
      </c>
      <c r="T199" s="90"/>
      <c r="U199" s="90"/>
      <c r="V199" s="95" t="str">
        <f>HYPERLINK("https://pbs.twimg.com/profile_images/1477767189285543937/Gvwll582_normal.jpg")</f>
        <v>https://pbs.twimg.com/profile_images/1477767189285543937/Gvwll582_normal.jpg</v>
      </c>
      <c r="W199" s="93">
        <v>44577.93417824074</v>
      </c>
      <c r="X199" s="102">
        <v>44577</v>
      </c>
      <c r="Y199" s="97" t="s">
        <v>723</v>
      </c>
      <c r="Z199" s="95" t="str">
        <f>HYPERLINK("https://twitter.com/putinint/status/1482841398730792961")</f>
        <v>https://twitter.com/putinint/status/1482841398730792961</v>
      </c>
      <c r="AA199" s="90"/>
      <c r="AB199" s="90"/>
      <c r="AC199" s="97" t="s">
        <v>964</v>
      </c>
      <c r="AD199" s="90"/>
      <c r="AE199" s="90" t="b">
        <v>0</v>
      </c>
      <c r="AF199" s="90">
        <v>0</v>
      </c>
      <c r="AG199" s="97" t="s">
        <v>1087</v>
      </c>
      <c r="AH199" s="90" t="b">
        <v>0</v>
      </c>
      <c r="AI199" s="90" t="s">
        <v>1127</v>
      </c>
      <c r="AJ199" s="90"/>
      <c r="AK199" s="97" t="s">
        <v>1087</v>
      </c>
      <c r="AL199" s="90" t="b">
        <v>0</v>
      </c>
      <c r="AM199" s="90">
        <v>15</v>
      </c>
      <c r="AN199" s="97" t="s">
        <v>1043</v>
      </c>
      <c r="AO199" s="97" t="s">
        <v>1132</v>
      </c>
      <c r="AP199" s="90" t="b">
        <v>0</v>
      </c>
      <c r="AQ199" s="97" t="s">
        <v>1043</v>
      </c>
      <c r="AR199" s="90" t="s">
        <v>178</v>
      </c>
      <c r="AS199" s="90">
        <v>0</v>
      </c>
      <c r="AT199" s="90">
        <v>0</v>
      </c>
      <c r="AU199" s="90"/>
      <c r="AV199" s="90"/>
      <c r="AW199" s="90"/>
      <c r="AX199" s="90"/>
      <c r="AY199" s="90"/>
      <c r="AZ199" s="90"/>
      <c r="BA199" s="90"/>
      <c r="BB199" s="90"/>
      <c r="BC199">
        <v>1</v>
      </c>
      <c r="BD199" s="89" t="str">
        <f>REPLACE(INDEX(GroupVertices[Group],MATCH(Edges[[#This Row],[Vertex 1]],GroupVertices[Vertex],0)),1,1,"")</f>
        <v>5</v>
      </c>
      <c r="BE199" s="89" t="str">
        <f>REPLACE(INDEX(GroupVertices[Group],MATCH(Edges[[#This Row],[Vertex 2]],GroupVertices[Vertex],0)),1,1,"")</f>
        <v>5</v>
      </c>
      <c r="BF199" s="49">
        <v>0</v>
      </c>
      <c r="BG199" s="50">
        <v>0</v>
      </c>
      <c r="BH199" s="49">
        <v>0</v>
      </c>
      <c r="BI199" s="50">
        <v>0</v>
      </c>
      <c r="BJ199" s="49">
        <v>0</v>
      </c>
      <c r="BK199" s="50">
        <v>0</v>
      </c>
      <c r="BL199" s="49">
        <v>13</v>
      </c>
      <c r="BM199" s="50">
        <v>100</v>
      </c>
      <c r="BN199" s="49">
        <v>13</v>
      </c>
    </row>
    <row r="200" spans="1:66" ht="15">
      <c r="A200" s="65" t="s">
        <v>340</v>
      </c>
      <c r="B200" s="65" t="s">
        <v>340</v>
      </c>
      <c r="C200" s="66" t="s">
        <v>4405</v>
      </c>
      <c r="D200" s="67">
        <v>1</v>
      </c>
      <c r="E200" s="68" t="s">
        <v>132</v>
      </c>
      <c r="F200" s="69">
        <v>32</v>
      </c>
      <c r="G200" s="66" t="s">
        <v>51</v>
      </c>
      <c r="H200" s="70"/>
      <c r="I200" s="71"/>
      <c r="J200" s="71"/>
      <c r="K200" s="35" t="s">
        <v>65</v>
      </c>
      <c r="L200" s="79">
        <v>200</v>
      </c>
      <c r="M200" s="79"/>
      <c r="N200" s="73"/>
      <c r="O200" s="90" t="s">
        <v>178</v>
      </c>
      <c r="P200" s="93">
        <v>44577.94644675926</v>
      </c>
      <c r="Q200" s="90" t="s">
        <v>526</v>
      </c>
      <c r="R200" s="95" t="str">
        <f>HYPERLINK("https://twitter.com/CpTheorist/status/1482761602738839555")</f>
        <v>https://twitter.com/CpTheorist/status/1482761602738839555</v>
      </c>
      <c r="S200" s="90" t="s">
        <v>552</v>
      </c>
      <c r="T200" s="97" t="s">
        <v>556</v>
      </c>
      <c r="U200" s="90"/>
      <c r="V200" s="95" t="str">
        <f>HYPERLINK("https://pbs.twimg.com/profile_images/969942784684838912/3EnaAsJx_normal.jpg")</f>
        <v>https://pbs.twimg.com/profile_images/969942784684838912/3EnaAsJx_normal.jpg</v>
      </c>
      <c r="W200" s="93">
        <v>44577.94644675926</v>
      </c>
      <c r="X200" s="102">
        <v>44577</v>
      </c>
      <c r="Y200" s="97" t="s">
        <v>724</v>
      </c>
      <c r="Z200" s="95" t="str">
        <f>HYPERLINK("https://twitter.com/johnbuckwheat/status/1482845842407055361")</f>
        <v>https://twitter.com/johnbuckwheat/status/1482845842407055361</v>
      </c>
      <c r="AA200" s="90"/>
      <c r="AB200" s="90"/>
      <c r="AC200" s="97" t="s">
        <v>965</v>
      </c>
      <c r="AD200" s="90"/>
      <c r="AE200" s="90" t="b">
        <v>0</v>
      </c>
      <c r="AF200" s="90">
        <v>4</v>
      </c>
      <c r="AG200" s="97" t="s">
        <v>1087</v>
      </c>
      <c r="AH200" s="90" t="b">
        <v>1</v>
      </c>
      <c r="AI200" s="90" t="s">
        <v>1127</v>
      </c>
      <c r="AJ200" s="90"/>
      <c r="AK200" s="97" t="s">
        <v>1041</v>
      </c>
      <c r="AL200" s="90" t="b">
        <v>0</v>
      </c>
      <c r="AM200" s="90">
        <v>1</v>
      </c>
      <c r="AN200" s="97" t="s">
        <v>1087</v>
      </c>
      <c r="AO200" s="97" t="s">
        <v>1133</v>
      </c>
      <c r="AP200" s="90" t="b">
        <v>0</v>
      </c>
      <c r="AQ200" s="97" t="s">
        <v>965</v>
      </c>
      <c r="AR200" s="90" t="s">
        <v>178</v>
      </c>
      <c r="AS200" s="90">
        <v>0</v>
      </c>
      <c r="AT200" s="90">
        <v>0</v>
      </c>
      <c r="AU200" s="90"/>
      <c r="AV200" s="90"/>
      <c r="AW200" s="90"/>
      <c r="AX200" s="90"/>
      <c r="AY200" s="90"/>
      <c r="AZ200" s="90"/>
      <c r="BA200" s="90"/>
      <c r="BB200" s="90"/>
      <c r="BC200">
        <v>1</v>
      </c>
      <c r="BD200" s="89" t="str">
        <f>REPLACE(INDEX(GroupVertices[Group],MATCH(Edges[[#This Row],[Vertex 1]],GroupVertices[Vertex],0)),1,1,"")</f>
        <v>1</v>
      </c>
      <c r="BE200" s="89"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5" t="s">
        <v>341</v>
      </c>
      <c r="B201" s="65" t="s">
        <v>340</v>
      </c>
      <c r="C201" s="66" t="s">
        <v>4405</v>
      </c>
      <c r="D201" s="67">
        <v>1</v>
      </c>
      <c r="E201" s="68" t="s">
        <v>132</v>
      </c>
      <c r="F201" s="69">
        <v>32</v>
      </c>
      <c r="G201" s="66" t="s">
        <v>51</v>
      </c>
      <c r="H201" s="70"/>
      <c r="I201" s="71"/>
      <c r="J201" s="71"/>
      <c r="K201" s="35" t="s">
        <v>65</v>
      </c>
      <c r="L201" s="79">
        <v>201</v>
      </c>
      <c r="M201" s="79"/>
      <c r="N201" s="73"/>
      <c r="O201" s="90" t="s">
        <v>447</v>
      </c>
      <c r="P201" s="93">
        <v>44577.947696759256</v>
      </c>
      <c r="Q201" s="90" t="s">
        <v>526</v>
      </c>
      <c r="R201" s="95" t="str">
        <f>HYPERLINK("https://twitter.com/CpTheorist/status/1482761602738839555")</f>
        <v>https://twitter.com/CpTheorist/status/1482761602738839555</v>
      </c>
      <c r="S201" s="90" t="s">
        <v>552</v>
      </c>
      <c r="T201" s="97" t="s">
        <v>556</v>
      </c>
      <c r="U201" s="90"/>
      <c r="V201" s="95" t="str">
        <f>HYPERLINK("https://pbs.twimg.com/profile_images/1430266859425869830/4zb9xNoh_normal.jpg")</f>
        <v>https://pbs.twimg.com/profile_images/1430266859425869830/4zb9xNoh_normal.jpg</v>
      </c>
      <c r="W201" s="93">
        <v>44577.947696759256</v>
      </c>
      <c r="X201" s="102">
        <v>44577</v>
      </c>
      <c r="Y201" s="97" t="s">
        <v>725</v>
      </c>
      <c r="Z201" s="95" t="str">
        <f>HYPERLINK("https://twitter.com/cptheorist/status/1482846296419581953")</f>
        <v>https://twitter.com/cptheorist/status/1482846296419581953</v>
      </c>
      <c r="AA201" s="90"/>
      <c r="AB201" s="90"/>
      <c r="AC201" s="97" t="s">
        <v>966</v>
      </c>
      <c r="AD201" s="90"/>
      <c r="AE201" s="90" t="b">
        <v>0</v>
      </c>
      <c r="AF201" s="90">
        <v>0</v>
      </c>
      <c r="AG201" s="97" t="s">
        <v>1087</v>
      </c>
      <c r="AH201" s="90" t="b">
        <v>1</v>
      </c>
      <c r="AI201" s="90" t="s">
        <v>1127</v>
      </c>
      <c r="AJ201" s="90"/>
      <c r="AK201" s="97" t="s">
        <v>1041</v>
      </c>
      <c r="AL201" s="90" t="b">
        <v>0</v>
      </c>
      <c r="AM201" s="90">
        <v>1</v>
      </c>
      <c r="AN201" s="97" t="s">
        <v>965</v>
      </c>
      <c r="AO201" s="97" t="s">
        <v>1133</v>
      </c>
      <c r="AP201" s="90" t="b">
        <v>0</v>
      </c>
      <c r="AQ201" s="97" t="s">
        <v>965</v>
      </c>
      <c r="AR201" s="90" t="s">
        <v>178</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1</v>
      </c>
      <c r="BF201" s="49">
        <v>0</v>
      </c>
      <c r="BG201" s="50">
        <v>0</v>
      </c>
      <c r="BH201" s="49">
        <v>0</v>
      </c>
      <c r="BI201" s="50">
        <v>0</v>
      </c>
      <c r="BJ201" s="49">
        <v>0</v>
      </c>
      <c r="BK201" s="50">
        <v>0</v>
      </c>
      <c r="BL201" s="49">
        <v>8</v>
      </c>
      <c r="BM201" s="50">
        <v>100</v>
      </c>
      <c r="BN201" s="49">
        <v>8</v>
      </c>
    </row>
    <row r="202" spans="1:66" ht="15">
      <c r="A202" s="65" t="s">
        <v>342</v>
      </c>
      <c r="B202" s="65" t="s">
        <v>342</v>
      </c>
      <c r="C202" s="66" t="s">
        <v>4405</v>
      </c>
      <c r="D202" s="67">
        <v>1</v>
      </c>
      <c r="E202" s="68" t="s">
        <v>132</v>
      </c>
      <c r="F202" s="69">
        <v>32</v>
      </c>
      <c r="G202" s="66" t="s">
        <v>51</v>
      </c>
      <c r="H202" s="70"/>
      <c r="I202" s="71"/>
      <c r="J202" s="71"/>
      <c r="K202" s="35" t="s">
        <v>65</v>
      </c>
      <c r="L202" s="79">
        <v>202</v>
      </c>
      <c r="M202" s="79"/>
      <c r="N202" s="73"/>
      <c r="O202" s="90" t="s">
        <v>178</v>
      </c>
      <c r="P202" s="93">
        <v>44577.95119212963</v>
      </c>
      <c r="Q202" s="90" t="s">
        <v>527</v>
      </c>
      <c r="R202" s="90"/>
      <c r="S202" s="90"/>
      <c r="T202" s="97" t="s">
        <v>569</v>
      </c>
      <c r="U202" s="90"/>
      <c r="V202" s="95" t="str">
        <f>HYPERLINK("https://pbs.twimg.com/profile_images/1119734998322618370/A8VTkPu1_normal.png")</f>
        <v>https://pbs.twimg.com/profile_images/1119734998322618370/A8VTkPu1_normal.png</v>
      </c>
      <c r="W202" s="93">
        <v>44577.95119212963</v>
      </c>
      <c r="X202" s="102">
        <v>44577</v>
      </c>
      <c r="Y202" s="97" t="s">
        <v>726</v>
      </c>
      <c r="Z202" s="95" t="str">
        <f>HYPERLINK("https://twitter.com/wildkettu/status/1482847564034711556")</f>
        <v>https://twitter.com/wildkettu/status/1482847564034711556</v>
      </c>
      <c r="AA202" s="90"/>
      <c r="AB202" s="90"/>
      <c r="AC202" s="97" t="s">
        <v>967</v>
      </c>
      <c r="AD202" s="90"/>
      <c r="AE202" s="90" t="b">
        <v>0</v>
      </c>
      <c r="AF202" s="90">
        <v>0</v>
      </c>
      <c r="AG202" s="97" t="s">
        <v>1087</v>
      </c>
      <c r="AH202" s="90" t="b">
        <v>0</v>
      </c>
      <c r="AI202" s="90" t="s">
        <v>1127</v>
      </c>
      <c r="AJ202" s="90"/>
      <c r="AK202" s="97" t="s">
        <v>1087</v>
      </c>
      <c r="AL202" s="90" t="b">
        <v>0</v>
      </c>
      <c r="AM202" s="90">
        <v>0</v>
      </c>
      <c r="AN202" s="97" t="s">
        <v>1087</v>
      </c>
      <c r="AO202" s="97" t="s">
        <v>1132</v>
      </c>
      <c r="AP202" s="90" t="b">
        <v>0</v>
      </c>
      <c r="AQ202" s="97" t="s">
        <v>967</v>
      </c>
      <c r="AR202" s="90" t="s">
        <v>178</v>
      </c>
      <c r="AS202" s="90">
        <v>0</v>
      </c>
      <c r="AT202" s="90">
        <v>0</v>
      </c>
      <c r="AU202" s="90"/>
      <c r="AV202" s="90"/>
      <c r="AW202" s="90"/>
      <c r="AX202" s="90"/>
      <c r="AY202" s="90"/>
      <c r="AZ202" s="90"/>
      <c r="BA202" s="90"/>
      <c r="BB202" s="90"/>
      <c r="BC202">
        <v>1</v>
      </c>
      <c r="BD202" s="89" t="str">
        <f>REPLACE(INDEX(GroupVertices[Group],MATCH(Edges[[#This Row],[Vertex 1]],GroupVertices[Vertex],0)),1,1,"")</f>
        <v>7</v>
      </c>
      <c r="BE202" s="89" t="str">
        <f>REPLACE(INDEX(GroupVertices[Group],MATCH(Edges[[#This Row],[Vertex 2]],GroupVertices[Vertex],0)),1,1,"")</f>
        <v>7</v>
      </c>
      <c r="BF202" s="49">
        <v>0</v>
      </c>
      <c r="BG202" s="50">
        <v>0</v>
      </c>
      <c r="BH202" s="49">
        <v>0</v>
      </c>
      <c r="BI202" s="50">
        <v>0</v>
      </c>
      <c r="BJ202" s="49">
        <v>0</v>
      </c>
      <c r="BK202" s="50">
        <v>0</v>
      </c>
      <c r="BL202" s="49">
        <v>28</v>
      </c>
      <c r="BM202" s="50">
        <v>100</v>
      </c>
      <c r="BN202" s="49">
        <v>28</v>
      </c>
    </row>
    <row r="203" spans="1:66" ht="15">
      <c r="A203" s="65" t="s">
        <v>343</v>
      </c>
      <c r="B203" s="65" t="s">
        <v>341</v>
      </c>
      <c r="C203" s="66" t="s">
        <v>4405</v>
      </c>
      <c r="D203" s="67">
        <v>1</v>
      </c>
      <c r="E203" s="68" t="s">
        <v>132</v>
      </c>
      <c r="F203" s="69">
        <v>32</v>
      </c>
      <c r="G203" s="66" t="s">
        <v>51</v>
      </c>
      <c r="H203" s="70"/>
      <c r="I203" s="71"/>
      <c r="J203" s="71"/>
      <c r="K203" s="35" t="s">
        <v>65</v>
      </c>
      <c r="L203" s="79">
        <v>203</v>
      </c>
      <c r="M203" s="79"/>
      <c r="N203" s="73"/>
      <c r="O203" s="90" t="s">
        <v>447</v>
      </c>
      <c r="P203" s="93">
        <v>44577.979675925926</v>
      </c>
      <c r="Q203" s="90" t="s">
        <v>514</v>
      </c>
      <c r="R203" s="90"/>
      <c r="S203" s="90"/>
      <c r="T203" s="90"/>
      <c r="U203" s="95" t="str">
        <f>HYPERLINK("https://pbs.twimg.com/media/FJPK-YrWUAYi1BM.jpg")</f>
        <v>https://pbs.twimg.com/media/FJPK-YrWUAYi1BM.jpg</v>
      </c>
      <c r="V203" s="95" t="str">
        <f>HYPERLINK("https://pbs.twimg.com/media/FJPK-YrWUAYi1BM.jpg")</f>
        <v>https://pbs.twimg.com/media/FJPK-YrWUAYi1BM.jpg</v>
      </c>
      <c r="W203" s="93">
        <v>44577.979675925926</v>
      </c>
      <c r="X203" s="102">
        <v>44577</v>
      </c>
      <c r="Y203" s="97" t="s">
        <v>727</v>
      </c>
      <c r="Z203" s="95" t="str">
        <f>HYPERLINK("https://twitter.com/_mariiia_stina/status/1482857884350578689")</f>
        <v>https://twitter.com/_mariiia_stina/status/1482857884350578689</v>
      </c>
      <c r="AA203" s="90"/>
      <c r="AB203" s="90"/>
      <c r="AC203" s="97" t="s">
        <v>968</v>
      </c>
      <c r="AD203" s="90"/>
      <c r="AE203" s="90" t="b">
        <v>0</v>
      </c>
      <c r="AF203" s="90">
        <v>0</v>
      </c>
      <c r="AG203" s="97" t="s">
        <v>1087</v>
      </c>
      <c r="AH203" s="90" t="b">
        <v>0</v>
      </c>
      <c r="AI203" s="90" t="s">
        <v>1127</v>
      </c>
      <c r="AJ203" s="90"/>
      <c r="AK203" s="97" t="s">
        <v>1087</v>
      </c>
      <c r="AL203" s="90" t="b">
        <v>0</v>
      </c>
      <c r="AM203" s="90">
        <v>36</v>
      </c>
      <c r="AN203" s="97" t="s">
        <v>1040</v>
      </c>
      <c r="AO203" s="97" t="s">
        <v>1133</v>
      </c>
      <c r="AP203" s="90" t="b">
        <v>0</v>
      </c>
      <c r="AQ203" s="97" t="s">
        <v>1040</v>
      </c>
      <c r="AR203" s="90" t="s">
        <v>178</v>
      </c>
      <c r="AS203" s="90">
        <v>0</v>
      </c>
      <c r="AT203" s="90">
        <v>0</v>
      </c>
      <c r="AU203" s="90"/>
      <c r="AV203" s="90"/>
      <c r="AW203" s="90"/>
      <c r="AX203" s="90"/>
      <c r="AY203" s="90"/>
      <c r="AZ203" s="90"/>
      <c r="BA203" s="90"/>
      <c r="BB203" s="90"/>
      <c r="BC203">
        <v>1</v>
      </c>
      <c r="BD203" s="89" t="str">
        <f>REPLACE(INDEX(GroupVertices[Group],MATCH(Edges[[#This Row],[Vertex 1]],GroupVertices[Vertex],0)),1,1,"")</f>
        <v>1</v>
      </c>
      <c r="BE203" s="89" t="str">
        <f>REPLACE(INDEX(GroupVertices[Group],MATCH(Edges[[#This Row],[Vertex 2]],GroupVertices[Vertex],0)),1,1,"")</f>
        <v>1</v>
      </c>
      <c r="BF203" s="49">
        <v>0</v>
      </c>
      <c r="BG203" s="50">
        <v>0</v>
      </c>
      <c r="BH203" s="49">
        <v>0</v>
      </c>
      <c r="BI203" s="50">
        <v>0</v>
      </c>
      <c r="BJ203" s="49">
        <v>0</v>
      </c>
      <c r="BK203" s="50">
        <v>0</v>
      </c>
      <c r="BL203" s="49">
        <v>4</v>
      </c>
      <c r="BM203" s="50">
        <v>100</v>
      </c>
      <c r="BN203" s="49">
        <v>4</v>
      </c>
    </row>
    <row r="204" spans="1:66" ht="15">
      <c r="A204" s="65" t="s">
        <v>344</v>
      </c>
      <c r="B204" s="65" t="s">
        <v>341</v>
      </c>
      <c r="C204" s="66" t="s">
        <v>4405</v>
      </c>
      <c r="D204" s="67">
        <v>1</v>
      </c>
      <c r="E204" s="68" t="s">
        <v>132</v>
      </c>
      <c r="F204" s="69">
        <v>32</v>
      </c>
      <c r="G204" s="66" t="s">
        <v>51</v>
      </c>
      <c r="H204" s="70"/>
      <c r="I204" s="71"/>
      <c r="J204" s="71"/>
      <c r="K204" s="35" t="s">
        <v>65</v>
      </c>
      <c r="L204" s="79">
        <v>204</v>
      </c>
      <c r="M204" s="79"/>
      <c r="N204" s="73"/>
      <c r="O204" s="90" t="s">
        <v>447</v>
      </c>
      <c r="P204" s="93">
        <v>44578.14792824074</v>
      </c>
      <c r="Q204" s="90" t="s">
        <v>520</v>
      </c>
      <c r="R204" s="90"/>
      <c r="S204" s="90"/>
      <c r="T204" s="90"/>
      <c r="U204" s="90"/>
      <c r="V204" s="95" t="str">
        <f>HYPERLINK("https://pbs.twimg.com/profile_images/1478580348191756294/AlZw1jxV_normal.jpg")</f>
        <v>https://pbs.twimg.com/profile_images/1478580348191756294/AlZw1jxV_normal.jpg</v>
      </c>
      <c r="W204" s="93">
        <v>44578.14792824074</v>
      </c>
      <c r="X204" s="102">
        <v>44578</v>
      </c>
      <c r="Y204" s="97" t="s">
        <v>728</v>
      </c>
      <c r="Z204" s="95" t="str">
        <f>HYPERLINK("https://twitter.com/madetojastig/status/1482918856003928066")</f>
        <v>https://twitter.com/madetojastig/status/1482918856003928066</v>
      </c>
      <c r="AA204" s="90"/>
      <c r="AB204" s="90"/>
      <c r="AC204" s="97" t="s">
        <v>969</v>
      </c>
      <c r="AD204" s="90"/>
      <c r="AE204" s="90" t="b">
        <v>0</v>
      </c>
      <c r="AF204" s="90">
        <v>0</v>
      </c>
      <c r="AG204" s="97" t="s">
        <v>1087</v>
      </c>
      <c r="AH204" s="90" t="b">
        <v>0</v>
      </c>
      <c r="AI204" s="90" t="s">
        <v>1127</v>
      </c>
      <c r="AJ204" s="90"/>
      <c r="AK204" s="97" t="s">
        <v>1087</v>
      </c>
      <c r="AL204" s="90" t="b">
        <v>0</v>
      </c>
      <c r="AM204" s="90">
        <v>24</v>
      </c>
      <c r="AN204" s="97" t="s">
        <v>1041</v>
      </c>
      <c r="AO204" s="97" t="s">
        <v>1132</v>
      </c>
      <c r="AP204" s="90" t="b">
        <v>0</v>
      </c>
      <c r="AQ204" s="97" t="s">
        <v>1041</v>
      </c>
      <c r="AR204" s="90" t="s">
        <v>178</v>
      </c>
      <c r="AS204" s="90">
        <v>0</v>
      </c>
      <c r="AT204" s="90">
        <v>0</v>
      </c>
      <c r="AU204" s="90"/>
      <c r="AV204" s="90"/>
      <c r="AW204" s="90"/>
      <c r="AX204" s="90"/>
      <c r="AY204" s="90"/>
      <c r="AZ204" s="90"/>
      <c r="BA204" s="90"/>
      <c r="BB204" s="90"/>
      <c r="BC204">
        <v>1</v>
      </c>
      <c r="BD204" s="89" t="str">
        <f>REPLACE(INDEX(GroupVertices[Group],MATCH(Edges[[#This Row],[Vertex 1]],GroupVertices[Vertex],0)),1,1,"")</f>
        <v>1</v>
      </c>
      <c r="BE204" s="89"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5" t="s">
        <v>345</v>
      </c>
      <c r="B205" s="65" t="s">
        <v>400</v>
      </c>
      <c r="C205" s="66" t="s">
        <v>4405</v>
      </c>
      <c r="D205" s="67">
        <v>1</v>
      </c>
      <c r="E205" s="68" t="s">
        <v>132</v>
      </c>
      <c r="F205" s="69">
        <v>32</v>
      </c>
      <c r="G205" s="66" t="s">
        <v>51</v>
      </c>
      <c r="H205" s="70"/>
      <c r="I205" s="71"/>
      <c r="J205" s="71"/>
      <c r="K205" s="35" t="s">
        <v>65</v>
      </c>
      <c r="L205" s="79">
        <v>205</v>
      </c>
      <c r="M205" s="79"/>
      <c r="N205" s="73"/>
      <c r="O205" s="90" t="s">
        <v>447</v>
      </c>
      <c r="P205" s="93">
        <v>44578.174097222225</v>
      </c>
      <c r="Q205" s="90" t="s">
        <v>523</v>
      </c>
      <c r="R205" s="95" t="str">
        <f>HYPERLINK("https://www.tripadvisor.com/Restaurant_Review-g189934-d21338840-Reviews-Bardot-Helsinki_Uusimaa.html")</f>
        <v>https://www.tripadvisor.com/Restaurant_Review-g189934-d21338840-Reviews-Bardot-Helsinki_Uusimaa.html</v>
      </c>
      <c r="S205" s="90" t="s">
        <v>554</v>
      </c>
      <c r="T205" s="90"/>
      <c r="U205" s="90"/>
      <c r="V205" s="95" t="str">
        <f>HYPERLINK("https://pbs.twimg.com/profile_images/1381607773956374531/xMyIqLWA_normal.jpg")</f>
        <v>https://pbs.twimg.com/profile_images/1381607773956374531/xMyIqLWA_normal.jpg</v>
      </c>
      <c r="W205" s="93">
        <v>44578.174097222225</v>
      </c>
      <c r="X205" s="102">
        <v>44578</v>
      </c>
      <c r="Y205" s="97" t="s">
        <v>729</v>
      </c>
      <c r="Z205" s="95" t="str">
        <f>HYPERLINK("https://twitter.com/p_suvi/status/1482928339258155017")</f>
        <v>https://twitter.com/p_suvi/status/1482928339258155017</v>
      </c>
      <c r="AA205" s="90"/>
      <c r="AB205" s="90"/>
      <c r="AC205" s="97" t="s">
        <v>970</v>
      </c>
      <c r="AD205" s="90"/>
      <c r="AE205" s="90" t="b">
        <v>0</v>
      </c>
      <c r="AF205" s="90">
        <v>0</v>
      </c>
      <c r="AG205" s="97" t="s">
        <v>1087</v>
      </c>
      <c r="AH205" s="90" t="b">
        <v>0</v>
      </c>
      <c r="AI205" s="90" t="s">
        <v>1127</v>
      </c>
      <c r="AJ205" s="90"/>
      <c r="AK205" s="97" t="s">
        <v>1087</v>
      </c>
      <c r="AL205" s="90" t="b">
        <v>0</v>
      </c>
      <c r="AM205" s="90">
        <v>15</v>
      </c>
      <c r="AN205" s="97" t="s">
        <v>1043</v>
      </c>
      <c r="AO205" s="97" t="s">
        <v>1133</v>
      </c>
      <c r="AP205" s="90" t="b">
        <v>0</v>
      </c>
      <c r="AQ205" s="97" t="s">
        <v>1043</v>
      </c>
      <c r="AR205" s="90" t="s">
        <v>178</v>
      </c>
      <c r="AS205" s="90">
        <v>0</v>
      </c>
      <c r="AT205" s="90">
        <v>0</v>
      </c>
      <c r="AU205" s="90"/>
      <c r="AV205" s="90"/>
      <c r="AW205" s="90"/>
      <c r="AX205" s="90"/>
      <c r="AY205" s="90"/>
      <c r="AZ205" s="90"/>
      <c r="BA205" s="90"/>
      <c r="BB205" s="90"/>
      <c r="BC205">
        <v>1</v>
      </c>
      <c r="BD205" s="89" t="str">
        <f>REPLACE(INDEX(GroupVertices[Group],MATCH(Edges[[#This Row],[Vertex 1]],GroupVertices[Vertex],0)),1,1,"")</f>
        <v>5</v>
      </c>
      <c r="BE205" s="89" t="str">
        <f>REPLACE(INDEX(GroupVertices[Group],MATCH(Edges[[#This Row],[Vertex 2]],GroupVertices[Vertex],0)),1,1,"")</f>
        <v>5</v>
      </c>
      <c r="BF205" s="49">
        <v>0</v>
      </c>
      <c r="BG205" s="50">
        <v>0</v>
      </c>
      <c r="BH205" s="49">
        <v>0</v>
      </c>
      <c r="BI205" s="50">
        <v>0</v>
      </c>
      <c r="BJ205" s="49">
        <v>0</v>
      </c>
      <c r="BK205" s="50">
        <v>0</v>
      </c>
      <c r="BL205" s="49">
        <v>13</v>
      </c>
      <c r="BM205" s="50">
        <v>100</v>
      </c>
      <c r="BN205" s="49">
        <v>13</v>
      </c>
    </row>
    <row r="206" spans="1:66" ht="15">
      <c r="A206" s="65" t="s">
        <v>346</v>
      </c>
      <c r="B206" s="65" t="s">
        <v>441</v>
      </c>
      <c r="C206" s="66" t="s">
        <v>4405</v>
      </c>
      <c r="D206" s="67">
        <v>1</v>
      </c>
      <c r="E206" s="68" t="s">
        <v>132</v>
      </c>
      <c r="F206" s="69">
        <v>32</v>
      </c>
      <c r="G206" s="66" t="s">
        <v>51</v>
      </c>
      <c r="H206" s="70"/>
      <c r="I206" s="71"/>
      <c r="J206" s="71"/>
      <c r="K206" s="35" t="s">
        <v>65</v>
      </c>
      <c r="L206" s="79">
        <v>206</v>
      </c>
      <c r="M206" s="79"/>
      <c r="N206" s="73"/>
      <c r="O206" s="90" t="s">
        <v>448</v>
      </c>
      <c r="P206" s="93">
        <v>44576.627650462964</v>
      </c>
      <c r="Q206" s="90" t="s">
        <v>528</v>
      </c>
      <c r="R206" s="90"/>
      <c r="S206" s="90"/>
      <c r="T206" s="90"/>
      <c r="U206" s="90"/>
      <c r="V206" s="95" t="str">
        <f>HYPERLINK("https://pbs.twimg.com/profile_images/1477405043745767424/A4r2j9QF_normal.jpg")</f>
        <v>https://pbs.twimg.com/profile_images/1477405043745767424/A4r2j9QF_normal.jpg</v>
      </c>
      <c r="W206" s="93">
        <v>44576.627650462964</v>
      </c>
      <c r="X206" s="102">
        <v>44576</v>
      </c>
      <c r="Y206" s="97" t="s">
        <v>730</v>
      </c>
      <c r="Z206" s="95" t="str">
        <f>HYPERLINK("https://twitter.com/sirumustikkamaa/status/1482367925197717505")</f>
        <v>https://twitter.com/sirumustikkamaa/status/1482367925197717505</v>
      </c>
      <c r="AA206" s="90"/>
      <c r="AB206" s="90"/>
      <c r="AC206" s="97" t="s">
        <v>971</v>
      </c>
      <c r="AD206" s="97" t="s">
        <v>1079</v>
      </c>
      <c r="AE206" s="90" t="b">
        <v>0</v>
      </c>
      <c r="AF206" s="90">
        <v>26</v>
      </c>
      <c r="AG206" s="97" t="s">
        <v>1120</v>
      </c>
      <c r="AH206" s="90" t="b">
        <v>0</v>
      </c>
      <c r="AI206" s="90" t="s">
        <v>1127</v>
      </c>
      <c r="AJ206" s="90"/>
      <c r="AK206" s="97" t="s">
        <v>1087</v>
      </c>
      <c r="AL206" s="90" t="b">
        <v>0</v>
      </c>
      <c r="AM206" s="90">
        <v>1</v>
      </c>
      <c r="AN206" s="97" t="s">
        <v>1087</v>
      </c>
      <c r="AO206" s="97" t="s">
        <v>1132</v>
      </c>
      <c r="AP206" s="90" t="b">
        <v>0</v>
      </c>
      <c r="AQ206" s="97" t="s">
        <v>1079</v>
      </c>
      <c r="AR206" s="90" t="s">
        <v>178</v>
      </c>
      <c r="AS206" s="90">
        <v>0</v>
      </c>
      <c r="AT206" s="90">
        <v>0</v>
      </c>
      <c r="AU206" s="90"/>
      <c r="AV206" s="90"/>
      <c r="AW206" s="90"/>
      <c r="AX206" s="90"/>
      <c r="AY206" s="90"/>
      <c r="AZ206" s="90"/>
      <c r="BA206" s="90"/>
      <c r="BB206" s="90"/>
      <c r="BC206">
        <v>1</v>
      </c>
      <c r="BD206" s="89" t="str">
        <f>REPLACE(INDEX(GroupVertices[Group],MATCH(Edges[[#This Row],[Vertex 1]],GroupVertices[Vertex],0)),1,1,"")</f>
        <v>5</v>
      </c>
      <c r="BE206" s="89" t="str">
        <f>REPLACE(INDEX(GroupVertices[Group],MATCH(Edges[[#This Row],[Vertex 2]],GroupVertices[Vertex],0)),1,1,"")</f>
        <v>5</v>
      </c>
      <c r="BF206" s="49">
        <v>0</v>
      </c>
      <c r="BG206" s="50">
        <v>0</v>
      </c>
      <c r="BH206" s="49">
        <v>0</v>
      </c>
      <c r="BI206" s="50">
        <v>0</v>
      </c>
      <c r="BJ206" s="49">
        <v>0</v>
      </c>
      <c r="BK206" s="50">
        <v>0</v>
      </c>
      <c r="BL206" s="49">
        <v>13</v>
      </c>
      <c r="BM206" s="50">
        <v>100</v>
      </c>
      <c r="BN206" s="49">
        <v>13</v>
      </c>
    </row>
    <row r="207" spans="1:66" ht="15">
      <c r="A207" s="65" t="s">
        <v>347</v>
      </c>
      <c r="B207" s="65" t="s">
        <v>441</v>
      </c>
      <c r="C207" s="66" t="s">
        <v>4405</v>
      </c>
      <c r="D207" s="67">
        <v>1</v>
      </c>
      <c r="E207" s="68" t="s">
        <v>132</v>
      </c>
      <c r="F207" s="69">
        <v>32</v>
      </c>
      <c r="G207" s="66" t="s">
        <v>51</v>
      </c>
      <c r="H207" s="70"/>
      <c r="I207" s="71"/>
      <c r="J207" s="71"/>
      <c r="K207" s="35" t="s">
        <v>65</v>
      </c>
      <c r="L207" s="79">
        <v>207</v>
      </c>
      <c r="M207" s="79"/>
      <c r="N207" s="73"/>
      <c r="O207" s="90" t="s">
        <v>448</v>
      </c>
      <c r="P207" s="93">
        <v>44576.76547453704</v>
      </c>
      <c r="Q207" s="90" t="s">
        <v>528</v>
      </c>
      <c r="R207" s="90"/>
      <c r="S207" s="90"/>
      <c r="T207" s="90"/>
      <c r="U207" s="90"/>
      <c r="V207" s="95" t="str">
        <f>HYPERLINK("https://pbs.twimg.com/profile_images/1469267063055294466/BE6dp6mM_normal.jpg")</f>
        <v>https://pbs.twimg.com/profile_images/1469267063055294466/BE6dp6mM_normal.jpg</v>
      </c>
      <c r="W207" s="93">
        <v>44576.76547453704</v>
      </c>
      <c r="X207" s="102">
        <v>44576</v>
      </c>
      <c r="Y207" s="97" t="s">
        <v>731</v>
      </c>
      <c r="Z207" s="95" t="str">
        <f>HYPERLINK("https://twitter.com/kolarirauno/status/1482417870688636928")</f>
        <v>https://twitter.com/kolarirauno/status/1482417870688636928</v>
      </c>
      <c r="AA207" s="90"/>
      <c r="AB207" s="90"/>
      <c r="AC207" s="97" t="s">
        <v>972</v>
      </c>
      <c r="AD207" s="90"/>
      <c r="AE207" s="90" t="b">
        <v>0</v>
      </c>
      <c r="AF207" s="90">
        <v>0</v>
      </c>
      <c r="AG207" s="97" t="s">
        <v>1087</v>
      </c>
      <c r="AH207" s="90" t="b">
        <v>0</v>
      </c>
      <c r="AI207" s="90" t="s">
        <v>1127</v>
      </c>
      <c r="AJ207" s="90"/>
      <c r="AK207" s="97" t="s">
        <v>1087</v>
      </c>
      <c r="AL207" s="90" t="b">
        <v>0</v>
      </c>
      <c r="AM207" s="90">
        <v>1</v>
      </c>
      <c r="AN207" s="97" t="s">
        <v>971</v>
      </c>
      <c r="AO207" s="97" t="s">
        <v>1133</v>
      </c>
      <c r="AP207" s="90" t="b">
        <v>0</v>
      </c>
      <c r="AQ207" s="97" t="s">
        <v>971</v>
      </c>
      <c r="AR207" s="90" t="s">
        <v>178</v>
      </c>
      <c r="AS207" s="90">
        <v>0</v>
      </c>
      <c r="AT207" s="90">
        <v>0</v>
      </c>
      <c r="AU207" s="90"/>
      <c r="AV207" s="90"/>
      <c r="AW207" s="90"/>
      <c r="AX207" s="90"/>
      <c r="AY207" s="90"/>
      <c r="AZ207" s="90"/>
      <c r="BA207" s="90"/>
      <c r="BB207" s="90"/>
      <c r="BC207">
        <v>1</v>
      </c>
      <c r="BD207" s="89" t="str">
        <f>REPLACE(INDEX(GroupVertices[Group],MATCH(Edges[[#This Row],[Vertex 1]],GroupVertices[Vertex],0)),1,1,"")</f>
        <v>5</v>
      </c>
      <c r="BE207" s="89" t="str">
        <f>REPLACE(INDEX(GroupVertices[Group],MATCH(Edges[[#This Row],[Vertex 2]],GroupVertices[Vertex],0)),1,1,"")</f>
        <v>5</v>
      </c>
      <c r="BF207" s="49"/>
      <c r="BG207" s="50"/>
      <c r="BH207" s="49"/>
      <c r="BI207" s="50"/>
      <c r="BJ207" s="49"/>
      <c r="BK207" s="50"/>
      <c r="BL207" s="49"/>
      <c r="BM207" s="50"/>
      <c r="BN207" s="49"/>
    </row>
    <row r="208" spans="1:66" ht="15">
      <c r="A208" s="65" t="s">
        <v>347</v>
      </c>
      <c r="B208" s="65" t="s">
        <v>346</v>
      </c>
      <c r="C208" s="66" t="s">
        <v>4405</v>
      </c>
      <c r="D208" s="67">
        <v>1</v>
      </c>
      <c r="E208" s="68" t="s">
        <v>132</v>
      </c>
      <c r="F208" s="69">
        <v>32</v>
      </c>
      <c r="G208" s="66" t="s">
        <v>51</v>
      </c>
      <c r="H208" s="70"/>
      <c r="I208" s="71"/>
      <c r="J208" s="71"/>
      <c r="K208" s="35" t="s">
        <v>65</v>
      </c>
      <c r="L208" s="79">
        <v>208</v>
      </c>
      <c r="M208" s="79"/>
      <c r="N208" s="73"/>
      <c r="O208" s="90" t="s">
        <v>447</v>
      </c>
      <c r="P208" s="93">
        <v>44576.76547453704</v>
      </c>
      <c r="Q208" s="90" t="s">
        <v>528</v>
      </c>
      <c r="R208" s="90"/>
      <c r="S208" s="90"/>
      <c r="T208" s="90"/>
      <c r="U208" s="90"/>
      <c r="V208" s="95" t="str">
        <f>HYPERLINK("https://pbs.twimg.com/profile_images/1469267063055294466/BE6dp6mM_normal.jpg")</f>
        <v>https://pbs.twimg.com/profile_images/1469267063055294466/BE6dp6mM_normal.jpg</v>
      </c>
      <c r="W208" s="93">
        <v>44576.76547453704</v>
      </c>
      <c r="X208" s="102">
        <v>44576</v>
      </c>
      <c r="Y208" s="97" t="s">
        <v>731</v>
      </c>
      <c r="Z208" s="95" t="str">
        <f>HYPERLINK("https://twitter.com/kolarirauno/status/1482417870688636928")</f>
        <v>https://twitter.com/kolarirauno/status/1482417870688636928</v>
      </c>
      <c r="AA208" s="90"/>
      <c r="AB208" s="90"/>
      <c r="AC208" s="97" t="s">
        <v>972</v>
      </c>
      <c r="AD208" s="90"/>
      <c r="AE208" s="90" t="b">
        <v>0</v>
      </c>
      <c r="AF208" s="90">
        <v>0</v>
      </c>
      <c r="AG208" s="97" t="s">
        <v>1087</v>
      </c>
      <c r="AH208" s="90" t="b">
        <v>0</v>
      </c>
      <c r="AI208" s="90" t="s">
        <v>1127</v>
      </c>
      <c r="AJ208" s="90"/>
      <c r="AK208" s="97" t="s">
        <v>1087</v>
      </c>
      <c r="AL208" s="90" t="b">
        <v>0</v>
      </c>
      <c r="AM208" s="90">
        <v>1</v>
      </c>
      <c r="AN208" s="97" t="s">
        <v>971</v>
      </c>
      <c r="AO208" s="97" t="s">
        <v>1133</v>
      </c>
      <c r="AP208" s="90" t="b">
        <v>0</v>
      </c>
      <c r="AQ208" s="97" t="s">
        <v>971</v>
      </c>
      <c r="AR208" s="90" t="s">
        <v>178</v>
      </c>
      <c r="AS208" s="90">
        <v>0</v>
      </c>
      <c r="AT208" s="90">
        <v>0</v>
      </c>
      <c r="AU208" s="90"/>
      <c r="AV208" s="90"/>
      <c r="AW208" s="90"/>
      <c r="AX208" s="90"/>
      <c r="AY208" s="90"/>
      <c r="AZ208" s="90"/>
      <c r="BA208" s="90"/>
      <c r="BB208" s="90"/>
      <c r="BC208">
        <v>1</v>
      </c>
      <c r="BD208" s="89" t="str">
        <f>REPLACE(INDEX(GroupVertices[Group],MATCH(Edges[[#This Row],[Vertex 1]],GroupVertices[Vertex],0)),1,1,"")</f>
        <v>5</v>
      </c>
      <c r="BE208" s="89" t="str">
        <f>REPLACE(INDEX(GroupVertices[Group],MATCH(Edges[[#This Row],[Vertex 2]],GroupVertices[Vertex],0)),1,1,"")</f>
        <v>5</v>
      </c>
      <c r="BF208" s="49">
        <v>0</v>
      </c>
      <c r="BG208" s="50">
        <v>0</v>
      </c>
      <c r="BH208" s="49">
        <v>0</v>
      </c>
      <c r="BI208" s="50">
        <v>0</v>
      </c>
      <c r="BJ208" s="49">
        <v>0</v>
      </c>
      <c r="BK208" s="50">
        <v>0</v>
      </c>
      <c r="BL208" s="49">
        <v>13</v>
      </c>
      <c r="BM208" s="50">
        <v>100</v>
      </c>
      <c r="BN208" s="49">
        <v>13</v>
      </c>
    </row>
    <row r="209" spans="1:66" ht="15">
      <c r="A209" s="65" t="s">
        <v>347</v>
      </c>
      <c r="B209" s="65" t="s">
        <v>341</v>
      </c>
      <c r="C209" s="66" t="s">
        <v>4405</v>
      </c>
      <c r="D209" s="67">
        <v>1</v>
      </c>
      <c r="E209" s="68" t="s">
        <v>132</v>
      </c>
      <c r="F209" s="69">
        <v>32</v>
      </c>
      <c r="G209" s="66" t="s">
        <v>51</v>
      </c>
      <c r="H209" s="70"/>
      <c r="I209" s="71"/>
      <c r="J209" s="71"/>
      <c r="K209" s="35" t="s">
        <v>65</v>
      </c>
      <c r="L209" s="79">
        <v>209</v>
      </c>
      <c r="M209" s="79"/>
      <c r="N209" s="73"/>
      <c r="O209" s="90" t="s">
        <v>447</v>
      </c>
      <c r="P209" s="93">
        <v>44578.17469907407</v>
      </c>
      <c r="Q209" s="90" t="s">
        <v>520</v>
      </c>
      <c r="R209" s="90"/>
      <c r="S209" s="90"/>
      <c r="T209" s="90"/>
      <c r="U209" s="90"/>
      <c r="V209" s="95" t="str">
        <f>HYPERLINK("https://pbs.twimg.com/profile_images/1469267063055294466/BE6dp6mM_normal.jpg")</f>
        <v>https://pbs.twimg.com/profile_images/1469267063055294466/BE6dp6mM_normal.jpg</v>
      </c>
      <c r="W209" s="93">
        <v>44578.17469907407</v>
      </c>
      <c r="X209" s="102">
        <v>44578</v>
      </c>
      <c r="Y209" s="97" t="s">
        <v>732</v>
      </c>
      <c r="Z209" s="95" t="str">
        <f>HYPERLINK("https://twitter.com/kolarirauno/status/1482928559945621508")</f>
        <v>https://twitter.com/kolarirauno/status/1482928559945621508</v>
      </c>
      <c r="AA209" s="90"/>
      <c r="AB209" s="90"/>
      <c r="AC209" s="97" t="s">
        <v>973</v>
      </c>
      <c r="AD209" s="90"/>
      <c r="AE209" s="90" t="b">
        <v>0</v>
      </c>
      <c r="AF209" s="90">
        <v>0</v>
      </c>
      <c r="AG209" s="97" t="s">
        <v>1087</v>
      </c>
      <c r="AH209" s="90" t="b">
        <v>0</v>
      </c>
      <c r="AI209" s="90" t="s">
        <v>1127</v>
      </c>
      <c r="AJ209" s="90"/>
      <c r="AK209" s="97" t="s">
        <v>1087</v>
      </c>
      <c r="AL209" s="90" t="b">
        <v>0</v>
      </c>
      <c r="AM209" s="90">
        <v>24</v>
      </c>
      <c r="AN209" s="97" t="s">
        <v>1041</v>
      </c>
      <c r="AO209" s="97" t="s">
        <v>1133</v>
      </c>
      <c r="AP209" s="90" t="b">
        <v>0</v>
      </c>
      <c r="AQ209" s="97" t="s">
        <v>1041</v>
      </c>
      <c r="AR209" s="90" t="s">
        <v>178</v>
      </c>
      <c r="AS209" s="90">
        <v>0</v>
      </c>
      <c r="AT209" s="90">
        <v>0</v>
      </c>
      <c r="AU209" s="90"/>
      <c r="AV209" s="90"/>
      <c r="AW209" s="90"/>
      <c r="AX209" s="90"/>
      <c r="AY209" s="90"/>
      <c r="AZ209" s="90"/>
      <c r="BA209" s="90"/>
      <c r="BB209" s="90"/>
      <c r="BC209">
        <v>1</v>
      </c>
      <c r="BD209" s="89" t="str">
        <f>REPLACE(INDEX(GroupVertices[Group],MATCH(Edges[[#This Row],[Vertex 1]],GroupVertices[Vertex],0)),1,1,"")</f>
        <v>5</v>
      </c>
      <c r="BE209" s="89" t="str">
        <f>REPLACE(INDEX(GroupVertices[Group],MATCH(Edges[[#This Row],[Vertex 2]],GroupVertices[Vertex],0)),1,1,"")</f>
        <v>1</v>
      </c>
      <c r="BF209" s="49">
        <v>0</v>
      </c>
      <c r="BG209" s="50">
        <v>0</v>
      </c>
      <c r="BH209" s="49">
        <v>0</v>
      </c>
      <c r="BI209" s="50">
        <v>0</v>
      </c>
      <c r="BJ209" s="49">
        <v>0</v>
      </c>
      <c r="BK209" s="50">
        <v>0</v>
      </c>
      <c r="BL209" s="49">
        <v>16</v>
      </c>
      <c r="BM209" s="50">
        <v>100</v>
      </c>
      <c r="BN209" s="49">
        <v>16</v>
      </c>
    </row>
    <row r="210" spans="1:66" ht="15">
      <c r="A210" s="65" t="s">
        <v>348</v>
      </c>
      <c r="B210" s="65" t="s">
        <v>348</v>
      </c>
      <c r="C210" s="66" t="s">
        <v>4405</v>
      </c>
      <c r="D210" s="67">
        <v>1</v>
      </c>
      <c r="E210" s="68" t="s">
        <v>132</v>
      </c>
      <c r="F210" s="69">
        <v>32</v>
      </c>
      <c r="G210" s="66" t="s">
        <v>51</v>
      </c>
      <c r="H210" s="70"/>
      <c r="I210" s="71"/>
      <c r="J210" s="71"/>
      <c r="K210" s="35" t="s">
        <v>65</v>
      </c>
      <c r="L210" s="79">
        <v>210</v>
      </c>
      <c r="M210" s="79"/>
      <c r="N210" s="73"/>
      <c r="O210" s="90" t="s">
        <v>178</v>
      </c>
      <c r="P210" s="93">
        <v>44578.236180555556</v>
      </c>
      <c r="Q210" s="90" t="s">
        <v>529</v>
      </c>
      <c r="R210" s="95" t="str">
        <f>HYPERLINK("https://www.iltalehti.fi/viihdeuutiset/a/0cdd8736-4e6e-4da0-924c-d5995c5878de")</f>
        <v>https://www.iltalehti.fi/viihdeuutiset/a/0cdd8736-4e6e-4da0-924c-d5995c5878de</v>
      </c>
      <c r="S210" s="90" t="s">
        <v>549</v>
      </c>
      <c r="T210" s="90"/>
      <c r="U210" s="90"/>
      <c r="V210" s="95" t="str">
        <f>HYPERLINK("https://pbs.twimg.com/profile_images/1406255953834647553/kTY0vIRK_normal.jpg")</f>
        <v>https://pbs.twimg.com/profile_images/1406255953834647553/kTY0vIRK_normal.jpg</v>
      </c>
      <c r="W210" s="93">
        <v>44578.236180555556</v>
      </c>
      <c r="X210" s="102">
        <v>44578</v>
      </c>
      <c r="Y210" s="97" t="s">
        <v>733</v>
      </c>
      <c r="Z210" s="95" t="str">
        <f>HYPERLINK("https://twitter.com/runkgren/status/1482950838280765441")</f>
        <v>https://twitter.com/runkgren/status/1482950838280765441</v>
      </c>
      <c r="AA210" s="90"/>
      <c r="AB210" s="90"/>
      <c r="AC210" s="97" t="s">
        <v>974</v>
      </c>
      <c r="AD210" s="90"/>
      <c r="AE210" s="90" t="b">
        <v>0</v>
      </c>
      <c r="AF210" s="90">
        <v>5</v>
      </c>
      <c r="AG210" s="97" t="s">
        <v>1087</v>
      </c>
      <c r="AH210" s="90" t="b">
        <v>0</v>
      </c>
      <c r="AI210" s="90" t="s">
        <v>1127</v>
      </c>
      <c r="AJ210" s="90"/>
      <c r="AK210" s="97" t="s">
        <v>1087</v>
      </c>
      <c r="AL210" s="90" t="b">
        <v>0</v>
      </c>
      <c r="AM210" s="90">
        <v>0</v>
      </c>
      <c r="AN210" s="97" t="s">
        <v>1087</v>
      </c>
      <c r="AO210" s="97" t="s">
        <v>1134</v>
      </c>
      <c r="AP210" s="90" t="b">
        <v>0</v>
      </c>
      <c r="AQ210" s="97" t="s">
        <v>974</v>
      </c>
      <c r="AR210" s="90" t="s">
        <v>178</v>
      </c>
      <c r="AS210" s="90">
        <v>0</v>
      </c>
      <c r="AT210" s="90">
        <v>0</v>
      </c>
      <c r="AU210" s="90"/>
      <c r="AV210" s="90"/>
      <c r="AW210" s="90"/>
      <c r="AX210" s="90"/>
      <c r="AY210" s="90"/>
      <c r="AZ210" s="90"/>
      <c r="BA210" s="90"/>
      <c r="BB210" s="90"/>
      <c r="BC210">
        <v>1</v>
      </c>
      <c r="BD210" s="89" t="str">
        <f>REPLACE(INDEX(GroupVertices[Group],MATCH(Edges[[#This Row],[Vertex 1]],GroupVertices[Vertex],0)),1,1,"")</f>
        <v>7</v>
      </c>
      <c r="BE210" s="89" t="str">
        <f>REPLACE(INDEX(GroupVertices[Group],MATCH(Edges[[#This Row],[Vertex 2]],GroupVertices[Vertex],0)),1,1,"")</f>
        <v>7</v>
      </c>
      <c r="BF210" s="49">
        <v>0</v>
      </c>
      <c r="BG210" s="50">
        <v>0</v>
      </c>
      <c r="BH210" s="49">
        <v>0</v>
      </c>
      <c r="BI210" s="50">
        <v>0</v>
      </c>
      <c r="BJ210" s="49">
        <v>0</v>
      </c>
      <c r="BK210" s="50">
        <v>0</v>
      </c>
      <c r="BL210" s="49">
        <v>11</v>
      </c>
      <c r="BM210" s="50">
        <v>100</v>
      </c>
      <c r="BN210" s="49">
        <v>11</v>
      </c>
    </row>
    <row r="211" spans="1:66" ht="15">
      <c r="A211" s="65" t="s">
        <v>349</v>
      </c>
      <c r="B211" s="65" t="s">
        <v>349</v>
      </c>
      <c r="C211" s="66" t="s">
        <v>4405</v>
      </c>
      <c r="D211" s="67">
        <v>1</v>
      </c>
      <c r="E211" s="68" t="s">
        <v>132</v>
      </c>
      <c r="F211" s="69">
        <v>32</v>
      </c>
      <c r="G211" s="66" t="s">
        <v>51</v>
      </c>
      <c r="H211" s="70"/>
      <c r="I211" s="71"/>
      <c r="J211" s="71"/>
      <c r="K211" s="35" t="s">
        <v>65</v>
      </c>
      <c r="L211" s="79">
        <v>211</v>
      </c>
      <c r="M211" s="79"/>
      <c r="N211" s="73"/>
      <c r="O211" s="90" t="s">
        <v>178</v>
      </c>
      <c r="P211" s="93">
        <v>44575.58561342592</v>
      </c>
      <c r="Q211" s="90" t="s">
        <v>451</v>
      </c>
      <c r="R211" s="90"/>
      <c r="S211" s="90"/>
      <c r="T211" s="97" t="s">
        <v>555</v>
      </c>
      <c r="U211" s="95" t="str">
        <f>HYPERLINK("https://pbs.twimg.com/media/FJEWU11XwAUKZay.jpg")</f>
        <v>https://pbs.twimg.com/media/FJEWU11XwAUKZay.jpg</v>
      </c>
      <c r="V211" s="95" t="str">
        <f>HYPERLINK("https://pbs.twimg.com/media/FJEWU11XwAUKZay.jpg")</f>
        <v>https://pbs.twimg.com/media/FJEWU11XwAUKZay.jpg</v>
      </c>
      <c r="W211" s="93">
        <v>44575.58561342592</v>
      </c>
      <c r="X211" s="102">
        <v>44575</v>
      </c>
      <c r="Y211" s="97" t="s">
        <v>734</v>
      </c>
      <c r="Z211" s="95" t="str">
        <f>HYPERLINK("https://twitter.com/janneknen/status/1481990307256360965")</f>
        <v>https://twitter.com/janneknen/status/1481990307256360965</v>
      </c>
      <c r="AA211" s="90"/>
      <c r="AB211" s="90"/>
      <c r="AC211" s="97" t="s">
        <v>975</v>
      </c>
      <c r="AD211" s="90"/>
      <c r="AE211" s="90" t="b">
        <v>0</v>
      </c>
      <c r="AF211" s="90">
        <v>152</v>
      </c>
      <c r="AG211" s="97" t="s">
        <v>1087</v>
      </c>
      <c r="AH211" s="90" t="b">
        <v>0</v>
      </c>
      <c r="AI211" s="90" t="s">
        <v>1127</v>
      </c>
      <c r="AJ211" s="90"/>
      <c r="AK211" s="97" t="s">
        <v>1087</v>
      </c>
      <c r="AL211" s="90" t="b">
        <v>0</v>
      </c>
      <c r="AM211" s="90">
        <v>11</v>
      </c>
      <c r="AN211" s="97" t="s">
        <v>1087</v>
      </c>
      <c r="AO211" s="97" t="s">
        <v>1133</v>
      </c>
      <c r="AP211" s="90" t="b">
        <v>0</v>
      </c>
      <c r="AQ211" s="97" t="s">
        <v>975</v>
      </c>
      <c r="AR211" s="90" t="s">
        <v>178</v>
      </c>
      <c r="AS211" s="90">
        <v>0</v>
      </c>
      <c r="AT211" s="90">
        <v>0</v>
      </c>
      <c r="AU211" s="90"/>
      <c r="AV211" s="90"/>
      <c r="AW211" s="90"/>
      <c r="AX211" s="90"/>
      <c r="AY211" s="90"/>
      <c r="AZ211" s="90"/>
      <c r="BA211" s="90"/>
      <c r="BB211" s="90"/>
      <c r="BC211">
        <v>1</v>
      </c>
      <c r="BD211" s="89" t="str">
        <f>REPLACE(INDEX(GroupVertices[Group],MATCH(Edges[[#This Row],[Vertex 1]],GroupVertices[Vertex],0)),1,1,"")</f>
        <v>6</v>
      </c>
      <c r="BE211" s="89" t="str">
        <f>REPLACE(INDEX(GroupVertices[Group],MATCH(Edges[[#This Row],[Vertex 2]],GroupVertices[Vertex],0)),1,1,"")</f>
        <v>6</v>
      </c>
      <c r="BF211" s="49">
        <v>0</v>
      </c>
      <c r="BG211" s="50">
        <v>0</v>
      </c>
      <c r="BH211" s="49">
        <v>0</v>
      </c>
      <c r="BI211" s="50">
        <v>0</v>
      </c>
      <c r="BJ211" s="49">
        <v>0</v>
      </c>
      <c r="BK211" s="50">
        <v>0</v>
      </c>
      <c r="BL211" s="49">
        <v>29</v>
      </c>
      <c r="BM211" s="50">
        <v>100</v>
      </c>
      <c r="BN211" s="49">
        <v>29</v>
      </c>
    </row>
    <row r="212" spans="1:66" ht="15">
      <c r="A212" s="65" t="s">
        <v>350</v>
      </c>
      <c r="B212" s="65" t="s">
        <v>349</v>
      </c>
      <c r="C212" s="66" t="s">
        <v>4405</v>
      </c>
      <c r="D212" s="67">
        <v>1</v>
      </c>
      <c r="E212" s="68" t="s">
        <v>132</v>
      </c>
      <c r="F212" s="69">
        <v>32</v>
      </c>
      <c r="G212" s="66" t="s">
        <v>51</v>
      </c>
      <c r="H212" s="70"/>
      <c r="I212" s="71"/>
      <c r="J212" s="71"/>
      <c r="K212" s="35" t="s">
        <v>65</v>
      </c>
      <c r="L212" s="79">
        <v>212</v>
      </c>
      <c r="M212" s="79"/>
      <c r="N212" s="73"/>
      <c r="O212" s="90" t="s">
        <v>447</v>
      </c>
      <c r="P212" s="93">
        <v>44575.61528935185</v>
      </c>
      <c r="Q212" s="90" t="s">
        <v>451</v>
      </c>
      <c r="R212" s="90"/>
      <c r="S212" s="90"/>
      <c r="T212" s="97" t="s">
        <v>555</v>
      </c>
      <c r="U212" s="95" t="str">
        <f>HYPERLINK("https://pbs.twimg.com/media/FJEWU11XwAUKZay.jpg")</f>
        <v>https://pbs.twimg.com/media/FJEWU11XwAUKZay.jpg</v>
      </c>
      <c r="V212" s="95" t="str">
        <f>HYPERLINK("https://pbs.twimg.com/media/FJEWU11XwAUKZay.jpg")</f>
        <v>https://pbs.twimg.com/media/FJEWU11XwAUKZay.jpg</v>
      </c>
      <c r="W212" s="93">
        <v>44575.61528935185</v>
      </c>
      <c r="X212" s="102">
        <v>44575</v>
      </c>
      <c r="Y212" s="97" t="s">
        <v>735</v>
      </c>
      <c r="Z212" s="95" t="str">
        <f>HYPERLINK("https://twitter.com/takapirulainen/status/1482001058226442241")</f>
        <v>https://twitter.com/takapirulainen/status/1482001058226442241</v>
      </c>
      <c r="AA212" s="90"/>
      <c r="AB212" s="90"/>
      <c r="AC212" s="97" t="s">
        <v>976</v>
      </c>
      <c r="AD212" s="90"/>
      <c r="AE212" s="90" t="b">
        <v>0</v>
      </c>
      <c r="AF212" s="90">
        <v>0</v>
      </c>
      <c r="AG212" s="97" t="s">
        <v>1087</v>
      </c>
      <c r="AH212" s="90" t="b">
        <v>0</v>
      </c>
      <c r="AI212" s="90" t="s">
        <v>1127</v>
      </c>
      <c r="AJ212" s="90"/>
      <c r="AK212" s="97" t="s">
        <v>1087</v>
      </c>
      <c r="AL212" s="90" t="b">
        <v>0</v>
      </c>
      <c r="AM212" s="90">
        <v>11</v>
      </c>
      <c r="AN212" s="97" t="s">
        <v>975</v>
      </c>
      <c r="AO212" s="97" t="s">
        <v>1132</v>
      </c>
      <c r="AP212" s="90" t="b">
        <v>0</v>
      </c>
      <c r="AQ212" s="97" t="s">
        <v>975</v>
      </c>
      <c r="AR212" s="90" t="s">
        <v>178</v>
      </c>
      <c r="AS212" s="90">
        <v>0</v>
      </c>
      <c r="AT212" s="90">
        <v>0</v>
      </c>
      <c r="AU212" s="90"/>
      <c r="AV212" s="90"/>
      <c r="AW212" s="90"/>
      <c r="AX212" s="90"/>
      <c r="AY212" s="90"/>
      <c r="AZ212" s="90"/>
      <c r="BA212" s="90"/>
      <c r="BB212" s="90"/>
      <c r="BC212">
        <v>1</v>
      </c>
      <c r="BD212" s="89" t="str">
        <f>REPLACE(INDEX(GroupVertices[Group],MATCH(Edges[[#This Row],[Vertex 1]],GroupVertices[Vertex],0)),1,1,"")</f>
        <v>6</v>
      </c>
      <c r="BE212" s="89" t="str">
        <f>REPLACE(INDEX(GroupVertices[Group],MATCH(Edges[[#This Row],[Vertex 2]],GroupVertices[Vertex],0)),1,1,"")</f>
        <v>6</v>
      </c>
      <c r="BF212" s="49">
        <v>0</v>
      </c>
      <c r="BG212" s="50">
        <v>0</v>
      </c>
      <c r="BH212" s="49">
        <v>0</v>
      </c>
      <c r="BI212" s="50">
        <v>0</v>
      </c>
      <c r="BJ212" s="49">
        <v>0</v>
      </c>
      <c r="BK212" s="50">
        <v>0</v>
      </c>
      <c r="BL212" s="49">
        <v>29</v>
      </c>
      <c r="BM212" s="50">
        <v>100</v>
      </c>
      <c r="BN212" s="49">
        <v>29</v>
      </c>
    </row>
    <row r="213" spans="1:66" ht="15">
      <c r="A213" s="65" t="s">
        <v>350</v>
      </c>
      <c r="B213" s="65" t="s">
        <v>384</v>
      </c>
      <c r="C213" s="66" t="s">
        <v>4405</v>
      </c>
      <c r="D213" s="67">
        <v>1</v>
      </c>
      <c r="E213" s="68" t="s">
        <v>132</v>
      </c>
      <c r="F213" s="69">
        <v>32</v>
      </c>
      <c r="G213" s="66" t="s">
        <v>51</v>
      </c>
      <c r="H213" s="70"/>
      <c r="I213" s="71"/>
      <c r="J213" s="71"/>
      <c r="K213" s="35" t="s">
        <v>65</v>
      </c>
      <c r="L213" s="79">
        <v>213</v>
      </c>
      <c r="M213" s="79"/>
      <c r="N213" s="73"/>
      <c r="O213" s="90" t="s">
        <v>447</v>
      </c>
      <c r="P213" s="93">
        <v>44575.60138888889</v>
      </c>
      <c r="Q213" s="90" t="s">
        <v>452</v>
      </c>
      <c r="R213" s="90"/>
      <c r="S213" s="90"/>
      <c r="T213" s="90"/>
      <c r="U213" s="95" t="str">
        <f>HYPERLINK("https://pbs.twimg.com/media/FJEZSt6WYAQW_i_.jpg")</f>
        <v>https://pbs.twimg.com/media/FJEZSt6WYAQW_i_.jpg</v>
      </c>
      <c r="V213" s="95" t="str">
        <f>HYPERLINK("https://pbs.twimg.com/media/FJEZSt6WYAQW_i_.jpg")</f>
        <v>https://pbs.twimg.com/media/FJEZSt6WYAQW_i_.jpg</v>
      </c>
      <c r="W213" s="93">
        <v>44575.60138888889</v>
      </c>
      <c r="X213" s="102">
        <v>44575</v>
      </c>
      <c r="Y213" s="97" t="s">
        <v>736</v>
      </c>
      <c r="Z213" s="95" t="str">
        <f>HYPERLINK("https://twitter.com/takapirulainen/status/1481996020502478848")</f>
        <v>https://twitter.com/takapirulainen/status/1481996020502478848</v>
      </c>
      <c r="AA213" s="90"/>
      <c r="AB213" s="90"/>
      <c r="AC213" s="97" t="s">
        <v>977</v>
      </c>
      <c r="AD213" s="90"/>
      <c r="AE213" s="90" t="b">
        <v>0</v>
      </c>
      <c r="AF213" s="90">
        <v>0</v>
      </c>
      <c r="AG213" s="97" t="s">
        <v>1087</v>
      </c>
      <c r="AH213" s="90" t="b">
        <v>0</v>
      </c>
      <c r="AI213" s="90" t="s">
        <v>1127</v>
      </c>
      <c r="AJ213" s="90"/>
      <c r="AK213" s="97" t="s">
        <v>1087</v>
      </c>
      <c r="AL213" s="90" t="b">
        <v>0</v>
      </c>
      <c r="AM213" s="90">
        <v>33</v>
      </c>
      <c r="AN213" s="97" t="s">
        <v>1022</v>
      </c>
      <c r="AO213" s="97" t="s">
        <v>1132</v>
      </c>
      <c r="AP213" s="90" t="b">
        <v>0</v>
      </c>
      <c r="AQ213" s="97" t="s">
        <v>1022</v>
      </c>
      <c r="AR213" s="90" t="s">
        <v>178</v>
      </c>
      <c r="AS213" s="90">
        <v>0</v>
      </c>
      <c r="AT213" s="90">
        <v>0</v>
      </c>
      <c r="AU213" s="90"/>
      <c r="AV213" s="90"/>
      <c r="AW213" s="90"/>
      <c r="AX213" s="90"/>
      <c r="AY213" s="90"/>
      <c r="AZ213" s="90"/>
      <c r="BA213" s="90"/>
      <c r="BB213" s="90"/>
      <c r="BC213">
        <v>1</v>
      </c>
      <c r="BD213" s="89" t="str">
        <f>REPLACE(INDEX(GroupVertices[Group],MATCH(Edges[[#This Row],[Vertex 1]],GroupVertices[Vertex],0)),1,1,"")</f>
        <v>6</v>
      </c>
      <c r="BE213" s="89" t="str">
        <f>REPLACE(INDEX(GroupVertices[Group],MATCH(Edges[[#This Row],[Vertex 2]],GroupVertices[Vertex],0)),1,1,"")</f>
        <v>2</v>
      </c>
      <c r="BF213" s="49">
        <v>0</v>
      </c>
      <c r="BG213" s="50">
        <v>0</v>
      </c>
      <c r="BH213" s="49">
        <v>0</v>
      </c>
      <c r="BI213" s="50">
        <v>0</v>
      </c>
      <c r="BJ213" s="49">
        <v>0</v>
      </c>
      <c r="BK213" s="50">
        <v>0</v>
      </c>
      <c r="BL213" s="49">
        <v>24</v>
      </c>
      <c r="BM213" s="50">
        <v>100</v>
      </c>
      <c r="BN213" s="49">
        <v>24</v>
      </c>
    </row>
    <row r="214" spans="1:66" ht="15">
      <c r="A214" s="65" t="s">
        <v>350</v>
      </c>
      <c r="B214" s="65" t="s">
        <v>341</v>
      </c>
      <c r="C214" s="66" t="s">
        <v>4406</v>
      </c>
      <c r="D214" s="67">
        <v>1</v>
      </c>
      <c r="E214" s="68" t="s">
        <v>132</v>
      </c>
      <c r="F214" s="69">
        <v>32</v>
      </c>
      <c r="G214" s="66" t="s">
        <v>51</v>
      </c>
      <c r="H214" s="70"/>
      <c r="I214" s="71"/>
      <c r="J214" s="71"/>
      <c r="K214" s="35" t="s">
        <v>65</v>
      </c>
      <c r="L214" s="79">
        <v>214</v>
      </c>
      <c r="M214" s="79"/>
      <c r="N214" s="73"/>
      <c r="O214" s="90" t="s">
        <v>447</v>
      </c>
      <c r="P214" s="93">
        <v>44577.790659722225</v>
      </c>
      <c r="Q214" s="90" t="s">
        <v>520</v>
      </c>
      <c r="R214" s="90"/>
      <c r="S214" s="90"/>
      <c r="T214" s="90"/>
      <c r="U214" s="90"/>
      <c r="V214" s="95" t="str">
        <f>HYPERLINK("https://pbs.twimg.com/profile_images/1304076284671258626/Aqh8vkLb_normal.jpg")</f>
        <v>https://pbs.twimg.com/profile_images/1304076284671258626/Aqh8vkLb_normal.jpg</v>
      </c>
      <c r="W214" s="93">
        <v>44577.790659722225</v>
      </c>
      <c r="X214" s="102">
        <v>44577</v>
      </c>
      <c r="Y214" s="97" t="s">
        <v>737</v>
      </c>
      <c r="Z214" s="95" t="str">
        <f>HYPERLINK("https://twitter.com/takapirulainen/status/1482789387255652357")</f>
        <v>https://twitter.com/takapirulainen/status/1482789387255652357</v>
      </c>
      <c r="AA214" s="90"/>
      <c r="AB214" s="90"/>
      <c r="AC214" s="97" t="s">
        <v>978</v>
      </c>
      <c r="AD214" s="90"/>
      <c r="AE214" s="90" t="b">
        <v>0</v>
      </c>
      <c r="AF214" s="90">
        <v>0</v>
      </c>
      <c r="AG214" s="97" t="s">
        <v>1087</v>
      </c>
      <c r="AH214" s="90" t="b">
        <v>0</v>
      </c>
      <c r="AI214" s="90" t="s">
        <v>1127</v>
      </c>
      <c r="AJ214" s="90"/>
      <c r="AK214" s="97" t="s">
        <v>1087</v>
      </c>
      <c r="AL214" s="90" t="b">
        <v>0</v>
      </c>
      <c r="AM214" s="90">
        <v>24</v>
      </c>
      <c r="AN214" s="97" t="s">
        <v>1041</v>
      </c>
      <c r="AO214" s="97" t="s">
        <v>1132</v>
      </c>
      <c r="AP214" s="90" t="b">
        <v>0</v>
      </c>
      <c r="AQ214" s="97" t="s">
        <v>1041</v>
      </c>
      <c r="AR214" s="90" t="s">
        <v>178</v>
      </c>
      <c r="AS214" s="90">
        <v>0</v>
      </c>
      <c r="AT214" s="90">
        <v>0</v>
      </c>
      <c r="AU214" s="90"/>
      <c r="AV214" s="90"/>
      <c r="AW214" s="90"/>
      <c r="AX214" s="90"/>
      <c r="AY214" s="90"/>
      <c r="AZ214" s="90"/>
      <c r="BA214" s="90"/>
      <c r="BB214" s="90"/>
      <c r="BC214">
        <v>2</v>
      </c>
      <c r="BD214" s="89" t="str">
        <f>REPLACE(INDEX(GroupVertices[Group],MATCH(Edges[[#This Row],[Vertex 1]],GroupVertices[Vertex],0)),1,1,"")</f>
        <v>6</v>
      </c>
      <c r="BE214" s="89" t="str">
        <f>REPLACE(INDEX(GroupVertices[Group],MATCH(Edges[[#This Row],[Vertex 2]],GroupVertices[Vertex],0)),1,1,"")</f>
        <v>1</v>
      </c>
      <c r="BF214" s="49">
        <v>0</v>
      </c>
      <c r="BG214" s="50">
        <v>0</v>
      </c>
      <c r="BH214" s="49">
        <v>0</v>
      </c>
      <c r="BI214" s="50">
        <v>0</v>
      </c>
      <c r="BJ214" s="49">
        <v>0</v>
      </c>
      <c r="BK214" s="50">
        <v>0</v>
      </c>
      <c r="BL214" s="49">
        <v>16</v>
      </c>
      <c r="BM214" s="50">
        <v>100</v>
      </c>
      <c r="BN214" s="49">
        <v>16</v>
      </c>
    </row>
    <row r="215" spans="1:66" ht="15">
      <c r="A215" s="65" t="s">
        <v>350</v>
      </c>
      <c r="B215" s="65" t="s">
        <v>341</v>
      </c>
      <c r="C215" s="66" t="s">
        <v>4406</v>
      </c>
      <c r="D215" s="67">
        <v>1</v>
      </c>
      <c r="E215" s="68" t="s">
        <v>132</v>
      </c>
      <c r="F215" s="69">
        <v>32</v>
      </c>
      <c r="G215" s="66" t="s">
        <v>51</v>
      </c>
      <c r="H215" s="70"/>
      <c r="I215" s="71"/>
      <c r="J215" s="71"/>
      <c r="K215" s="35" t="s">
        <v>65</v>
      </c>
      <c r="L215" s="79">
        <v>215</v>
      </c>
      <c r="M215" s="79"/>
      <c r="N215" s="73"/>
      <c r="O215" s="90" t="s">
        <v>447</v>
      </c>
      <c r="P215" s="93">
        <v>44578.289872685185</v>
      </c>
      <c r="Q215" s="90" t="s">
        <v>514</v>
      </c>
      <c r="R215" s="90"/>
      <c r="S215" s="90"/>
      <c r="T215" s="90"/>
      <c r="U215" s="95" t="str">
        <f>HYPERLINK("https://pbs.twimg.com/media/FJPK-YrWUAYi1BM.jpg")</f>
        <v>https://pbs.twimg.com/media/FJPK-YrWUAYi1BM.jpg</v>
      </c>
      <c r="V215" s="95" t="str">
        <f>HYPERLINK("https://pbs.twimg.com/media/FJPK-YrWUAYi1BM.jpg")</f>
        <v>https://pbs.twimg.com/media/FJPK-YrWUAYi1BM.jpg</v>
      </c>
      <c r="W215" s="93">
        <v>44578.289872685185</v>
      </c>
      <c r="X215" s="102">
        <v>44578</v>
      </c>
      <c r="Y215" s="97" t="s">
        <v>738</v>
      </c>
      <c r="Z215" s="95" t="str">
        <f>HYPERLINK("https://twitter.com/takapirulainen/status/1482970296307093504")</f>
        <v>https://twitter.com/takapirulainen/status/1482970296307093504</v>
      </c>
      <c r="AA215" s="90"/>
      <c r="AB215" s="90"/>
      <c r="AC215" s="97" t="s">
        <v>979</v>
      </c>
      <c r="AD215" s="90"/>
      <c r="AE215" s="90" t="b">
        <v>0</v>
      </c>
      <c r="AF215" s="90">
        <v>0</v>
      </c>
      <c r="AG215" s="97" t="s">
        <v>1087</v>
      </c>
      <c r="AH215" s="90" t="b">
        <v>0</v>
      </c>
      <c r="AI215" s="90" t="s">
        <v>1127</v>
      </c>
      <c r="AJ215" s="90"/>
      <c r="AK215" s="97" t="s">
        <v>1087</v>
      </c>
      <c r="AL215" s="90" t="b">
        <v>0</v>
      </c>
      <c r="AM215" s="90">
        <v>36</v>
      </c>
      <c r="AN215" s="97" t="s">
        <v>1040</v>
      </c>
      <c r="AO215" s="97" t="s">
        <v>1132</v>
      </c>
      <c r="AP215" s="90" t="b">
        <v>0</v>
      </c>
      <c r="AQ215" s="97" t="s">
        <v>1040</v>
      </c>
      <c r="AR215" s="90" t="s">
        <v>178</v>
      </c>
      <c r="AS215" s="90">
        <v>0</v>
      </c>
      <c r="AT215" s="90">
        <v>0</v>
      </c>
      <c r="AU215" s="90"/>
      <c r="AV215" s="90"/>
      <c r="AW215" s="90"/>
      <c r="AX215" s="90"/>
      <c r="AY215" s="90"/>
      <c r="AZ215" s="90"/>
      <c r="BA215" s="90"/>
      <c r="BB215" s="90"/>
      <c r="BC215">
        <v>2</v>
      </c>
      <c r="BD215" s="89" t="str">
        <f>REPLACE(INDEX(GroupVertices[Group],MATCH(Edges[[#This Row],[Vertex 1]],GroupVertices[Vertex],0)),1,1,"")</f>
        <v>6</v>
      </c>
      <c r="BE215" s="89" t="str">
        <f>REPLACE(INDEX(GroupVertices[Group],MATCH(Edges[[#This Row],[Vertex 2]],GroupVertices[Vertex],0)),1,1,"")</f>
        <v>1</v>
      </c>
      <c r="BF215" s="49">
        <v>0</v>
      </c>
      <c r="BG215" s="50">
        <v>0</v>
      </c>
      <c r="BH215" s="49">
        <v>0</v>
      </c>
      <c r="BI215" s="50">
        <v>0</v>
      </c>
      <c r="BJ215" s="49">
        <v>0</v>
      </c>
      <c r="BK215" s="50">
        <v>0</v>
      </c>
      <c r="BL215" s="49">
        <v>4</v>
      </c>
      <c r="BM215" s="50">
        <v>100</v>
      </c>
      <c r="BN215" s="49">
        <v>4</v>
      </c>
    </row>
    <row r="216" spans="1:66" ht="15">
      <c r="A216" s="65" t="s">
        <v>351</v>
      </c>
      <c r="B216" s="65" t="s">
        <v>341</v>
      </c>
      <c r="C216" s="66" t="s">
        <v>4405</v>
      </c>
      <c r="D216" s="67">
        <v>1</v>
      </c>
      <c r="E216" s="68" t="s">
        <v>132</v>
      </c>
      <c r="F216" s="69">
        <v>32</v>
      </c>
      <c r="G216" s="66" t="s">
        <v>51</v>
      </c>
      <c r="H216" s="70"/>
      <c r="I216" s="71"/>
      <c r="J216" s="71"/>
      <c r="K216" s="35" t="s">
        <v>65</v>
      </c>
      <c r="L216" s="79">
        <v>216</v>
      </c>
      <c r="M216" s="79"/>
      <c r="N216" s="73"/>
      <c r="O216" s="90" t="s">
        <v>447</v>
      </c>
      <c r="P216" s="93">
        <v>44578.30363425926</v>
      </c>
      <c r="Q216" s="90" t="s">
        <v>520</v>
      </c>
      <c r="R216" s="90"/>
      <c r="S216" s="90"/>
      <c r="T216" s="90"/>
      <c r="U216" s="90"/>
      <c r="V216" s="95" t="str">
        <f>HYPERLINK("https://pbs.twimg.com/profile_images/1251457200570150912/0J9N8j3q_normal.jpg")</f>
        <v>https://pbs.twimg.com/profile_images/1251457200570150912/0J9N8j3q_normal.jpg</v>
      </c>
      <c r="W216" s="93">
        <v>44578.30363425926</v>
      </c>
      <c r="X216" s="102">
        <v>44578</v>
      </c>
      <c r="Y216" s="97" t="s">
        <v>739</v>
      </c>
      <c r="Z216" s="95" t="str">
        <f>HYPERLINK("https://twitter.com/markkulaitinen3/status/1482975283699494913")</f>
        <v>https://twitter.com/markkulaitinen3/status/1482975283699494913</v>
      </c>
      <c r="AA216" s="90"/>
      <c r="AB216" s="90"/>
      <c r="AC216" s="97" t="s">
        <v>980</v>
      </c>
      <c r="AD216" s="90"/>
      <c r="AE216" s="90" t="b">
        <v>0</v>
      </c>
      <c r="AF216" s="90">
        <v>0</v>
      </c>
      <c r="AG216" s="97" t="s">
        <v>1087</v>
      </c>
      <c r="AH216" s="90" t="b">
        <v>0</v>
      </c>
      <c r="AI216" s="90" t="s">
        <v>1127</v>
      </c>
      <c r="AJ216" s="90"/>
      <c r="AK216" s="97" t="s">
        <v>1087</v>
      </c>
      <c r="AL216" s="90" t="b">
        <v>0</v>
      </c>
      <c r="AM216" s="90">
        <v>24</v>
      </c>
      <c r="AN216" s="97" t="s">
        <v>1041</v>
      </c>
      <c r="AO216" s="97" t="s">
        <v>1133</v>
      </c>
      <c r="AP216" s="90" t="b">
        <v>0</v>
      </c>
      <c r="AQ216" s="97" t="s">
        <v>1041</v>
      </c>
      <c r="AR216" s="90" t="s">
        <v>178</v>
      </c>
      <c r="AS216" s="90">
        <v>0</v>
      </c>
      <c r="AT216" s="90">
        <v>0</v>
      </c>
      <c r="AU216" s="90"/>
      <c r="AV216" s="90"/>
      <c r="AW216" s="90"/>
      <c r="AX216" s="90"/>
      <c r="AY216" s="90"/>
      <c r="AZ216" s="90"/>
      <c r="BA216" s="90"/>
      <c r="BB216" s="90"/>
      <c r="BC216">
        <v>1</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16</v>
      </c>
      <c r="BM216" s="50">
        <v>100</v>
      </c>
      <c r="BN216" s="49">
        <v>16</v>
      </c>
    </row>
    <row r="217" spans="1:66" ht="15">
      <c r="A217" s="65" t="s">
        <v>352</v>
      </c>
      <c r="B217" s="65" t="s">
        <v>341</v>
      </c>
      <c r="C217" s="66" t="s">
        <v>4405</v>
      </c>
      <c r="D217" s="67">
        <v>1</v>
      </c>
      <c r="E217" s="68" t="s">
        <v>132</v>
      </c>
      <c r="F217" s="69">
        <v>32</v>
      </c>
      <c r="G217" s="66" t="s">
        <v>51</v>
      </c>
      <c r="H217" s="70"/>
      <c r="I217" s="71"/>
      <c r="J217" s="71"/>
      <c r="K217" s="35" t="s">
        <v>65</v>
      </c>
      <c r="L217" s="79">
        <v>217</v>
      </c>
      <c r="M217" s="79"/>
      <c r="N217" s="73"/>
      <c r="O217" s="90" t="s">
        <v>447</v>
      </c>
      <c r="P217" s="93">
        <v>44578.30504629629</v>
      </c>
      <c r="Q217" s="90" t="s">
        <v>514</v>
      </c>
      <c r="R217" s="90"/>
      <c r="S217" s="90"/>
      <c r="T217" s="90"/>
      <c r="U217" s="95" t="str">
        <f>HYPERLINK("https://pbs.twimg.com/media/FJPK-YrWUAYi1BM.jpg")</f>
        <v>https://pbs.twimg.com/media/FJPK-YrWUAYi1BM.jpg</v>
      </c>
      <c r="V217" s="95" t="str">
        <f>HYPERLINK("https://pbs.twimg.com/media/FJPK-YrWUAYi1BM.jpg")</f>
        <v>https://pbs.twimg.com/media/FJPK-YrWUAYi1BM.jpg</v>
      </c>
      <c r="W217" s="93">
        <v>44578.30504629629</v>
      </c>
      <c r="X217" s="102">
        <v>44578</v>
      </c>
      <c r="Y217" s="97" t="s">
        <v>740</v>
      </c>
      <c r="Z217" s="95" t="str">
        <f>HYPERLINK("https://twitter.com/puntti2/status/1482975793877819393")</f>
        <v>https://twitter.com/puntti2/status/1482975793877819393</v>
      </c>
      <c r="AA217" s="90"/>
      <c r="AB217" s="90"/>
      <c r="AC217" s="97" t="s">
        <v>981</v>
      </c>
      <c r="AD217" s="90"/>
      <c r="AE217" s="90" t="b">
        <v>0</v>
      </c>
      <c r="AF217" s="90">
        <v>0</v>
      </c>
      <c r="AG217" s="97" t="s">
        <v>1087</v>
      </c>
      <c r="AH217" s="90" t="b">
        <v>0</v>
      </c>
      <c r="AI217" s="90" t="s">
        <v>1127</v>
      </c>
      <c r="AJ217" s="90"/>
      <c r="AK217" s="97" t="s">
        <v>1087</v>
      </c>
      <c r="AL217" s="90" t="b">
        <v>0</v>
      </c>
      <c r="AM217" s="90">
        <v>36</v>
      </c>
      <c r="AN217" s="97" t="s">
        <v>1040</v>
      </c>
      <c r="AO217" s="97" t="s">
        <v>1133</v>
      </c>
      <c r="AP217" s="90" t="b">
        <v>0</v>
      </c>
      <c r="AQ217" s="97" t="s">
        <v>1040</v>
      </c>
      <c r="AR217" s="90" t="s">
        <v>178</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1</v>
      </c>
      <c r="BF217" s="49">
        <v>0</v>
      </c>
      <c r="BG217" s="50">
        <v>0</v>
      </c>
      <c r="BH217" s="49">
        <v>0</v>
      </c>
      <c r="BI217" s="50">
        <v>0</v>
      </c>
      <c r="BJ217" s="49">
        <v>0</v>
      </c>
      <c r="BK217" s="50">
        <v>0</v>
      </c>
      <c r="BL217" s="49">
        <v>4</v>
      </c>
      <c r="BM217" s="50">
        <v>100</v>
      </c>
      <c r="BN217" s="49">
        <v>4</v>
      </c>
    </row>
    <row r="218" spans="1:66" ht="15">
      <c r="A218" s="65" t="s">
        <v>353</v>
      </c>
      <c r="B218" s="65" t="s">
        <v>356</v>
      </c>
      <c r="C218" s="66" t="s">
        <v>4405</v>
      </c>
      <c r="D218" s="67">
        <v>1</v>
      </c>
      <c r="E218" s="68" t="s">
        <v>132</v>
      </c>
      <c r="F218" s="69">
        <v>32</v>
      </c>
      <c r="G218" s="66" t="s">
        <v>51</v>
      </c>
      <c r="H218" s="70"/>
      <c r="I218" s="71"/>
      <c r="J218" s="71"/>
      <c r="K218" s="35" t="s">
        <v>65</v>
      </c>
      <c r="L218" s="79">
        <v>218</v>
      </c>
      <c r="M218" s="79"/>
      <c r="N218" s="73"/>
      <c r="O218" s="90" t="s">
        <v>447</v>
      </c>
      <c r="P218" s="93">
        <v>44578.31438657407</v>
      </c>
      <c r="Q218" s="90" t="s">
        <v>530</v>
      </c>
      <c r="R218" s="95" t="str">
        <f>HYPERLINK("https://www.iltalehti.fi/viihdeuutiset/a/0cdd8736-4e6e-4da0-924c-d5995c5878de")</f>
        <v>https://www.iltalehti.fi/viihdeuutiset/a/0cdd8736-4e6e-4da0-924c-d5995c5878de</v>
      </c>
      <c r="S218" s="90" t="s">
        <v>549</v>
      </c>
      <c r="T218" s="90"/>
      <c r="U218" s="90"/>
      <c r="V218" s="95" t="str">
        <f>HYPERLINK("https://pbs.twimg.com/profile_images/647489598994673664/lFKSTMdl_normal.jpg")</f>
        <v>https://pbs.twimg.com/profile_images/647489598994673664/lFKSTMdl_normal.jpg</v>
      </c>
      <c r="W218" s="93">
        <v>44578.31438657407</v>
      </c>
      <c r="X218" s="102">
        <v>44578</v>
      </c>
      <c r="Y218" s="97" t="s">
        <v>741</v>
      </c>
      <c r="Z218" s="95" t="str">
        <f>HYPERLINK("https://twitter.com/raivoroosna/status/1482979178802814979")</f>
        <v>https://twitter.com/raivoroosna/status/1482979178802814979</v>
      </c>
      <c r="AA218" s="90"/>
      <c r="AB218" s="90"/>
      <c r="AC218" s="97" t="s">
        <v>982</v>
      </c>
      <c r="AD218" s="90"/>
      <c r="AE218" s="90" t="b">
        <v>0</v>
      </c>
      <c r="AF218" s="90">
        <v>0</v>
      </c>
      <c r="AG218" s="97" t="s">
        <v>1087</v>
      </c>
      <c r="AH218" s="90" t="b">
        <v>0</v>
      </c>
      <c r="AI218" s="90" t="s">
        <v>1127</v>
      </c>
      <c r="AJ218" s="90"/>
      <c r="AK218" s="97" t="s">
        <v>1087</v>
      </c>
      <c r="AL218" s="90" t="b">
        <v>0</v>
      </c>
      <c r="AM218" s="90">
        <v>3</v>
      </c>
      <c r="AN218" s="97" t="s">
        <v>986</v>
      </c>
      <c r="AO218" s="97" t="s">
        <v>1132</v>
      </c>
      <c r="AP218" s="90" t="b">
        <v>0</v>
      </c>
      <c r="AQ218" s="97" t="s">
        <v>986</v>
      </c>
      <c r="AR218" s="90" t="s">
        <v>178</v>
      </c>
      <c r="AS218" s="90">
        <v>0</v>
      </c>
      <c r="AT218" s="90">
        <v>0</v>
      </c>
      <c r="AU218" s="90"/>
      <c r="AV218" s="90"/>
      <c r="AW218" s="90"/>
      <c r="AX218" s="90"/>
      <c r="AY218" s="90"/>
      <c r="AZ218" s="90"/>
      <c r="BA218" s="90"/>
      <c r="BB218" s="90"/>
      <c r="BC218">
        <v>1</v>
      </c>
      <c r="BD218" s="89" t="str">
        <f>REPLACE(INDEX(GroupVertices[Group],MATCH(Edges[[#This Row],[Vertex 1]],GroupVertices[Vertex],0)),1,1,"")</f>
        <v>11</v>
      </c>
      <c r="BE218" s="89" t="str">
        <f>REPLACE(INDEX(GroupVertices[Group],MATCH(Edges[[#This Row],[Vertex 2]],GroupVertices[Vertex],0)),1,1,"")</f>
        <v>11</v>
      </c>
      <c r="BF218" s="49">
        <v>0</v>
      </c>
      <c r="BG218" s="50">
        <v>0</v>
      </c>
      <c r="BH218" s="49">
        <v>0</v>
      </c>
      <c r="BI218" s="50">
        <v>0</v>
      </c>
      <c r="BJ218" s="49">
        <v>0</v>
      </c>
      <c r="BK218" s="50">
        <v>0</v>
      </c>
      <c r="BL218" s="49">
        <v>33</v>
      </c>
      <c r="BM218" s="50">
        <v>100</v>
      </c>
      <c r="BN218" s="49">
        <v>33</v>
      </c>
    </row>
    <row r="219" spans="1:66" ht="15">
      <c r="A219" s="65" t="s">
        <v>354</v>
      </c>
      <c r="B219" s="65" t="s">
        <v>364</v>
      </c>
      <c r="C219" s="66" t="s">
        <v>4405</v>
      </c>
      <c r="D219" s="67">
        <v>1</v>
      </c>
      <c r="E219" s="68" t="s">
        <v>132</v>
      </c>
      <c r="F219" s="69">
        <v>32</v>
      </c>
      <c r="G219" s="66" t="s">
        <v>51</v>
      </c>
      <c r="H219" s="70"/>
      <c r="I219" s="71"/>
      <c r="J219" s="71"/>
      <c r="K219" s="35" t="s">
        <v>65</v>
      </c>
      <c r="L219" s="79">
        <v>219</v>
      </c>
      <c r="M219" s="79"/>
      <c r="N219" s="73"/>
      <c r="O219" s="90" t="s">
        <v>448</v>
      </c>
      <c r="P219" s="93">
        <v>44578.321238425924</v>
      </c>
      <c r="Q219" s="90" t="s">
        <v>531</v>
      </c>
      <c r="R219" s="90"/>
      <c r="S219" s="90"/>
      <c r="T219" s="90"/>
      <c r="U219" s="90"/>
      <c r="V219" s="95" t="str">
        <f>HYPERLINK("https://pbs.twimg.com/profile_images/1091597651689308161/_qm58uie_normal.jpg")</f>
        <v>https://pbs.twimg.com/profile_images/1091597651689308161/_qm58uie_normal.jpg</v>
      </c>
      <c r="W219" s="93">
        <v>44578.321238425924</v>
      </c>
      <c r="X219" s="102">
        <v>44578</v>
      </c>
      <c r="Y219" s="97" t="s">
        <v>742</v>
      </c>
      <c r="Z219" s="95" t="str">
        <f>HYPERLINK("https://twitter.com/tksyrjanen/status/1482981662644477955")</f>
        <v>https://twitter.com/tksyrjanen/status/1482981662644477955</v>
      </c>
      <c r="AA219" s="90"/>
      <c r="AB219" s="90"/>
      <c r="AC219" s="97" t="s">
        <v>983</v>
      </c>
      <c r="AD219" s="97" t="s">
        <v>1080</v>
      </c>
      <c r="AE219" s="90" t="b">
        <v>0</v>
      </c>
      <c r="AF219" s="90">
        <v>17</v>
      </c>
      <c r="AG219" s="97" t="s">
        <v>1121</v>
      </c>
      <c r="AH219" s="90" t="b">
        <v>0</v>
      </c>
      <c r="AI219" s="90" t="s">
        <v>1127</v>
      </c>
      <c r="AJ219" s="90"/>
      <c r="AK219" s="97" t="s">
        <v>1087</v>
      </c>
      <c r="AL219" s="90" t="b">
        <v>0</v>
      </c>
      <c r="AM219" s="90">
        <v>0</v>
      </c>
      <c r="AN219" s="97" t="s">
        <v>1087</v>
      </c>
      <c r="AO219" s="97" t="s">
        <v>1133</v>
      </c>
      <c r="AP219" s="90" t="b">
        <v>0</v>
      </c>
      <c r="AQ219" s="97" t="s">
        <v>1080</v>
      </c>
      <c r="AR219" s="90" t="s">
        <v>178</v>
      </c>
      <c r="AS219" s="90">
        <v>0</v>
      </c>
      <c r="AT219" s="90">
        <v>0</v>
      </c>
      <c r="AU219" s="90"/>
      <c r="AV219" s="90"/>
      <c r="AW219" s="90"/>
      <c r="AX219" s="90"/>
      <c r="AY219" s="90"/>
      <c r="AZ219" s="90"/>
      <c r="BA219" s="90"/>
      <c r="BB219" s="90"/>
      <c r="BC219">
        <v>1</v>
      </c>
      <c r="BD219" s="89" t="str">
        <f>REPLACE(INDEX(GroupVertices[Group],MATCH(Edges[[#This Row],[Vertex 1]],GroupVertices[Vertex],0)),1,1,"")</f>
        <v>10</v>
      </c>
      <c r="BE219" s="89" t="str">
        <f>REPLACE(INDEX(GroupVertices[Group],MATCH(Edges[[#This Row],[Vertex 2]],GroupVertices[Vertex],0)),1,1,"")</f>
        <v>10</v>
      </c>
      <c r="BF219" s="49">
        <v>0</v>
      </c>
      <c r="BG219" s="50">
        <v>0</v>
      </c>
      <c r="BH219" s="49">
        <v>0</v>
      </c>
      <c r="BI219" s="50">
        <v>0</v>
      </c>
      <c r="BJ219" s="49">
        <v>0</v>
      </c>
      <c r="BK219" s="50">
        <v>0</v>
      </c>
      <c r="BL219" s="49">
        <v>34</v>
      </c>
      <c r="BM219" s="50">
        <v>100</v>
      </c>
      <c r="BN219" s="49">
        <v>34</v>
      </c>
    </row>
    <row r="220" spans="1:66" ht="15">
      <c r="A220" s="65" t="s">
        <v>355</v>
      </c>
      <c r="B220" s="65" t="s">
        <v>341</v>
      </c>
      <c r="C220" s="66" t="s">
        <v>4406</v>
      </c>
      <c r="D220" s="67">
        <v>1</v>
      </c>
      <c r="E220" s="68" t="s">
        <v>132</v>
      </c>
      <c r="F220" s="69">
        <v>32</v>
      </c>
      <c r="G220" s="66" t="s">
        <v>51</v>
      </c>
      <c r="H220" s="70"/>
      <c r="I220" s="71"/>
      <c r="J220" s="71"/>
      <c r="K220" s="35" t="s">
        <v>65</v>
      </c>
      <c r="L220" s="79">
        <v>220</v>
      </c>
      <c r="M220" s="79"/>
      <c r="N220" s="73"/>
      <c r="O220" s="90" t="s">
        <v>447</v>
      </c>
      <c r="P220" s="93">
        <v>44577.78886574074</v>
      </c>
      <c r="Q220" s="90" t="s">
        <v>520</v>
      </c>
      <c r="R220" s="90"/>
      <c r="S220" s="90"/>
      <c r="T220" s="90"/>
      <c r="U220" s="90"/>
      <c r="V220" s="95" t="str">
        <f>HYPERLINK("https://pbs.twimg.com/profile_images/1445725170417553412/NOF2iLcp_normal.jpg")</f>
        <v>https://pbs.twimg.com/profile_images/1445725170417553412/NOF2iLcp_normal.jpg</v>
      </c>
      <c r="W220" s="93">
        <v>44577.78886574074</v>
      </c>
      <c r="X220" s="102">
        <v>44577</v>
      </c>
      <c r="Y220" s="97" t="s">
        <v>743</v>
      </c>
      <c r="Z220" s="95" t="str">
        <f>HYPERLINK("https://twitter.com/hpolkki/status/1482788736786128900")</f>
        <v>https://twitter.com/hpolkki/status/1482788736786128900</v>
      </c>
      <c r="AA220" s="90"/>
      <c r="AB220" s="90"/>
      <c r="AC220" s="97" t="s">
        <v>984</v>
      </c>
      <c r="AD220" s="90"/>
      <c r="AE220" s="90" t="b">
        <v>0</v>
      </c>
      <c r="AF220" s="90">
        <v>0</v>
      </c>
      <c r="AG220" s="97" t="s">
        <v>1087</v>
      </c>
      <c r="AH220" s="90" t="b">
        <v>0</v>
      </c>
      <c r="AI220" s="90" t="s">
        <v>1127</v>
      </c>
      <c r="AJ220" s="90"/>
      <c r="AK220" s="97" t="s">
        <v>1087</v>
      </c>
      <c r="AL220" s="90" t="b">
        <v>0</v>
      </c>
      <c r="AM220" s="90">
        <v>24</v>
      </c>
      <c r="AN220" s="97" t="s">
        <v>1041</v>
      </c>
      <c r="AO220" s="97" t="s">
        <v>1132</v>
      </c>
      <c r="AP220" s="90" t="b">
        <v>0</v>
      </c>
      <c r="AQ220" s="97" t="s">
        <v>1041</v>
      </c>
      <c r="AR220" s="90" t="s">
        <v>178</v>
      </c>
      <c r="AS220" s="90">
        <v>0</v>
      </c>
      <c r="AT220" s="90">
        <v>0</v>
      </c>
      <c r="AU220" s="90"/>
      <c r="AV220" s="90"/>
      <c r="AW220" s="90"/>
      <c r="AX220" s="90"/>
      <c r="AY220" s="90"/>
      <c r="AZ220" s="90"/>
      <c r="BA220" s="90"/>
      <c r="BB220" s="90"/>
      <c r="BC220">
        <v>2</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5" t="s">
        <v>355</v>
      </c>
      <c r="B221" s="65" t="s">
        <v>341</v>
      </c>
      <c r="C221" s="66" t="s">
        <v>4406</v>
      </c>
      <c r="D221" s="67">
        <v>1</v>
      </c>
      <c r="E221" s="68" t="s">
        <v>132</v>
      </c>
      <c r="F221" s="69">
        <v>32</v>
      </c>
      <c r="G221" s="66" t="s">
        <v>51</v>
      </c>
      <c r="H221" s="70"/>
      <c r="I221" s="71"/>
      <c r="J221" s="71"/>
      <c r="K221" s="35" t="s">
        <v>65</v>
      </c>
      <c r="L221" s="79">
        <v>221</v>
      </c>
      <c r="M221" s="79"/>
      <c r="N221" s="73"/>
      <c r="O221" s="90" t="s">
        <v>447</v>
      </c>
      <c r="P221" s="93">
        <v>44578.357453703706</v>
      </c>
      <c r="Q221" s="90" t="s">
        <v>514</v>
      </c>
      <c r="R221" s="90"/>
      <c r="S221" s="90"/>
      <c r="T221" s="90"/>
      <c r="U221" s="95" t="str">
        <f>HYPERLINK("https://pbs.twimg.com/media/FJPK-YrWUAYi1BM.jpg")</f>
        <v>https://pbs.twimg.com/media/FJPK-YrWUAYi1BM.jpg</v>
      </c>
      <c r="V221" s="95" t="str">
        <f>HYPERLINK("https://pbs.twimg.com/media/FJPK-YrWUAYi1BM.jpg")</f>
        <v>https://pbs.twimg.com/media/FJPK-YrWUAYi1BM.jpg</v>
      </c>
      <c r="W221" s="93">
        <v>44578.357453703706</v>
      </c>
      <c r="X221" s="102">
        <v>44578</v>
      </c>
      <c r="Y221" s="97" t="s">
        <v>744</v>
      </c>
      <c r="Z221" s="95" t="str">
        <f>HYPERLINK("https://twitter.com/hpolkki/status/1482994785933828096")</f>
        <v>https://twitter.com/hpolkki/status/1482994785933828096</v>
      </c>
      <c r="AA221" s="90"/>
      <c r="AB221" s="90"/>
      <c r="AC221" s="97" t="s">
        <v>985</v>
      </c>
      <c r="AD221" s="90"/>
      <c r="AE221" s="90" t="b">
        <v>0</v>
      </c>
      <c r="AF221" s="90">
        <v>0</v>
      </c>
      <c r="AG221" s="97" t="s">
        <v>1087</v>
      </c>
      <c r="AH221" s="90" t="b">
        <v>0</v>
      </c>
      <c r="AI221" s="90" t="s">
        <v>1127</v>
      </c>
      <c r="AJ221" s="90"/>
      <c r="AK221" s="97" t="s">
        <v>1087</v>
      </c>
      <c r="AL221" s="90" t="b">
        <v>0</v>
      </c>
      <c r="AM221" s="90">
        <v>36</v>
      </c>
      <c r="AN221" s="97" t="s">
        <v>1040</v>
      </c>
      <c r="AO221" s="97" t="s">
        <v>1132</v>
      </c>
      <c r="AP221" s="90" t="b">
        <v>0</v>
      </c>
      <c r="AQ221" s="97" t="s">
        <v>1040</v>
      </c>
      <c r="AR221" s="90" t="s">
        <v>178</v>
      </c>
      <c r="AS221" s="90">
        <v>0</v>
      </c>
      <c r="AT221" s="90">
        <v>0</v>
      </c>
      <c r="AU221" s="90"/>
      <c r="AV221" s="90"/>
      <c r="AW221" s="90"/>
      <c r="AX221" s="90"/>
      <c r="AY221" s="90"/>
      <c r="AZ221" s="90"/>
      <c r="BA221" s="90"/>
      <c r="BB221" s="90"/>
      <c r="BC221">
        <v>2</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5" t="s">
        <v>356</v>
      </c>
      <c r="B222" s="65" t="s">
        <v>356</v>
      </c>
      <c r="C222" s="66" t="s">
        <v>4405</v>
      </c>
      <c r="D222" s="67">
        <v>1</v>
      </c>
      <c r="E222" s="68" t="s">
        <v>132</v>
      </c>
      <c r="F222" s="69">
        <v>32</v>
      </c>
      <c r="G222" s="66" t="s">
        <v>51</v>
      </c>
      <c r="H222" s="70"/>
      <c r="I222" s="71"/>
      <c r="J222" s="71"/>
      <c r="K222" s="35" t="s">
        <v>65</v>
      </c>
      <c r="L222" s="79">
        <v>222</v>
      </c>
      <c r="M222" s="79"/>
      <c r="N222" s="73"/>
      <c r="O222" s="90" t="s">
        <v>178</v>
      </c>
      <c r="P222" s="93">
        <v>44578.271365740744</v>
      </c>
      <c r="Q222" s="90" t="s">
        <v>530</v>
      </c>
      <c r="R222" s="95" t="str">
        <f>HYPERLINK("https://www.iltalehti.fi/viihdeuutiset/a/0cdd8736-4e6e-4da0-924c-d5995c5878de")</f>
        <v>https://www.iltalehti.fi/viihdeuutiset/a/0cdd8736-4e6e-4da0-924c-d5995c5878de</v>
      </c>
      <c r="S222" s="90" t="s">
        <v>549</v>
      </c>
      <c r="T222" s="90"/>
      <c r="U222" s="90"/>
      <c r="V222" s="95" t="str">
        <f>HYPERLINK("https://pbs.twimg.com/profile_images/1432994832289513472/lp4o16hm_normal.jpg")</f>
        <v>https://pbs.twimg.com/profile_images/1432994832289513472/lp4o16hm_normal.jpg</v>
      </c>
      <c r="W222" s="93">
        <v>44578.271365740744</v>
      </c>
      <c r="X222" s="102">
        <v>44578</v>
      </c>
      <c r="Y222" s="97" t="s">
        <v>745</v>
      </c>
      <c r="Z222" s="95" t="str">
        <f>HYPERLINK("https://twitter.com/keronen/status/1482963590332231689")</f>
        <v>https://twitter.com/keronen/status/1482963590332231689</v>
      </c>
      <c r="AA222" s="90"/>
      <c r="AB222" s="90"/>
      <c r="AC222" s="97" t="s">
        <v>986</v>
      </c>
      <c r="AD222" s="90"/>
      <c r="AE222" s="90" t="b">
        <v>0</v>
      </c>
      <c r="AF222" s="90">
        <v>130</v>
      </c>
      <c r="AG222" s="97" t="s">
        <v>1087</v>
      </c>
      <c r="AH222" s="90" t="b">
        <v>0</v>
      </c>
      <c r="AI222" s="90" t="s">
        <v>1127</v>
      </c>
      <c r="AJ222" s="90"/>
      <c r="AK222" s="97" t="s">
        <v>1087</v>
      </c>
      <c r="AL222" s="90" t="b">
        <v>0</v>
      </c>
      <c r="AM222" s="90">
        <v>3</v>
      </c>
      <c r="AN222" s="97" t="s">
        <v>1087</v>
      </c>
      <c r="AO222" s="97" t="s">
        <v>1133</v>
      </c>
      <c r="AP222" s="90" t="b">
        <v>0</v>
      </c>
      <c r="AQ222" s="97" t="s">
        <v>986</v>
      </c>
      <c r="AR222" s="90" t="s">
        <v>178</v>
      </c>
      <c r="AS222" s="90">
        <v>0</v>
      </c>
      <c r="AT222" s="90">
        <v>0</v>
      </c>
      <c r="AU222" s="90" t="s">
        <v>1139</v>
      </c>
      <c r="AV222" s="90" t="s">
        <v>1140</v>
      </c>
      <c r="AW222" s="90" t="s">
        <v>1141</v>
      </c>
      <c r="AX222" s="90" t="s">
        <v>1142</v>
      </c>
      <c r="AY222" s="90" t="s">
        <v>1143</v>
      </c>
      <c r="AZ222" s="90" t="s">
        <v>1144</v>
      </c>
      <c r="BA222" s="90" t="s">
        <v>1145</v>
      </c>
      <c r="BB222" s="95" t="str">
        <f>HYPERLINK("https://api.twitter.com/1.1/geo/id/8fe2e9b7b1ed6389.json")</f>
        <v>https://api.twitter.com/1.1/geo/id/8fe2e9b7b1ed6389.json</v>
      </c>
      <c r="BC222">
        <v>1</v>
      </c>
      <c r="BD222" s="89" t="str">
        <f>REPLACE(INDEX(GroupVertices[Group],MATCH(Edges[[#This Row],[Vertex 1]],GroupVertices[Vertex],0)),1,1,"")</f>
        <v>11</v>
      </c>
      <c r="BE222" s="89" t="str">
        <f>REPLACE(INDEX(GroupVertices[Group],MATCH(Edges[[#This Row],[Vertex 2]],GroupVertices[Vertex],0)),1,1,"")</f>
        <v>11</v>
      </c>
      <c r="BF222" s="49">
        <v>0</v>
      </c>
      <c r="BG222" s="50">
        <v>0</v>
      </c>
      <c r="BH222" s="49">
        <v>0</v>
      </c>
      <c r="BI222" s="50">
        <v>0</v>
      </c>
      <c r="BJ222" s="49">
        <v>0</v>
      </c>
      <c r="BK222" s="50">
        <v>0</v>
      </c>
      <c r="BL222" s="49">
        <v>33</v>
      </c>
      <c r="BM222" s="50">
        <v>100</v>
      </c>
      <c r="BN222" s="49">
        <v>33</v>
      </c>
    </row>
    <row r="223" spans="1:66" ht="15">
      <c r="A223" s="65" t="s">
        <v>357</v>
      </c>
      <c r="B223" s="65" t="s">
        <v>356</v>
      </c>
      <c r="C223" s="66" t="s">
        <v>4405</v>
      </c>
      <c r="D223" s="67">
        <v>1</v>
      </c>
      <c r="E223" s="68" t="s">
        <v>132</v>
      </c>
      <c r="F223" s="69">
        <v>32</v>
      </c>
      <c r="G223" s="66" t="s">
        <v>51</v>
      </c>
      <c r="H223" s="70"/>
      <c r="I223" s="71"/>
      <c r="J223" s="71"/>
      <c r="K223" s="35" t="s">
        <v>65</v>
      </c>
      <c r="L223" s="79">
        <v>223</v>
      </c>
      <c r="M223" s="79"/>
      <c r="N223" s="73"/>
      <c r="O223" s="90" t="s">
        <v>447</v>
      </c>
      <c r="P223" s="93">
        <v>44578.37335648148</v>
      </c>
      <c r="Q223" s="90" t="s">
        <v>530</v>
      </c>
      <c r="R223" s="95" t="str">
        <f>HYPERLINK("https://www.iltalehti.fi/viihdeuutiset/a/0cdd8736-4e6e-4da0-924c-d5995c5878de")</f>
        <v>https://www.iltalehti.fi/viihdeuutiset/a/0cdd8736-4e6e-4da0-924c-d5995c5878de</v>
      </c>
      <c r="S223" s="90" t="s">
        <v>549</v>
      </c>
      <c r="T223" s="90"/>
      <c r="U223" s="90"/>
      <c r="V223" s="95" t="str">
        <f>HYPERLINK("https://pbs.twimg.com/profile_images/1462473745440854021/f39vlCp7_normal.jpg")</f>
        <v>https://pbs.twimg.com/profile_images/1462473745440854021/f39vlCp7_normal.jpg</v>
      </c>
      <c r="W223" s="93">
        <v>44578.37335648148</v>
      </c>
      <c r="X223" s="102">
        <v>44578</v>
      </c>
      <c r="Y223" s="97" t="s">
        <v>746</v>
      </c>
      <c r="Z223" s="95" t="str">
        <f>HYPERLINK("https://twitter.com/karihirvi/status/1483000550417485825")</f>
        <v>https://twitter.com/karihirvi/status/1483000550417485825</v>
      </c>
      <c r="AA223" s="90"/>
      <c r="AB223" s="90"/>
      <c r="AC223" s="97" t="s">
        <v>987</v>
      </c>
      <c r="AD223" s="90"/>
      <c r="AE223" s="90" t="b">
        <v>0</v>
      </c>
      <c r="AF223" s="90">
        <v>0</v>
      </c>
      <c r="AG223" s="97" t="s">
        <v>1087</v>
      </c>
      <c r="AH223" s="90" t="b">
        <v>0</v>
      </c>
      <c r="AI223" s="90" t="s">
        <v>1127</v>
      </c>
      <c r="AJ223" s="90"/>
      <c r="AK223" s="97" t="s">
        <v>1087</v>
      </c>
      <c r="AL223" s="90" t="b">
        <v>0</v>
      </c>
      <c r="AM223" s="90">
        <v>3</v>
      </c>
      <c r="AN223" s="97" t="s">
        <v>986</v>
      </c>
      <c r="AO223" s="97" t="s">
        <v>1133</v>
      </c>
      <c r="AP223" s="90" t="b">
        <v>0</v>
      </c>
      <c r="AQ223" s="97" t="s">
        <v>986</v>
      </c>
      <c r="AR223" s="90" t="s">
        <v>178</v>
      </c>
      <c r="AS223" s="90">
        <v>0</v>
      </c>
      <c r="AT223" s="90">
        <v>0</v>
      </c>
      <c r="AU223" s="90"/>
      <c r="AV223" s="90"/>
      <c r="AW223" s="90"/>
      <c r="AX223" s="90"/>
      <c r="AY223" s="90"/>
      <c r="AZ223" s="90"/>
      <c r="BA223" s="90"/>
      <c r="BB223" s="90"/>
      <c r="BC223">
        <v>1</v>
      </c>
      <c r="BD223" s="89" t="str">
        <f>REPLACE(INDEX(GroupVertices[Group],MATCH(Edges[[#This Row],[Vertex 1]],GroupVertices[Vertex],0)),1,1,"")</f>
        <v>11</v>
      </c>
      <c r="BE223" s="89" t="str">
        <f>REPLACE(INDEX(GroupVertices[Group],MATCH(Edges[[#This Row],[Vertex 2]],GroupVertices[Vertex],0)),1,1,"")</f>
        <v>11</v>
      </c>
      <c r="BF223" s="49">
        <v>0</v>
      </c>
      <c r="BG223" s="50">
        <v>0</v>
      </c>
      <c r="BH223" s="49">
        <v>0</v>
      </c>
      <c r="BI223" s="50">
        <v>0</v>
      </c>
      <c r="BJ223" s="49">
        <v>0</v>
      </c>
      <c r="BK223" s="50">
        <v>0</v>
      </c>
      <c r="BL223" s="49">
        <v>33</v>
      </c>
      <c r="BM223" s="50">
        <v>100</v>
      </c>
      <c r="BN223" s="49">
        <v>33</v>
      </c>
    </row>
    <row r="224" spans="1:66" ht="15">
      <c r="A224" s="65" t="s">
        <v>358</v>
      </c>
      <c r="B224" s="65" t="s">
        <v>341</v>
      </c>
      <c r="C224" s="66" t="s">
        <v>4405</v>
      </c>
      <c r="D224" s="67">
        <v>1</v>
      </c>
      <c r="E224" s="68" t="s">
        <v>132</v>
      </c>
      <c r="F224" s="69">
        <v>32</v>
      </c>
      <c r="G224" s="66" t="s">
        <v>51</v>
      </c>
      <c r="H224" s="70"/>
      <c r="I224" s="71"/>
      <c r="J224" s="71"/>
      <c r="K224" s="35" t="s">
        <v>65</v>
      </c>
      <c r="L224" s="79">
        <v>224</v>
      </c>
      <c r="M224" s="79"/>
      <c r="N224" s="73"/>
      <c r="O224" s="90" t="s">
        <v>447</v>
      </c>
      <c r="P224" s="93">
        <v>44578.393171296295</v>
      </c>
      <c r="Q224" s="90" t="s">
        <v>514</v>
      </c>
      <c r="R224" s="90"/>
      <c r="S224" s="90"/>
      <c r="T224" s="90"/>
      <c r="U224" s="95" t="str">
        <f>HYPERLINK("https://pbs.twimg.com/media/FJPK-YrWUAYi1BM.jpg")</f>
        <v>https://pbs.twimg.com/media/FJPK-YrWUAYi1BM.jpg</v>
      </c>
      <c r="V224" s="95" t="str">
        <f>HYPERLINK("https://pbs.twimg.com/media/FJPK-YrWUAYi1BM.jpg")</f>
        <v>https://pbs.twimg.com/media/FJPK-YrWUAYi1BM.jpg</v>
      </c>
      <c r="W224" s="93">
        <v>44578.393171296295</v>
      </c>
      <c r="X224" s="102">
        <v>44578</v>
      </c>
      <c r="Y224" s="97" t="s">
        <v>747</v>
      </c>
      <c r="Z224" s="95" t="str">
        <f>HYPERLINK("https://twitter.com/anttiviinanen/status/1483007730701029382")</f>
        <v>https://twitter.com/anttiviinanen/status/1483007730701029382</v>
      </c>
      <c r="AA224" s="90"/>
      <c r="AB224" s="90"/>
      <c r="AC224" s="97" t="s">
        <v>988</v>
      </c>
      <c r="AD224" s="90"/>
      <c r="AE224" s="90" t="b">
        <v>0</v>
      </c>
      <c r="AF224" s="90">
        <v>0</v>
      </c>
      <c r="AG224" s="97" t="s">
        <v>1087</v>
      </c>
      <c r="AH224" s="90" t="b">
        <v>0</v>
      </c>
      <c r="AI224" s="90" t="s">
        <v>1127</v>
      </c>
      <c r="AJ224" s="90"/>
      <c r="AK224" s="97" t="s">
        <v>1087</v>
      </c>
      <c r="AL224" s="90" t="b">
        <v>0</v>
      </c>
      <c r="AM224" s="90">
        <v>36</v>
      </c>
      <c r="AN224" s="97" t="s">
        <v>1040</v>
      </c>
      <c r="AO224" s="97" t="s">
        <v>1132</v>
      </c>
      <c r="AP224" s="90" t="b">
        <v>0</v>
      </c>
      <c r="AQ224" s="97" t="s">
        <v>1040</v>
      </c>
      <c r="AR224" s="90" t="s">
        <v>178</v>
      </c>
      <c r="AS224" s="90">
        <v>0</v>
      </c>
      <c r="AT224" s="90">
        <v>0</v>
      </c>
      <c r="AU224" s="90"/>
      <c r="AV224" s="90"/>
      <c r="AW224" s="90"/>
      <c r="AX224" s="90"/>
      <c r="AY224" s="90"/>
      <c r="AZ224" s="90"/>
      <c r="BA224" s="90"/>
      <c r="BB224" s="90"/>
      <c r="BC224">
        <v>1</v>
      </c>
      <c r="BD224" s="89" t="str">
        <f>REPLACE(INDEX(GroupVertices[Group],MATCH(Edges[[#This Row],[Vertex 1]],GroupVertices[Vertex],0)),1,1,"")</f>
        <v>1</v>
      </c>
      <c r="BE224" s="89" t="str">
        <f>REPLACE(INDEX(GroupVertices[Group],MATCH(Edges[[#This Row],[Vertex 2]],GroupVertices[Vertex],0)),1,1,"")</f>
        <v>1</v>
      </c>
      <c r="BF224" s="49">
        <v>0</v>
      </c>
      <c r="BG224" s="50">
        <v>0</v>
      </c>
      <c r="BH224" s="49">
        <v>0</v>
      </c>
      <c r="BI224" s="50">
        <v>0</v>
      </c>
      <c r="BJ224" s="49">
        <v>0</v>
      </c>
      <c r="BK224" s="50">
        <v>0</v>
      </c>
      <c r="BL224" s="49">
        <v>4</v>
      </c>
      <c r="BM224" s="50">
        <v>100</v>
      </c>
      <c r="BN224" s="49">
        <v>4</v>
      </c>
    </row>
    <row r="225" spans="1:66" ht="15">
      <c r="A225" s="65" t="s">
        <v>359</v>
      </c>
      <c r="B225" s="65" t="s">
        <v>403</v>
      </c>
      <c r="C225" s="66" t="s">
        <v>4405</v>
      </c>
      <c r="D225" s="67">
        <v>1</v>
      </c>
      <c r="E225" s="68" t="s">
        <v>132</v>
      </c>
      <c r="F225" s="69">
        <v>32</v>
      </c>
      <c r="G225" s="66" t="s">
        <v>51</v>
      </c>
      <c r="H225" s="70"/>
      <c r="I225" s="71"/>
      <c r="J225" s="71"/>
      <c r="K225" s="35" t="s">
        <v>65</v>
      </c>
      <c r="L225" s="79">
        <v>225</v>
      </c>
      <c r="M225" s="79"/>
      <c r="N225" s="73"/>
      <c r="O225" s="90" t="s">
        <v>448</v>
      </c>
      <c r="P225" s="93">
        <v>44578.3962962963</v>
      </c>
      <c r="Q225" s="90" t="s">
        <v>532</v>
      </c>
      <c r="R225" s="90"/>
      <c r="S225" s="90"/>
      <c r="T225" s="97" t="s">
        <v>556</v>
      </c>
      <c r="U225" s="90"/>
      <c r="V225" s="95" t="str">
        <f>HYPERLINK("https://pbs.twimg.com/profile_images/1370932130042290187/G46NdvET_normal.jpg")</f>
        <v>https://pbs.twimg.com/profile_images/1370932130042290187/G46NdvET_normal.jpg</v>
      </c>
      <c r="W225" s="93">
        <v>44578.3962962963</v>
      </c>
      <c r="X225" s="102">
        <v>44578</v>
      </c>
      <c r="Y225" s="97" t="s">
        <v>748</v>
      </c>
      <c r="Z225" s="95" t="str">
        <f>HYPERLINK("https://twitter.com/mikkopohjanhei1/status/1483008864530448387")</f>
        <v>https://twitter.com/mikkopohjanhei1/status/1483008864530448387</v>
      </c>
      <c r="AA225" s="90"/>
      <c r="AB225" s="90"/>
      <c r="AC225" s="97" t="s">
        <v>989</v>
      </c>
      <c r="AD225" s="97" t="s">
        <v>1050</v>
      </c>
      <c r="AE225" s="90" t="b">
        <v>0</v>
      </c>
      <c r="AF225" s="90">
        <v>0</v>
      </c>
      <c r="AG225" s="97" t="s">
        <v>1122</v>
      </c>
      <c r="AH225" s="90" t="b">
        <v>0</v>
      </c>
      <c r="AI225" s="90" t="s">
        <v>1127</v>
      </c>
      <c r="AJ225" s="90"/>
      <c r="AK225" s="97" t="s">
        <v>1087</v>
      </c>
      <c r="AL225" s="90" t="b">
        <v>0</v>
      </c>
      <c r="AM225" s="90">
        <v>0</v>
      </c>
      <c r="AN225" s="97" t="s">
        <v>1087</v>
      </c>
      <c r="AO225" s="97" t="s">
        <v>1132</v>
      </c>
      <c r="AP225" s="90" t="b">
        <v>0</v>
      </c>
      <c r="AQ225" s="97" t="s">
        <v>1050</v>
      </c>
      <c r="AR225" s="90" t="s">
        <v>178</v>
      </c>
      <c r="AS225" s="90">
        <v>0</v>
      </c>
      <c r="AT225" s="90">
        <v>0</v>
      </c>
      <c r="AU225" s="90"/>
      <c r="AV225" s="90"/>
      <c r="AW225" s="90"/>
      <c r="AX225" s="90"/>
      <c r="AY225" s="90"/>
      <c r="AZ225" s="90"/>
      <c r="BA225" s="90"/>
      <c r="BB225" s="90"/>
      <c r="BC225">
        <v>1</v>
      </c>
      <c r="BD225" s="89" t="str">
        <f>REPLACE(INDEX(GroupVertices[Group],MATCH(Edges[[#This Row],[Vertex 1]],GroupVertices[Vertex],0)),1,1,"")</f>
        <v>4</v>
      </c>
      <c r="BE225" s="89" t="str">
        <f>REPLACE(INDEX(GroupVertices[Group],MATCH(Edges[[#This Row],[Vertex 2]],GroupVertices[Vertex],0)),1,1,"")</f>
        <v>4</v>
      </c>
      <c r="BF225" s="49">
        <v>0</v>
      </c>
      <c r="BG225" s="50">
        <v>0</v>
      </c>
      <c r="BH225" s="49">
        <v>0</v>
      </c>
      <c r="BI225" s="50">
        <v>0</v>
      </c>
      <c r="BJ225" s="49">
        <v>0</v>
      </c>
      <c r="BK225" s="50">
        <v>0</v>
      </c>
      <c r="BL225" s="49">
        <v>30</v>
      </c>
      <c r="BM225" s="50">
        <v>100</v>
      </c>
      <c r="BN225" s="49">
        <v>30</v>
      </c>
    </row>
    <row r="226" spans="1:66" ht="15">
      <c r="A226" s="65" t="s">
        <v>360</v>
      </c>
      <c r="B226" s="65" t="s">
        <v>341</v>
      </c>
      <c r="C226" s="66" t="s">
        <v>4405</v>
      </c>
      <c r="D226" s="67">
        <v>1</v>
      </c>
      <c r="E226" s="68" t="s">
        <v>132</v>
      </c>
      <c r="F226" s="69">
        <v>32</v>
      </c>
      <c r="G226" s="66" t="s">
        <v>51</v>
      </c>
      <c r="H226" s="70"/>
      <c r="I226" s="71"/>
      <c r="J226" s="71"/>
      <c r="K226" s="35" t="s">
        <v>65</v>
      </c>
      <c r="L226" s="79">
        <v>226</v>
      </c>
      <c r="M226" s="79"/>
      <c r="N226" s="73"/>
      <c r="O226" s="90" t="s">
        <v>447</v>
      </c>
      <c r="P226" s="93">
        <v>44578.433796296296</v>
      </c>
      <c r="Q226" s="90" t="s">
        <v>520</v>
      </c>
      <c r="R226" s="90"/>
      <c r="S226" s="90"/>
      <c r="T226" s="90"/>
      <c r="U226" s="90"/>
      <c r="V226" s="95" t="str">
        <f>HYPERLINK("https://pbs.twimg.com/profile_images/1483041717880295425/9icG0DYF_normal.jpg")</f>
        <v>https://pbs.twimg.com/profile_images/1483041717880295425/9icG0DYF_normal.jpg</v>
      </c>
      <c r="W226" s="93">
        <v>44578.433796296296</v>
      </c>
      <c r="X226" s="102">
        <v>44578</v>
      </c>
      <c r="Y226" s="97" t="s">
        <v>749</v>
      </c>
      <c r="Z226" s="95" t="str">
        <f>HYPERLINK("https://twitter.com/useyour_____/status/1483022451869204484")</f>
        <v>https://twitter.com/useyour_____/status/1483022451869204484</v>
      </c>
      <c r="AA226" s="90"/>
      <c r="AB226" s="90"/>
      <c r="AC226" s="97" t="s">
        <v>990</v>
      </c>
      <c r="AD226" s="90"/>
      <c r="AE226" s="90" t="b">
        <v>0</v>
      </c>
      <c r="AF226" s="90">
        <v>0</v>
      </c>
      <c r="AG226" s="97" t="s">
        <v>1087</v>
      </c>
      <c r="AH226" s="90" t="b">
        <v>0</v>
      </c>
      <c r="AI226" s="90" t="s">
        <v>1127</v>
      </c>
      <c r="AJ226" s="90"/>
      <c r="AK226" s="97" t="s">
        <v>1087</v>
      </c>
      <c r="AL226" s="90" t="b">
        <v>0</v>
      </c>
      <c r="AM226" s="90">
        <v>24</v>
      </c>
      <c r="AN226" s="97" t="s">
        <v>1041</v>
      </c>
      <c r="AO226" s="97" t="s">
        <v>1133</v>
      </c>
      <c r="AP226" s="90" t="b">
        <v>0</v>
      </c>
      <c r="AQ226" s="97" t="s">
        <v>1041</v>
      </c>
      <c r="AR226" s="90" t="s">
        <v>178</v>
      </c>
      <c r="AS226" s="90">
        <v>0</v>
      </c>
      <c r="AT226" s="90">
        <v>0</v>
      </c>
      <c r="AU226" s="90"/>
      <c r="AV226" s="90"/>
      <c r="AW226" s="90"/>
      <c r="AX226" s="90"/>
      <c r="AY226" s="90"/>
      <c r="AZ226" s="90"/>
      <c r="BA226" s="90"/>
      <c r="BB226" s="90"/>
      <c r="BC226">
        <v>1</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16</v>
      </c>
      <c r="BM226" s="50">
        <v>100</v>
      </c>
      <c r="BN226" s="49">
        <v>16</v>
      </c>
    </row>
    <row r="227" spans="1:66" ht="15">
      <c r="A227" s="65" t="s">
        <v>361</v>
      </c>
      <c r="B227" s="65" t="s">
        <v>403</v>
      </c>
      <c r="C227" s="66" t="s">
        <v>4405</v>
      </c>
      <c r="D227" s="67">
        <v>1</v>
      </c>
      <c r="E227" s="68" t="s">
        <v>132</v>
      </c>
      <c r="F227" s="69">
        <v>32</v>
      </c>
      <c r="G227" s="66" t="s">
        <v>51</v>
      </c>
      <c r="H227" s="70"/>
      <c r="I227" s="71"/>
      <c r="J227" s="71"/>
      <c r="K227" s="35" t="s">
        <v>65</v>
      </c>
      <c r="L227" s="79">
        <v>227</v>
      </c>
      <c r="M227" s="79"/>
      <c r="N227" s="73"/>
      <c r="O227" s="90" t="s">
        <v>447</v>
      </c>
      <c r="P227" s="93">
        <v>44578.4734837963</v>
      </c>
      <c r="Q227" s="90" t="s">
        <v>533</v>
      </c>
      <c r="R227" s="90"/>
      <c r="S227" s="90"/>
      <c r="T227" s="97" t="s">
        <v>570</v>
      </c>
      <c r="U227" s="90"/>
      <c r="V227" s="95" t="str">
        <f>HYPERLINK("https://pbs.twimg.com/profile_images/1481262741159559174/eVNzE5nF_normal.jpg")</f>
        <v>https://pbs.twimg.com/profile_images/1481262741159559174/eVNzE5nF_normal.jpg</v>
      </c>
      <c r="W227" s="93">
        <v>44578.4734837963</v>
      </c>
      <c r="X227" s="102">
        <v>44578</v>
      </c>
      <c r="Y227" s="97" t="s">
        <v>750</v>
      </c>
      <c r="Z227" s="95" t="str">
        <f>HYPERLINK("https://twitter.com/lifflander/status/1483036835534229505")</f>
        <v>https://twitter.com/lifflander/status/1483036835534229505</v>
      </c>
      <c r="AA227" s="90"/>
      <c r="AB227" s="90"/>
      <c r="AC227" s="97" t="s">
        <v>991</v>
      </c>
      <c r="AD227" s="90"/>
      <c r="AE227" s="90" t="b">
        <v>0</v>
      </c>
      <c r="AF227" s="90">
        <v>0</v>
      </c>
      <c r="AG227" s="97" t="s">
        <v>1087</v>
      </c>
      <c r="AH227" s="90" t="b">
        <v>0</v>
      </c>
      <c r="AI227" s="90" t="s">
        <v>1127</v>
      </c>
      <c r="AJ227" s="90"/>
      <c r="AK227" s="97" t="s">
        <v>1087</v>
      </c>
      <c r="AL227" s="90" t="b">
        <v>0</v>
      </c>
      <c r="AM227" s="90">
        <v>31</v>
      </c>
      <c r="AN227" s="97" t="s">
        <v>1051</v>
      </c>
      <c r="AO227" s="97" t="s">
        <v>1133</v>
      </c>
      <c r="AP227" s="90" t="b">
        <v>0</v>
      </c>
      <c r="AQ227" s="97" t="s">
        <v>1051</v>
      </c>
      <c r="AR227" s="90" t="s">
        <v>178</v>
      </c>
      <c r="AS227" s="90">
        <v>0</v>
      </c>
      <c r="AT227" s="90">
        <v>0</v>
      </c>
      <c r="AU227" s="90"/>
      <c r="AV227" s="90"/>
      <c r="AW227" s="90"/>
      <c r="AX227" s="90"/>
      <c r="AY227" s="90"/>
      <c r="AZ227" s="90"/>
      <c r="BA227" s="90"/>
      <c r="BB227" s="90"/>
      <c r="BC227">
        <v>1</v>
      </c>
      <c r="BD227" s="89" t="str">
        <f>REPLACE(INDEX(GroupVertices[Group],MATCH(Edges[[#This Row],[Vertex 1]],GroupVertices[Vertex],0)),1,1,"")</f>
        <v>4</v>
      </c>
      <c r="BE227" s="89" t="str">
        <f>REPLACE(INDEX(GroupVertices[Group],MATCH(Edges[[#This Row],[Vertex 2]],GroupVertices[Vertex],0)),1,1,"")</f>
        <v>4</v>
      </c>
      <c r="BF227" s="49">
        <v>0</v>
      </c>
      <c r="BG227" s="50">
        <v>0</v>
      </c>
      <c r="BH227" s="49">
        <v>0</v>
      </c>
      <c r="BI227" s="50">
        <v>0</v>
      </c>
      <c r="BJ227" s="49">
        <v>0</v>
      </c>
      <c r="BK227" s="50">
        <v>0</v>
      </c>
      <c r="BL227" s="49">
        <v>24</v>
      </c>
      <c r="BM227" s="50">
        <v>100</v>
      </c>
      <c r="BN227" s="49">
        <v>24</v>
      </c>
    </row>
    <row r="228" spans="1:66" ht="15">
      <c r="A228" s="65" t="s">
        <v>362</v>
      </c>
      <c r="B228" s="65" t="s">
        <v>403</v>
      </c>
      <c r="C228" s="66" t="s">
        <v>4405</v>
      </c>
      <c r="D228" s="67">
        <v>1</v>
      </c>
      <c r="E228" s="68" t="s">
        <v>132</v>
      </c>
      <c r="F228" s="69">
        <v>32</v>
      </c>
      <c r="G228" s="66" t="s">
        <v>51</v>
      </c>
      <c r="H228" s="70"/>
      <c r="I228" s="71"/>
      <c r="J228" s="71"/>
      <c r="K228" s="35" t="s">
        <v>65</v>
      </c>
      <c r="L228" s="79">
        <v>228</v>
      </c>
      <c r="M228" s="79"/>
      <c r="N228" s="73"/>
      <c r="O228" s="90" t="s">
        <v>447</v>
      </c>
      <c r="P228" s="93">
        <v>44578.48268518518</v>
      </c>
      <c r="Q228" s="90" t="s">
        <v>533</v>
      </c>
      <c r="R228" s="90"/>
      <c r="S228" s="90"/>
      <c r="T228" s="97" t="s">
        <v>570</v>
      </c>
      <c r="U228" s="90"/>
      <c r="V228" s="95" t="str">
        <f>HYPERLINK("https://pbs.twimg.com/profile_images/1462132308828426245/xCytlZ4u_normal.jpg")</f>
        <v>https://pbs.twimg.com/profile_images/1462132308828426245/xCytlZ4u_normal.jpg</v>
      </c>
      <c r="W228" s="93">
        <v>44578.48268518518</v>
      </c>
      <c r="X228" s="102">
        <v>44578</v>
      </c>
      <c r="Y228" s="97" t="s">
        <v>751</v>
      </c>
      <c r="Z228" s="95" t="str">
        <f>HYPERLINK("https://twitter.com/niinuliinuli/status/1483040168076619776")</f>
        <v>https://twitter.com/niinuliinuli/status/1483040168076619776</v>
      </c>
      <c r="AA228" s="90"/>
      <c r="AB228" s="90"/>
      <c r="AC228" s="97" t="s">
        <v>992</v>
      </c>
      <c r="AD228" s="90"/>
      <c r="AE228" s="90" t="b">
        <v>0</v>
      </c>
      <c r="AF228" s="90">
        <v>0</v>
      </c>
      <c r="AG228" s="97" t="s">
        <v>1087</v>
      </c>
      <c r="AH228" s="90" t="b">
        <v>0</v>
      </c>
      <c r="AI228" s="90" t="s">
        <v>1127</v>
      </c>
      <c r="AJ228" s="90"/>
      <c r="AK228" s="97" t="s">
        <v>1087</v>
      </c>
      <c r="AL228" s="90" t="b">
        <v>0</v>
      </c>
      <c r="AM228" s="90">
        <v>31</v>
      </c>
      <c r="AN228" s="97" t="s">
        <v>1051</v>
      </c>
      <c r="AO228" s="97" t="s">
        <v>1133</v>
      </c>
      <c r="AP228" s="90" t="b">
        <v>0</v>
      </c>
      <c r="AQ228" s="97" t="s">
        <v>1051</v>
      </c>
      <c r="AR228" s="90" t="s">
        <v>178</v>
      </c>
      <c r="AS228" s="90">
        <v>0</v>
      </c>
      <c r="AT228" s="90">
        <v>0</v>
      </c>
      <c r="AU228" s="90"/>
      <c r="AV228" s="90"/>
      <c r="AW228" s="90"/>
      <c r="AX228" s="90"/>
      <c r="AY228" s="90"/>
      <c r="AZ228" s="90"/>
      <c r="BA228" s="90"/>
      <c r="BB228" s="90"/>
      <c r="BC228">
        <v>1</v>
      </c>
      <c r="BD228" s="89" t="str">
        <f>REPLACE(INDEX(GroupVertices[Group],MATCH(Edges[[#This Row],[Vertex 1]],GroupVertices[Vertex],0)),1,1,"")</f>
        <v>4</v>
      </c>
      <c r="BE228" s="89" t="str">
        <f>REPLACE(INDEX(GroupVertices[Group],MATCH(Edges[[#This Row],[Vertex 2]],GroupVertices[Vertex],0)),1,1,"")</f>
        <v>4</v>
      </c>
      <c r="BF228" s="49">
        <v>0</v>
      </c>
      <c r="BG228" s="50">
        <v>0</v>
      </c>
      <c r="BH228" s="49">
        <v>0</v>
      </c>
      <c r="BI228" s="50">
        <v>0</v>
      </c>
      <c r="BJ228" s="49">
        <v>0</v>
      </c>
      <c r="BK228" s="50">
        <v>0</v>
      </c>
      <c r="BL228" s="49">
        <v>24</v>
      </c>
      <c r="BM228" s="50">
        <v>100</v>
      </c>
      <c r="BN228" s="49">
        <v>24</v>
      </c>
    </row>
    <row r="229" spans="1:66" ht="15">
      <c r="A229" s="65" t="s">
        <v>363</v>
      </c>
      <c r="B229" s="65" t="s">
        <v>442</v>
      </c>
      <c r="C229" s="66" t="s">
        <v>4405</v>
      </c>
      <c r="D229" s="67">
        <v>1</v>
      </c>
      <c r="E229" s="68" t="s">
        <v>132</v>
      </c>
      <c r="F229" s="69">
        <v>32</v>
      </c>
      <c r="G229" s="66" t="s">
        <v>51</v>
      </c>
      <c r="H229" s="70"/>
      <c r="I229" s="71"/>
      <c r="J229" s="71"/>
      <c r="K229" s="35" t="s">
        <v>65</v>
      </c>
      <c r="L229" s="79">
        <v>229</v>
      </c>
      <c r="M229" s="79"/>
      <c r="N229" s="73"/>
      <c r="O229" s="90" t="s">
        <v>449</v>
      </c>
      <c r="P229" s="93">
        <v>44578.35836805555</v>
      </c>
      <c r="Q229" s="90" t="s">
        <v>534</v>
      </c>
      <c r="R229" s="90"/>
      <c r="S229" s="90"/>
      <c r="T229" s="90"/>
      <c r="U229" s="90"/>
      <c r="V229" s="95" t="str">
        <f>HYPERLINK("https://pbs.twimg.com/profile_images/1428046149257138179/Wc0VGgyW_normal.jpg")</f>
        <v>https://pbs.twimg.com/profile_images/1428046149257138179/Wc0VGgyW_normal.jpg</v>
      </c>
      <c r="W229" s="93">
        <v>44578.35836805555</v>
      </c>
      <c r="X229" s="102">
        <v>44578</v>
      </c>
      <c r="Y229" s="97" t="s">
        <v>752</v>
      </c>
      <c r="Z229" s="95" t="str">
        <f>HYPERLINK("https://twitter.com/_tilastonikkari/status/1482995116654608385")</f>
        <v>https://twitter.com/_tilastonikkari/status/1482995116654608385</v>
      </c>
      <c r="AA229" s="90"/>
      <c r="AB229" s="90"/>
      <c r="AC229" s="97" t="s">
        <v>993</v>
      </c>
      <c r="AD229" s="97" t="s">
        <v>1081</v>
      </c>
      <c r="AE229" s="90" t="b">
        <v>0</v>
      </c>
      <c r="AF229" s="90">
        <v>3</v>
      </c>
      <c r="AG229" s="97" t="s">
        <v>1114</v>
      </c>
      <c r="AH229" s="90" t="b">
        <v>0</v>
      </c>
      <c r="AI229" s="90" t="s">
        <v>1127</v>
      </c>
      <c r="AJ229" s="90"/>
      <c r="AK229" s="97" t="s">
        <v>1087</v>
      </c>
      <c r="AL229" s="90" t="b">
        <v>0</v>
      </c>
      <c r="AM229" s="90">
        <v>0</v>
      </c>
      <c r="AN229" s="97" t="s">
        <v>1087</v>
      </c>
      <c r="AO229" s="97" t="s">
        <v>1133</v>
      </c>
      <c r="AP229" s="90" t="b">
        <v>0</v>
      </c>
      <c r="AQ229" s="97" t="s">
        <v>1081</v>
      </c>
      <c r="AR229" s="90" t="s">
        <v>178</v>
      </c>
      <c r="AS229" s="90">
        <v>0</v>
      </c>
      <c r="AT229" s="90">
        <v>0</v>
      </c>
      <c r="AU229" s="90"/>
      <c r="AV229" s="90"/>
      <c r="AW229" s="90"/>
      <c r="AX229" s="90"/>
      <c r="AY229" s="90"/>
      <c r="AZ229" s="90"/>
      <c r="BA229" s="90"/>
      <c r="BB229" s="90"/>
      <c r="BC229">
        <v>1</v>
      </c>
      <c r="BD229" s="89" t="str">
        <f>REPLACE(INDEX(GroupVertices[Group],MATCH(Edges[[#This Row],[Vertex 1]],GroupVertices[Vertex],0)),1,1,"")</f>
        <v>4</v>
      </c>
      <c r="BE229" s="89" t="str">
        <f>REPLACE(INDEX(GroupVertices[Group],MATCH(Edges[[#This Row],[Vertex 2]],GroupVertices[Vertex],0)),1,1,"")</f>
        <v>4</v>
      </c>
      <c r="BF229" s="49">
        <v>0</v>
      </c>
      <c r="BG229" s="50">
        <v>0</v>
      </c>
      <c r="BH229" s="49">
        <v>0</v>
      </c>
      <c r="BI229" s="50">
        <v>0</v>
      </c>
      <c r="BJ229" s="49">
        <v>0</v>
      </c>
      <c r="BK229" s="50">
        <v>0</v>
      </c>
      <c r="BL229" s="49">
        <v>17</v>
      </c>
      <c r="BM229" s="50">
        <v>100</v>
      </c>
      <c r="BN229" s="49">
        <v>17</v>
      </c>
    </row>
    <row r="230" spans="1:66" ht="15">
      <c r="A230" s="65" t="s">
        <v>363</v>
      </c>
      <c r="B230" s="65" t="s">
        <v>341</v>
      </c>
      <c r="C230" s="66" t="s">
        <v>4405</v>
      </c>
      <c r="D230" s="67">
        <v>1</v>
      </c>
      <c r="E230" s="68" t="s">
        <v>132</v>
      </c>
      <c r="F230" s="69">
        <v>32</v>
      </c>
      <c r="G230" s="66" t="s">
        <v>51</v>
      </c>
      <c r="H230" s="70"/>
      <c r="I230" s="71"/>
      <c r="J230" s="71"/>
      <c r="K230" s="35" t="s">
        <v>65</v>
      </c>
      <c r="L230" s="79">
        <v>230</v>
      </c>
      <c r="M230" s="79"/>
      <c r="N230" s="73"/>
      <c r="O230" s="90" t="s">
        <v>447</v>
      </c>
      <c r="P230" s="93">
        <v>44577.87216435185</v>
      </c>
      <c r="Q230" s="90" t="s">
        <v>514</v>
      </c>
      <c r="R230" s="90"/>
      <c r="S230" s="90"/>
      <c r="T230" s="90"/>
      <c r="U230" s="95" t="str">
        <f>HYPERLINK("https://pbs.twimg.com/media/FJPK-YrWUAYi1BM.jpg")</f>
        <v>https://pbs.twimg.com/media/FJPK-YrWUAYi1BM.jpg</v>
      </c>
      <c r="V230" s="95" t="str">
        <f>HYPERLINK("https://pbs.twimg.com/media/FJPK-YrWUAYi1BM.jpg")</f>
        <v>https://pbs.twimg.com/media/FJPK-YrWUAYi1BM.jpg</v>
      </c>
      <c r="W230" s="93">
        <v>44577.87216435185</v>
      </c>
      <c r="X230" s="102">
        <v>44577</v>
      </c>
      <c r="Y230" s="97" t="s">
        <v>753</v>
      </c>
      <c r="Z230" s="95" t="str">
        <f>HYPERLINK("https://twitter.com/_tilastonikkari/status/1482818922973827073")</f>
        <v>https://twitter.com/_tilastonikkari/status/1482818922973827073</v>
      </c>
      <c r="AA230" s="90"/>
      <c r="AB230" s="90"/>
      <c r="AC230" s="97" t="s">
        <v>994</v>
      </c>
      <c r="AD230" s="90"/>
      <c r="AE230" s="90" t="b">
        <v>0</v>
      </c>
      <c r="AF230" s="90">
        <v>0</v>
      </c>
      <c r="AG230" s="97" t="s">
        <v>1087</v>
      </c>
      <c r="AH230" s="90" t="b">
        <v>0</v>
      </c>
      <c r="AI230" s="90" t="s">
        <v>1127</v>
      </c>
      <c r="AJ230" s="90"/>
      <c r="AK230" s="97" t="s">
        <v>1087</v>
      </c>
      <c r="AL230" s="90" t="b">
        <v>0</v>
      </c>
      <c r="AM230" s="90">
        <v>36</v>
      </c>
      <c r="AN230" s="97" t="s">
        <v>1040</v>
      </c>
      <c r="AO230" s="97" t="s">
        <v>1133</v>
      </c>
      <c r="AP230" s="90" t="b">
        <v>0</v>
      </c>
      <c r="AQ230" s="97" t="s">
        <v>1040</v>
      </c>
      <c r="AR230" s="90" t="s">
        <v>178</v>
      </c>
      <c r="AS230" s="90">
        <v>0</v>
      </c>
      <c r="AT230" s="90">
        <v>0</v>
      </c>
      <c r="AU230" s="90"/>
      <c r="AV230" s="90"/>
      <c r="AW230" s="90"/>
      <c r="AX230" s="90"/>
      <c r="AY230" s="90"/>
      <c r="AZ230" s="90"/>
      <c r="BA230" s="90"/>
      <c r="BB230" s="90"/>
      <c r="BC230">
        <v>1</v>
      </c>
      <c r="BD230" s="89" t="str">
        <f>REPLACE(INDEX(GroupVertices[Group],MATCH(Edges[[#This Row],[Vertex 1]],GroupVertices[Vertex],0)),1,1,"")</f>
        <v>4</v>
      </c>
      <c r="BE230" s="89" t="str">
        <f>REPLACE(INDEX(GroupVertices[Group],MATCH(Edges[[#This Row],[Vertex 2]],GroupVertices[Vertex],0)),1,1,"")</f>
        <v>1</v>
      </c>
      <c r="BF230" s="49">
        <v>0</v>
      </c>
      <c r="BG230" s="50">
        <v>0</v>
      </c>
      <c r="BH230" s="49">
        <v>0</v>
      </c>
      <c r="BI230" s="50">
        <v>0</v>
      </c>
      <c r="BJ230" s="49">
        <v>0</v>
      </c>
      <c r="BK230" s="50">
        <v>0</v>
      </c>
      <c r="BL230" s="49">
        <v>4</v>
      </c>
      <c r="BM230" s="50">
        <v>100</v>
      </c>
      <c r="BN230" s="49">
        <v>4</v>
      </c>
    </row>
    <row r="231" spans="1:66" ht="15">
      <c r="A231" s="65" t="s">
        <v>363</v>
      </c>
      <c r="B231" s="65" t="s">
        <v>416</v>
      </c>
      <c r="C231" s="66" t="s">
        <v>4405</v>
      </c>
      <c r="D231" s="67">
        <v>1</v>
      </c>
      <c r="E231" s="68" t="s">
        <v>132</v>
      </c>
      <c r="F231" s="69">
        <v>32</v>
      </c>
      <c r="G231" s="66" t="s">
        <v>51</v>
      </c>
      <c r="H231" s="70"/>
      <c r="I231" s="71"/>
      <c r="J231" s="71"/>
      <c r="K231" s="35" t="s">
        <v>65</v>
      </c>
      <c r="L231" s="79">
        <v>231</v>
      </c>
      <c r="M231" s="79"/>
      <c r="N231" s="73"/>
      <c r="O231" s="90" t="s">
        <v>449</v>
      </c>
      <c r="P231" s="93">
        <v>44578.35836805555</v>
      </c>
      <c r="Q231" s="90" t="s">
        <v>534</v>
      </c>
      <c r="R231" s="90"/>
      <c r="S231" s="90"/>
      <c r="T231" s="90"/>
      <c r="U231" s="90"/>
      <c r="V231" s="95" t="str">
        <f>HYPERLINK("https://pbs.twimg.com/profile_images/1428046149257138179/Wc0VGgyW_normal.jpg")</f>
        <v>https://pbs.twimg.com/profile_images/1428046149257138179/Wc0VGgyW_normal.jpg</v>
      </c>
      <c r="W231" s="93">
        <v>44578.35836805555</v>
      </c>
      <c r="X231" s="102">
        <v>44578</v>
      </c>
      <c r="Y231" s="97" t="s">
        <v>752</v>
      </c>
      <c r="Z231" s="95" t="str">
        <f>HYPERLINK("https://twitter.com/_tilastonikkari/status/1482995116654608385")</f>
        <v>https://twitter.com/_tilastonikkari/status/1482995116654608385</v>
      </c>
      <c r="AA231" s="90"/>
      <c r="AB231" s="90"/>
      <c r="AC231" s="97" t="s">
        <v>993</v>
      </c>
      <c r="AD231" s="97" t="s">
        <v>1081</v>
      </c>
      <c r="AE231" s="90" t="b">
        <v>0</v>
      </c>
      <c r="AF231" s="90">
        <v>3</v>
      </c>
      <c r="AG231" s="97" t="s">
        <v>1114</v>
      </c>
      <c r="AH231" s="90" t="b">
        <v>0</v>
      </c>
      <c r="AI231" s="90" t="s">
        <v>1127</v>
      </c>
      <c r="AJ231" s="90"/>
      <c r="AK231" s="97" t="s">
        <v>1087</v>
      </c>
      <c r="AL231" s="90" t="b">
        <v>0</v>
      </c>
      <c r="AM231" s="90">
        <v>0</v>
      </c>
      <c r="AN231" s="97" t="s">
        <v>1087</v>
      </c>
      <c r="AO231" s="97" t="s">
        <v>1133</v>
      </c>
      <c r="AP231" s="90" t="b">
        <v>0</v>
      </c>
      <c r="AQ231" s="97" t="s">
        <v>1081</v>
      </c>
      <c r="AR231" s="90" t="s">
        <v>178</v>
      </c>
      <c r="AS231" s="90">
        <v>0</v>
      </c>
      <c r="AT231" s="90">
        <v>0</v>
      </c>
      <c r="AU231" s="90"/>
      <c r="AV231" s="90"/>
      <c r="AW231" s="90"/>
      <c r="AX231" s="90"/>
      <c r="AY231" s="90"/>
      <c r="AZ231" s="90"/>
      <c r="BA231" s="90"/>
      <c r="BB231" s="90"/>
      <c r="BC231">
        <v>1</v>
      </c>
      <c r="BD231" s="89" t="str">
        <f>REPLACE(INDEX(GroupVertices[Group],MATCH(Edges[[#This Row],[Vertex 1]],GroupVertices[Vertex],0)),1,1,"")</f>
        <v>4</v>
      </c>
      <c r="BE231" s="89" t="str">
        <f>REPLACE(INDEX(GroupVertices[Group],MATCH(Edges[[#This Row],[Vertex 2]],GroupVertices[Vertex],0)),1,1,"")</f>
        <v>3</v>
      </c>
      <c r="BF231" s="49"/>
      <c r="BG231" s="50"/>
      <c r="BH231" s="49"/>
      <c r="BI231" s="50"/>
      <c r="BJ231" s="49"/>
      <c r="BK231" s="50"/>
      <c r="BL231" s="49"/>
      <c r="BM231" s="50"/>
      <c r="BN231" s="49"/>
    </row>
    <row r="232" spans="1:66" ht="15">
      <c r="A232" s="65" t="s">
        <v>363</v>
      </c>
      <c r="B232" s="65" t="s">
        <v>341</v>
      </c>
      <c r="C232" s="66" t="s">
        <v>4405</v>
      </c>
      <c r="D232" s="67">
        <v>1</v>
      </c>
      <c r="E232" s="68" t="s">
        <v>132</v>
      </c>
      <c r="F232" s="69">
        <v>32</v>
      </c>
      <c r="G232" s="66" t="s">
        <v>51</v>
      </c>
      <c r="H232" s="70"/>
      <c r="I232" s="71"/>
      <c r="J232" s="71"/>
      <c r="K232" s="35" t="s">
        <v>65</v>
      </c>
      <c r="L232" s="79">
        <v>232</v>
      </c>
      <c r="M232" s="79"/>
      <c r="N232" s="73"/>
      <c r="O232" s="90" t="s">
        <v>448</v>
      </c>
      <c r="P232" s="93">
        <v>44578.35836805555</v>
      </c>
      <c r="Q232" s="90" t="s">
        <v>534</v>
      </c>
      <c r="R232" s="90"/>
      <c r="S232" s="90"/>
      <c r="T232" s="90"/>
      <c r="U232" s="90"/>
      <c r="V232" s="95" t="str">
        <f>HYPERLINK("https://pbs.twimg.com/profile_images/1428046149257138179/Wc0VGgyW_normal.jpg")</f>
        <v>https://pbs.twimg.com/profile_images/1428046149257138179/Wc0VGgyW_normal.jpg</v>
      </c>
      <c r="W232" s="93">
        <v>44578.35836805555</v>
      </c>
      <c r="X232" s="102">
        <v>44578</v>
      </c>
      <c r="Y232" s="97" t="s">
        <v>752</v>
      </c>
      <c r="Z232" s="95" t="str">
        <f>HYPERLINK("https://twitter.com/_tilastonikkari/status/1482995116654608385")</f>
        <v>https://twitter.com/_tilastonikkari/status/1482995116654608385</v>
      </c>
      <c r="AA232" s="90"/>
      <c r="AB232" s="90"/>
      <c r="AC232" s="97" t="s">
        <v>993</v>
      </c>
      <c r="AD232" s="97" t="s">
        <v>1081</v>
      </c>
      <c r="AE232" s="90" t="b">
        <v>0</v>
      </c>
      <c r="AF232" s="90">
        <v>3</v>
      </c>
      <c r="AG232" s="97" t="s">
        <v>1114</v>
      </c>
      <c r="AH232" s="90" t="b">
        <v>0</v>
      </c>
      <c r="AI232" s="90" t="s">
        <v>1127</v>
      </c>
      <c r="AJ232" s="90"/>
      <c r="AK232" s="97" t="s">
        <v>1087</v>
      </c>
      <c r="AL232" s="90" t="b">
        <v>0</v>
      </c>
      <c r="AM232" s="90">
        <v>0</v>
      </c>
      <c r="AN232" s="97" t="s">
        <v>1087</v>
      </c>
      <c r="AO232" s="97" t="s">
        <v>1133</v>
      </c>
      <c r="AP232" s="90" t="b">
        <v>0</v>
      </c>
      <c r="AQ232" s="97" t="s">
        <v>1081</v>
      </c>
      <c r="AR232" s="90" t="s">
        <v>178</v>
      </c>
      <c r="AS232" s="90">
        <v>0</v>
      </c>
      <c r="AT232" s="90">
        <v>0</v>
      </c>
      <c r="AU232" s="90"/>
      <c r="AV232" s="90"/>
      <c r="AW232" s="90"/>
      <c r="AX232" s="90"/>
      <c r="AY232" s="90"/>
      <c r="AZ232" s="90"/>
      <c r="BA232" s="90"/>
      <c r="BB232" s="90"/>
      <c r="BC232">
        <v>1</v>
      </c>
      <c r="BD232" s="89" t="str">
        <f>REPLACE(INDEX(GroupVertices[Group],MATCH(Edges[[#This Row],[Vertex 1]],GroupVertices[Vertex],0)),1,1,"")</f>
        <v>4</v>
      </c>
      <c r="BE232" s="89" t="str">
        <f>REPLACE(INDEX(GroupVertices[Group],MATCH(Edges[[#This Row],[Vertex 2]],GroupVertices[Vertex],0)),1,1,"")</f>
        <v>1</v>
      </c>
      <c r="BF232" s="49"/>
      <c r="BG232" s="50"/>
      <c r="BH232" s="49"/>
      <c r="BI232" s="50"/>
      <c r="BJ232" s="49"/>
      <c r="BK232" s="50"/>
      <c r="BL232" s="49"/>
      <c r="BM232" s="50"/>
      <c r="BN232" s="49"/>
    </row>
    <row r="233" spans="1:66" ht="15">
      <c r="A233" s="65" t="s">
        <v>363</v>
      </c>
      <c r="B233" s="65" t="s">
        <v>403</v>
      </c>
      <c r="C233" s="66" t="s">
        <v>4405</v>
      </c>
      <c r="D233" s="67">
        <v>1</v>
      </c>
      <c r="E233" s="68" t="s">
        <v>132</v>
      </c>
      <c r="F233" s="69">
        <v>32</v>
      </c>
      <c r="G233" s="66" t="s">
        <v>51</v>
      </c>
      <c r="H233" s="70"/>
      <c r="I233" s="71"/>
      <c r="J233" s="71"/>
      <c r="K233" s="35" t="s">
        <v>65</v>
      </c>
      <c r="L233" s="79">
        <v>233</v>
      </c>
      <c r="M233" s="79"/>
      <c r="N233" s="73"/>
      <c r="O233" s="90" t="s">
        <v>447</v>
      </c>
      <c r="P233" s="93">
        <v>44578.49309027778</v>
      </c>
      <c r="Q233" s="90" t="s">
        <v>533</v>
      </c>
      <c r="R233" s="90"/>
      <c r="S233" s="90"/>
      <c r="T233" s="97" t="s">
        <v>570</v>
      </c>
      <c r="U233" s="90"/>
      <c r="V233" s="95" t="str">
        <f>HYPERLINK("https://pbs.twimg.com/profile_images/1428046149257138179/Wc0VGgyW_normal.jpg")</f>
        <v>https://pbs.twimg.com/profile_images/1428046149257138179/Wc0VGgyW_normal.jpg</v>
      </c>
      <c r="W233" s="93">
        <v>44578.49309027778</v>
      </c>
      <c r="X233" s="102">
        <v>44578</v>
      </c>
      <c r="Y233" s="97" t="s">
        <v>754</v>
      </c>
      <c r="Z233" s="95" t="str">
        <f>HYPERLINK("https://twitter.com/_tilastonikkari/status/1483043940836286467")</f>
        <v>https://twitter.com/_tilastonikkari/status/1483043940836286467</v>
      </c>
      <c r="AA233" s="90"/>
      <c r="AB233" s="90"/>
      <c r="AC233" s="97" t="s">
        <v>995</v>
      </c>
      <c r="AD233" s="90"/>
      <c r="AE233" s="90" t="b">
        <v>0</v>
      </c>
      <c r="AF233" s="90">
        <v>0</v>
      </c>
      <c r="AG233" s="97" t="s">
        <v>1087</v>
      </c>
      <c r="AH233" s="90" t="b">
        <v>0</v>
      </c>
      <c r="AI233" s="90" t="s">
        <v>1127</v>
      </c>
      <c r="AJ233" s="90"/>
      <c r="AK233" s="97" t="s">
        <v>1087</v>
      </c>
      <c r="AL233" s="90" t="b">
        <v>0</v>
      </c>
      <c r="AM233" s="90">
        <v>31</v>
      </c>
      <c r="AN233" s="97" t="s">
        <v>1051</v>
      </c>
      <c r="AO233" s="97" t="s">
        <v>1133</v>
      </c>
      <c r="AP233" s="90" t="b">
        <v>0</v>
      </c>
      <c r="AQ233" s="97" t="s">
        <v>1051</v>
      </c>
      <c r="AR233" s="90" t="s">
        <v>178</v>
      </c>
      <c r="AS233" s="90">
        <v>0</v>
      </c>
      <c r="AT233" s="90">
        <v>0</v>
      </c>
      <c r="AU233" s="90"/>
      <c r="AV233" s="90"/>
      <c r="AW233" s="90"/>
      <c r="AX233" s="90"/>
      <c r="AY233" s="90"/>
      <c r="AZ233" s="90"/>
      <c r="BA233" s="90"/>
      <c r="BB233" s="90"/>
      <c r="BC233">
        <v>1</v>
      </c>
      <c r="BD233" s="89" t="str">
        <f>REPLACE(INDEX(GroupVertices[Group],MATCH(Edges[[#This Row],[Vertex 1]],GroupVertices[Vertex],0)),1,1,"")</f>
        <v>4</v>
      </c>
      <c r="BE233" s="89" t="str">
        <f>REPLACE(INDEX(GroupVertices[Group],MATCH(Edges[[#This Row],[Vertex 2]],GroupVertices[Vertex],0)),1,1,"")</f>
        <v>4</v>
      </c>
      <c r="BF233" s="49">
        <v>0</v>
      </c>
      <c r="BG233" s="50">
        <v>0</v>
      </c>
      <c r="BH233" s="49">
        <v>0</v>
      </c>
      <c r="BI233" s="50">
        <v>0</v>
      </c>
      <c r="BJ233" s="49">
        <v>0</v>
      </c>
      <c r="BK233" s="50">
        <v>0</v>
      </c>
      <c r="BL233" s="49">
        <v>24</v>
      </c>
      <c r="BM233" s="50">
        <v>100</v>
      </c>
      <c r="BN233" s="49">
        <v>24</v>
      </c>
    </row>
    <row r="234" spans="1:66" ht="15">
      <c r="A234" s="65" t="s">
        <v>364</v>
      </c>
      <c r="B234" s="65" t="s">
        <v>443</v>
      </c>
      <c r="C234" s="66" t="s">
        <v>4405</v>
      </c>
      <c r="D234" s="67">
        <v>1</v>
      </c>
      <c r="E234" s="68" t="s">
        <v>132</v>
      </c>
      <c r="F234" s="69">
        <v>32</v>
      </c>
      <c r="G234" s="66" t="s">
        <v>51</v>
      </c>
      <c r="H234" s="70"/>
      <c r="I234" s="71"/>
      <c r="J234" s="71"/>
      <c r="K234" s="35" t="s">
        <v>65</v>
      </c>
      <c r="L234" s="79">
        <v>234</v>
      </c>
      <c r="M234" s="79"/>
      <c r="N234" s="73"/>
      <c r="O234" s="90" t="s">
        <v>448</v>
      </c>
      <c r="P234" s="93">
        <v>44578.50708333333</v>
      </c>
      <c r="Q234" s="90" t="s">
        <v>535</v>
      </c>
      <c r="R234" s="90"/>
      <c r="S234" s="90"/>
      <c r="T234" s="90"/>
      <c r="U234" s="90"/>
      <c r="V234" s="95" t="str">
        <f>HYPERLINK("https://pbs.twimg.com/profile_images/1451420844228587520/WoxEmxO-_normal.jpg")</f>
        <v>https://pbs.twimg.com/profile_images/1451420844228587520/WoxEmxO-_normal.jpg</v>
      </c>
      <c r="W234" s="93">
        <v>44578.50708333333</v>
      </c>
      <c r="X234" s="102">
        <v>44578</v>
      </c>
      <c r="Y234" s="97" t="s">
        <v>755</v>
      </c>
      <c r="Z234" s="95" t="str">
        <f>HYPERLINK("https://twitter.com/akikivirinta/status/1483049010302791681")</f>
        <v>https://twitter.com/akikivirinta/status/1483049010302791681</v>
      </c>
      <c r="AA234" s="90"/>
      <c r="AB234" s="90"/>
      <c r="AC234" s="97" t="s">
        <v>996</v>
      </c>
      <c r="AD234" s="97" t="s">
        <v>1082</v>
      </c>
      <c r="AE234" s="90" t="b">
        <v>0</v>
      </c>
      <c r="AF234" s="90">
        <v>2</v>
      </c>
      <c r="AG234" s="97" t="s">
        <v>1123</v>
      </c>
      <c r="AH234" s="90" t="b">
        <v>0</v>
      </c>
      <c r="AI234" s="90" t="s">
        <v>1127</v>
      </c>
      <c r="AJ234" s="90"/>
      <c r="AK234" s="97" t="s">
        <v>1087</v>
      </c>
      <c r="AL234" s="90" t="b">
        <v>0</v>
      </c>
      <c r="AM234" s="90">
        <v>0</v>
      </c>
      <c r="AN234" s="97" t="s">
        <v>1087</v>
      </c>
      <c r="AO234" s="97" t="s">
        <v>1132</v>
      </c>
      <c r="AP234" s="90" t="b">
        <v>0</v>
      </c>
      <c r="AQ234" s="97" t="s">
        <v>1082</v>
      </c>
      <c r="AR234" s="90" t="s">
        <v>178</v>
      </c>
      <c r="AS234" s="90">
        <v>0</v>
      </c>
      <c r="AT234" s="90">
        <v>0</v>
      </c>
      <c r="AU234" s="90"/>
      <c r="AV234" s="90"/>
      <c r="AW234" s="90"/>
      <c r="AX234" s="90"/>
      <c r="AY234" s="90"/>
      <c r="AZ234" s="90"/>
      <c r="BA234" s="90"/>
      <c r="BB234" s="90"/>
      <c r="BC234">
        <v>1</v>
      </c>
      <c r="BD234" s="89" t="str">
        <f>REPLACE(INDEX(GroupVertices[Group],MATCH(Edges[[#This Row],[Vertex 1]],GroupVertices[Vertex],0)),1,1,"")</f>
        <v>10</v>
      </c>
      <c r="BE234" s="89" t="str">
        <f>REPLACE(INDEX(GroupVertices[Group],MATCH(Edges[[#This Row],[Vertex 2]],GroupVertices[Vertex],0)),1,1,"")</f>
        <v>10</v>
      </c>
      <c r="BF234" s="49">
        <v>0</v>
      </c>
      <c r="BG234" s="50">
        <v>0</v>
      </c>
      <c r="BH234" s="49">
        <v>0</v>
      </c>
      <c r="BI234" s="50">
        <v>0</v>
      </c>
      <c r="BJ234" s="49">
        <v>0</v>
      </c>
      <c r="BK234" s="50">
        <v>0</v>
      </c>
      <c r="BL234" s="49">
        <v>32</v>
      </c>
      <c r="BM234" s="50">
        <v>100</v>
      </c>
      <c r="BN234" s="49">
        <v>32</v>
      </c>
    </row>
    <row r="235" spans="1:66" ht="15">
      <c r="A235" s="65" t="s">
        <v>365</v>
      </c>
      <c r="B235" s="65" t="s">
        <v>403</v>
      </c>
      <c r="C235" s="66" t="s">
        <v>4405</v>
      </c>
      <c r="D235" s="67">
        <v>1</v>
      </c>
      <c r="E235" s="68" t="s">
        <v>132</v>
      </c>
      <c r="F235" s="69">
        <v>32</v>
      </c>
      <c r="G235" s="66" t="s">
        <v>51</v>
      </c>
      <c r="H235" s="70"/>
      <c r="I235" s="71"/>
      <c r="J235" s="71"/>
      <c r="K235" s="35" t="s">
        <v>65</v>
      </c>
      <c r="L235" s="79">
        <v>235</v>
      </c>
      <c r="M235" s="79"/>
      <c r="N235" s="73"/>
      <c r="O235" s="90" t="s">
        <v>447</v>
      </c>
      <c r="P235" s="93">
        <v>44578.529490740744</v>
      </c>
      <c r="Q235" s="90" t="s">
        <v>533</v>
      </c>
      <c r="R235" s="90"/>
      <c r="S235" s="90"/>
      <c r="T235" s="97" t="s">
        <v>570</v>
      </c>
      <c r="U235" s="90"/>
      <c r="V235" s="95" t="str">
        <f>HYPERLINK("https://pbs.twimg.com/profile_images/1429552399799160839/eLqdu9Ro_normal.jpg")</f>
        <v>https://pbs.twimg.com/profile_images/1429552399799160839/eLqdu9Ro_normal.jpg</v>
      </c>
      <c r="W235" s="93">
        <v>44578.529490740744</v>
      </c>
      <c r="X235" s="102">
        <v>44578</v>
      </c>
      <c r="Y235" s="97" t="s">
        <v>756</v>
      </c>
      <c r="Z235" s="95" t="str">
        <f>HYPERLINK("https://twitter.com/armokivi/status/1483057131138039815")</f>
        <v>https://twitter.com/armokivi/status/1483057131138039815</v>
      </c>
      <c r="AA235" s="90"/>
      <c r="AB235" s="90"/>
      <c r="AC235" s="97" t="s">
        <v>997</v>
      </c>
      <c r="AD235" s="90"/>
      <c r="AE235" s="90" t="b">
        <v>0</v>
      </c>
      <c r="AF235" s="90">
        <v>0</v>
      </c>
      <c r="AG235" s="97" t="s">
        <v>1087</v>
      </c>
      <c r="AH235" s="90" t="b">
        <v>0</v>
      </c>
      <c r="AI235" s="90" t="s">
        <v>1127</v>
      </c>
      <c r="AJ235" s="90"/>
      <c r="AK235" s="97" t="s">
        <v>1087</v>
      </c>
      <c r="AL235" s="90" t="b">
        <v>0</v>
      </c>
      <c r="AM235" s="90">
        <v>31</v>
      </c>
      <c r="AN235" s="97" t="s">
        <v>1051</v>
      </c>
      <c r="AO235" s="97" t="s">
        <v>1133</v>
      </c>
      <c r="AP235" s="90" t="b">
        <v>0</v>
      </c>
      <c r="AQ235" s="97" t="s">
        <v>1051</v>
      </c>
      <c r="AR235" s="90" t="s">
        <v>178</v>
      </c>
      <c r="AS235" s="90">
        <v>0</v>
      </c>
      <c r="AT235" s="90">
        <v>0</v>
      </c>
      <c r="AU235" s="90"/>
      <c r="AV235" s="90"/>
      <c r="AW235" s="90"/>
      <c r="AX235" s="90"/>
      <c r="AY235" s="90"/>
      <c r="AZ235" s="90"/>
      <c r="BA235" s="90"/>
      <c r="BB235" s="90"/>
      <c r="BC235">
        <v>1</v>
      </c>
      <c r="BD235" s="89" t="str">
        <f>REPLACE(INDEX(GroupVertices[Group],MATCH(Edges[[#This Row],[Vertex 1]],GroupVertices[Vertex],0)),1,1,"")</f>
        <v>4</v>
      </c>
      <c r="BE235" s="89" t="str">
        <f>REPLACE(INDEX(GroupVertices[Group],MATCH(Edges[[#This Row],[Vertex 2]],GroupVertices[Vertex],0)),1,1,"")</f>
        <v>4</v>
      </c>
      <c r="BF235" s="49">
        <v>0</v>
      </c>
      <c r="BG235" s="50">
        <v>0</v>
      </c>
      <c r="BH235" s="49">
        <v>0</v>
      </c>
      <c r="BI235" s="50">
        <v>0</v>
      </c>
      <c r="BJ235" s="49">
        <v>0</v>
      </c>
      <c r="BK235" s="50">
        <v>0</v>
      </c>
      <c r="BL235" s="49">
        <v>24</v>
      </c>
      <c r="BM235" s="50">
        <v>100</v>
      </c>
      <c r="BN235" s="49">
        <v>24</v>
      </c>
    </row>
    <row r="236" spans="1:66" ht="15">
      <c r="A236" s="65" t="s">
        <v>366</v>
      </c>
      <c r="B236" s="65" t="s">
        <v>384</v>
      </c>
      <c r="C236" s="66" t="s">
        <v>4405</v>
      </c>
      <c r="D236" s="67">
        <v>1</v>
      </c>
      <c r="E236" s="68" t="s">
        <v>132</v>
      </c>
      <c r="F236" s="69">
        <v>32</v>
      </c>
      <c r="G236" s="66" t="s">
        <v>51</v>
      </c>
      <c r="H236" s="70"/>
      <c r="I236" s="71"/>
      <c r="J236" s="71"/>
      <c r="K236" s="35" t="s">
        <v>65</v>
      </c>
      <c r="L236" s="79">
        <v>236</v>
      </c>
      <c r="M236" s="79"/>
      <c r="N236" s="73"/>
      <c r="O236" s="90" t="s">
        <v>447</v>
      </c>
      <c r="P236" s="93">
        <v>44576.729791666665</v>
      </c>
      <c r="Q236" s="90" t="s">
        <v>452</v>
      </c>
      <c r="R236" s="90"/>
      <c r="S236" s="90"/>
      <c r="T236" s="90"/>
      <c r="U236" s="95" t="str">
        <f>HYPERLINK("https://pbs.twimg.com/media/FJEZSt6WYAQW_i_.jpg")</f>
        <v>https://pbs.twimg.com/media/FJEZSt6WYAQW_i_.jpg</v>
      </c>
      <c r="V236" s="95" t="str">
        <f>HYPERLINK("https://pbs.twimg.com/media/FJEZSt6WYAQW_i_.jpg")</f>
        <v>https://pbs.twimg.com/media/FJEZSt6WYAQW_i_.jpg</v>
      </c>
      <c r="W236" s="93">
        <v>44576.729791666665</v>
      </c>
      <c r="X236" s="102">
        <v>44576</v>
      </c>
      <c r="Y236" s="97" t="s">
        <v>757</v>
      </c>
      <c r="Z236" s="95" t="str">
        <f>HYPERLINK("https://twitter.com/paulie880/status/1482404940047962120")</f>
        <v>https://twitter.com/paulie880/status/1482404940047962120</v>
      </c>
      <c r="AA236" s="90"/>
      <c r="AB236" s="90"/>
      <c r="AC236" s="97" t="s">
        <v>998</v>
      </c>
      <c r="AD236" s="90"/>
      <c r="AE236" s="90" t="b">
        <v>0</v>
      </c>
      <c r="AF236" s="90">
        <v>0</v>
      </c>
      <c r="AG236" s="97" t="s">
        <v>1087</v>
      </c>
      <c r="AH236" s="90" t="b">
        <v>0</v>
      </c>
      <c r="AI236" s="90" t="s">
        <v>1127</v>
      </c>
      <c r="AJ236" s="90"/>
      <c r="AK236" s="97" t="s">
        <v>1087</v>
      </c>
      <c r="AL236" s="90" t="b">
        <v>0</v>
      </c>
      <c r="AM236" s="90">
        <v>33</v>
      </c>
      <c r="AN236" s="97" t="s">
        <v>1022</v>
      </c>
      <c r="AO236" s="97" t="s">
        <v>1132</v>
      </c>
      <c r="AP236" s="90" t="b">
        <v>0</v>
      </c>
      <c r="AQ236" s="97" t="s">
        <v>1022</v>
      </c>
      <c r="AR236" s="90" t="s">
        <v>178</v>
      </c>
      <c r="AS236" s="90">
        <v>0</v>
      </c>
      <c r="AT236" s="90">
        <v>0</v>
      </c>
      <c r="AU236" s="90"/>
      <c r="AV236" s="90"/>
      <c r="AW236" s="90"/>
      <c r="AX236" s="90"/>
      <c r="AY236" s="90"/>
      <c r="AZ236" s="90"/>
      <c r="BA236" s="90"/>
      <c r="BB236" s="90"/>
      <c r="BC236">
        <v>1</v>
      </c>
      <c r="BD236" s="89" t="str">
        <f>REPLACE(INDEX(GroupVertices[Group],MATCH(Edges[[#This Row],[Vertex 1]],GroupVertices[Vertex],0)),1,1,"")</f>
        <v>4</v>
      </c>
      <c r="BE236" s="89" t="str">
        <f>REPLACE(INDEX(GroupVertices[Group],MATCH(Edges[[#This Row],[Vertex 2]],GroupVertices[Vertex],0)),1,1,"")</f>
        <v>2</v>
      </c>
      <c r="BF236" s="49">
        <v>0</v>
      </c>
      <c r="BG236" s="50">
        <v>0</v>
      </c>
      <c r="BH236" s="49">
        <v>0</v>
      </c>
      <c r="BI236" s="50">
        <v>0</v>
      </c>
      <c r="BJ236" s="49">
        <v>0</v>
      </c>
      <c r="BK236" s="50">
        <v>0</v>
      </c>
      <c r="BL236" s="49">
        <v>24</v>
      </c>
      <c r="BM236" s="50">
        <v>100</v>
      </c>
      <c r="BN236" s="49">
        <v>24</v>
      </c>
    </row>
    <row r="237" spans="1:66" ht="15">
      <c r="A237" s="65" t="s">
        <v>366</v>
      </c>
      <c r="B237" s="65" t="s">
        <v>341</v>
      </c>
      <c r="C237" s="66" t="s">
        <v>4405</v>
      </c>
      <c r="D237" s="67">
        <v>1</v>
      </c>
      <c r="E237" s="68" t="s">
        <v>132</v>
      </c>
      <c r="F237" s="69">
        <v>32</v>
      </c>
      <c r="G237" s="66" t="s">
        <v>51</v>
      </c>
      <c r="H237" s="70"/>
      <c r="I237" s="71"/>
      <c r="J237" s="71"/>
      <c r="K237" s="35" t="s">
        <v>65</v>
      </c>
      <c r="L237" s="79">
        <v>237</v>
      </c>
      <c r="M237" s="79"/>
      <c r="N237" s="73"/>
      <c r="O237" s="90" t="s">
        <v>447</v>
      </c>
      <c r="P237" s="93">
        <v>44577.730891203704</v>
      </c>
      <c r="Q237" s="90" t="s">
        <v>520</v>
      </c>
      <c r="R237" s="90"/>
      <c r="S237" s="90"/>
      <c r="T237" s="90"/>
      <c r="U237" s="90"/>
      <c r="V237" s="95" t="str">
        <f>HYPERLINK("https://pbs.twimg.com/profile_images/1449458188156379138/HPAk-gpN_normal.jpg")</f>
        <v>https://pbs.twimg.com/profile_images/1449458188156379138/HPAk-gpN_normal.jpg</v>
      </c>
      <c r="W237" s="93">
        <v>44577.730891203704</v>
      </c>
      <c r="X237" s="102">
        <v>44577</v>
      </c>
      <c r="Y237" s="97" t="s">
        <v>758</v>
      </c>
      <c r="Z237" s="95" t="str">
        <f>HYPERLINK("https://twitter.com/paulie880/status/1482767727232225281")</f>
        <v>https://twitter.com/paulie880/status/1482767727232225281</v>
      </c>
      <c r="AA237" s="90"/>
      <c r="AB237" s="90"/>
      <c r="AC237" s="97" t="s">
        <v>999</v>
      </c>
      <c r="AD237" s="90"/>
      <c r="AE237" s="90" t="b">
        <v>0</v>
      </c>
      <c r="AF237" s="90">
        <v>0</v>
      </c>
      <c r="AG237" s="97" t="s">
        <v>1087</v>
      </c>
      <c r="AH237" s="90" t="b">
        <v>0</v>
      </c>
      <c r="AI237" s="90" t="s">
        <v>1127</v>
      </c>
      <c r="AJ237" s="90"/>
      <c r="AK237" s="97" t="s">
        <v>1087</v>
      </c>
      <c r="AL237" s="90" t="b">
        <v>0</v>
      </c>
      <c r="AM237" s="90">
        <v>24</v>
      </c>
      <c r="AN237" s="97" t="s">
        <v>1041</v>
      </c>
      <c r="AO237" s="97" t="s">
        <v>1134</v>
      </c>
      <c r="AP237" s="90" t="b">
        <v>0</v>
      </c>
      <c r="AQ237" s="97" t="s">
        <v>1041</v>
      </c>
      <c r="AR237" s="90" t="s">
        <v>178</v>
      </c>
      <c r="AS237" s="90">
        <v>0</v>
      </c>
      <c r="AT237" s="90">
        <v>0</v>
      </c>
      <c r="AU237" s="90"/>
      <c r="AV237" s="90"/>
      <c r="AW237" s="90"/>
      <c r="AX237" s="90"/>
      <c r="AY237" s="90"/>
      <c r="AZ237" s="90"/>
      <c r="BA237" s="90"/>
      <c r="BB237" s="90"/>
      <c r="BC237">
        <v>1</v>
      </c>
      <c r="BD237" s="89" t="str">
        <f>REPLACE(INDEX(GroupVertices[Group],MATCH(Edges[[#This Row],[Vertex 1]],GroupVertices[Vertex],0)),1,1,"")</f>
        <v>4</v>
      </c>
      <c r="BE237" s="89"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5" t="s">
        <v>366</v>
      </c>
      <c r="B238" s="65" t="s">
        <v>403</v>
      </c>
      <c r="C238" s="66" t="s">
        <v>4405</v>
      </c>
      <c r="D238" s="67">
        <v>1</v>
      </c>
      <c r="E238" s="68" t="s">
        <v>132</v>
      </c>
      <c r="F238" s="69">
        <v>32</v>
      </c>
      <c r="G238" s="66" t="s">
        <v>51</v>
      </c>
      <c r="H238" s="70"/>
      <c r="I238" s="71"/>
      <c r="J238" s="71"/>
      <c r="K238" s="35" t="s">
        <v>65</v>
      </c>
      <c r="L238" s="79">
        <v>238</v>
      </c>
      <c r="M238" s="79"/>
      <c r="N238" s="73"/>
      <c r="O238" s="90" t="s">
        <v>447</v>
      </c>
      <c r="P238" s="93">
        <v>44578.53523148148</v>
      </c>
      <c r="Q238" s="90" t="s">
        <v>533</v>
      </c>
      <c r="R238" s="90"/>
      <c r="S238" s="90"/>
      <c r="T238" s="97" t="s">
        <v>570</v>
      </c>
      <c r="U238" s="90"/>
      <c r="V238" s="95" t="str">
        <f>HYPERLINK("https://pbs.twimg.com/profile_images/1449458188156379138/HPAk-gpN_normal.jpg")</f>
        <v>https://pbs.twimg.com/profile_images/1449458188156379138/HPAk-gpN_normal.jpg</v>
      </c>
      <c r="W238" s="93">
        <v>44578.53523148148</v>
      </c>
      <c r="X238" s="102">
        <v>44578</v>
      </c>
      <c r="Y238" s="97" t="s">
        <v>759</v>
      </c>
      <c r="Z238" s="95" t="str">
        <f>HYPERLINK("https://twitter.com/paulie880/status/1483059211831554059")</f>
        <v>https://twitter.com/paulie880/status/1483059211831554059</v>
      </c>
      <c r="AA238" s="90"/>
      <c r="AB238" s="90"/>
      <c r="AC238" s="97" t="s">
        <v>1000</v>
      </c>
      <c r="AD238" s="90"/>
      <c r="AE238" s="90" t="b">
        <v>0</v>
      </c>
      <c r="AF238" s="90">
        <v>0</v>
      </c>
      <c r="AG238" s="97" t="s">
        <v>1087</v>
      </c>
      <c r="AH238" s="90" t="b">
        <v>0</v>
      </c>
      <c r="AI238" s="90" t="s">
        <v>1127</v>
      </c>
      <c r="AJ238" s="90"/>
      <c r="AK238" s="97" t="s">
        <v>1087</v>
      </c>
      <c r="AL238" s="90" t="b">
        <v>0</v>
      </c>
      <c r="AM238" s="90">
        <v>31</v>
      </c>
      <c r="AN238" s="97" t="s">
        <v>1051</v>
      </c>
      <c r="AO238" s="97" t="s">
        <v>1134</v>
      </c>
      <c r="AP238" s="90" t="b">
        <v>0</v>
      </c>
      <c r="AQ238" s="97" t="s">
        <v>1051</v>
      </c>
      <c r="AR238" s="90" t="s">
        <v>178</v>
      </c>
      <c r="AS238" s="90">
        <v>0</v>
      </c>
      <c r="AT238" s="90">
        <v>0</v>
      </c>
      <c r="AU238" s="90"/>
      <c r="AV238" s="90"/>
      <c r="AW238" s="90"/>
      <c r="AX238" s="90"/>
      <c r="AY238" s="90"/>
      <c r="AZ238" s="90"/>
      <c r="BA238" s="90"/>
      <c r="BB238" s="90"/>
      <c r="BC238">
        <v>1</v>
      </c>
      <c r="BD238" s="89" t="str">
        <f>REPLACE(INDEX(GroupVertices[Group],MATCH(Edges[[#This Row],[Vertex 1]],GroupVertices[Vertex],0)),1,1,"")</f>
        <v>4</v>
      </c>
      <c r="BE238" s="89" t="str">
        <f>REPLACE(INDEX(GroupVertices[Group],MATCH(Edges[[#This Row],[Vertex 2]],GroupVertices[Vertex],0)),1,1,"")</f>
        <v>4</v>
      </c>
      <c r="BF238" s="49">
        <v>0</v>
      </c>
      <c r="BG238" s="50">
        <v>0</v>
      </c>
      <c r="BH238" s="49">
        <v>0</v>
      </c>
      <c r="BI238" s="50">
        <v>0</v>
      </c>
      <c r="BJ238" s="49">
        <v>0</v>
      </c>
      <c r="BK238" s="50">
        <v>0</v>
      </c>
      <c r="BL238" s="49">
        <v>24</v>
      </c>
      <c r="BM238" s="50">
        <v>100</v>
      </c>
      <c r="BN238" s="49">
        <v>24</v>
      </c>
    </row>
    <row r="239" spans="1:66" ht="15">
      <c r="A239" s="65" t="s">
        <v>367</v>
      </c>
      <c r="B239" s="65" t="s">
        <v>403</v>
      </c>
      <c r="C239" s="66" t="s">
        <v>4405</v>
      </c>
      <c r="D239" s="67">
        <v>1</v>
      </c>
      <c r="E239" s="68" t="s">
        <v>132</v>
      </c>
      <c r="F239" s="69">
        <v>32</v>
      </c>
      <c r="G239" s="66" t="s">
        <v>51</v>
      </c>
      <c r="H239" s="70"/>
      <c r="I239" s="71"/>
      <c r="J239" s="71"/>
      <c r="K239" s="35" t="s">
        <v>65</v>
      </c>
      <c r="L239" s="79">
        <v>239</v>
      </c>
      <c r="M239" s="79"/>
      <c r="N239" s="73"/>
      <c r="O239" s="90" t="s">
        <v>447</v>
      </c>
      <c r="P239" s="93">
        <v>44578.536875</v>
      </c>
      <c r="Q239" s="90" t="s">
        <v>533</v>
      </c>
      <c r="R239" s="90"/>
      <c r="S239" s="90"/>
      <c r="T239" s="97" t="s">
        <v>570</v>
      </c>
      <c r="U239" s="90"/>
      <c r="V239" s="95" t="str">
        <f>HYPERLINK("https://pbs.twimg.com/profile_images/1441546332267692041/6-yZd1-e_normal.jpg")</f>
        <v>https://pbs.twimg.com/profile_images/1441546332267692041/6-yZd1-e_normal.jpg</v>
      </c>
      <c r="W239" s="93">
        <v>44578.536875</v>
      </c>
      <c r="X239" s="102">
        <v>44578</v>
      </c>
      <c r="Y239" s="97" t="s">
        <v>760</v>
      </c>
      <c r="Z239" s="95" t="str">
        <f>HYPERLINK("https://twitter.com/safirella2/status/1483059806042787840")</f>
        <v>https://twitter.com/safirella2/status/1483059806042787840</v>
      </c>
      <c r="AA239" s="90"/>
      <c r="AB239" s="90"/>
      <c r="AC239" s="97" t="s">
        <v>1001</v>
      </c>
      <c r="AD239" s="90"/>
      <c r="AE239" s="90" t="b">
        <v>0</v>
      </c>
      <c r="AF239" s="90">
        <v>0</v>
      </c>
      <c r="AG239" s="97" t="s">
        <v>1087</v>
      </c>
      <c r="AH239" s="90" t="b">
        <v>0</v>
      </c>
      <c r="AI239" s="90" t="s">
        <v>1127</v>
      </c>
      <c r="AJ239" s="90"/>
      <c r="AK239" s="97" t="s">
        <v>1087</v>
      </c>
      <c r="AL239" s="90" t="b">
        <v>0</v>
      </c>
      <c r="AM239" s="90">
        <v>31</v>
      </c>
      <c r="AN239" s="97" t="s">
        <v>1051</v>
      </c>
      <c r="AO239" s="97" t="s">
        <v>1132</v>
      </c>
      <c r="AP239" s="90" t="b">
        <v>0</v>
      </c>
      <c r="AQ239" s="97" t="s">
        <v>1051</v>
      </c>
      <c r="AR239" s="90" t="s">
        <v>178</v>
      </c>
      <c r="AS239" s="90">
        <v>0</v>
      </c>
      <c r="AT239" s="90">
        <v>0</v>
      </c>
      <c r="AU239" s="90"/>
      <c r="AV239" s="90"/>
      <c r="AW239" s="90"/>
      <c r="AX239" s="90"/>
      <c r="AY239" s="90"/>
      <c r="AZ239" s="90"/>
      <c r="BA239" s="90"/>
      <c r="BB239" s="90"/>
      <c r="BC239">
        <v>1</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24</v>
      </c>
      <c r="BM239" s="50">
        <v>100</v>
      </c>
      <c r="BN239" s="49">
        <v>24</v>
      </c>
    </row>
    <row r="240" spans="1:66" ht="15">
      <c r="A240" s="65" t="s">
        <v>368</v>
      </c>
      <c r="B240" s="65" t="s">
        <v>403</v>
      </c>
      <c r="C240" s="66" t="s">
        <v>4405</v>
      </c>
      <c r="D240" s="67">
        <v>1</v>
      </c>
      <c r="E240" s="68" t="s">
        <v>132</v>
      </c>
      <c r="F240" s="69">
        <v>32</v>
      </c>
      <c r="G240" s="66" t="s">
        <v>51</v>
      </c>
      <c r="H240" s="70"/>
      <c r="I240" s="71"/>
      <c r="J240" s="71"/>
      <c r="K240" s="35" t="s">
        <v>65</v>
      </c>
      <c r="L240" s="79">
        <v>240</v>
      </c>
      <c r="M240" s="79"/>
      <c r="N240" s="73"/>
      <c r="O240" s="90" t="s">
        <v>447</v>
      </c>
      <c r="P240" s="93">
        <v>44578.53701388889</v>
      </c>
      <c r="Q240" s="90" t="s">
        <v>533</v>
      </c>
      <c r="R240" s="90"/>
      <c r="S240" s="90"/>
      <c r="T240" s="97" t="s">
        <v>570</v>
      </c>
      <c r="U240" s="90"/>
      <c r="V240" s="95" t="str">
        <f>HYPERLINK("https://abs.twimg.com/sticky/default_profile_images/default_profile_normal.png")</f>
        <v>https://abs.twimg.com/sticky/default_profile_images/default_profile_normal.png</v>
      </c>
      <c r="W240" s="93">
        <v>44578.53701388889</v>
      </c>
      <c r="X240" s="102">
        <v>44578</v>
      </c>
      <c r="Y240" s="97" t="s">
        <v>761</v>
      </c>
      <c r="Z240" s="95" t="str">
        <f>HYPERLINK("https://twitter.com/markus_pitkanen/status/1483059855472660481")</f>
        <v>https://twitter.com/markus_pitkanen/status/1483059855472660481</v>
      </c>
      <c r="AA240" s="90"/>
      <c r="AB240" s="90"/>
      <c r="AC240" s="97" t="s">
        <v>1002</v>
      </c>
      <c r="AD240" s="90"/>
      <c r="AE240" s="90" t="b">
        <v>0</v>
      </c>
      <c r="AF240" s="90">
        <v>0</v>
      </c>
      <c r="AG240" s="97" t="s">
        <v>1087</v>
      </c>
      <c r="AH240" s="90" t="b">
        <v>0</v>
      </c>
      <c r="AI240" s="90" t="s">
        <v>1127</v>
      </c>
      <c r="AJ240" s="90"/>
      <c r="AK240" s="97" t="s">
        <v>1087</v>
      </c>
      <c r="AL240" s="90" t="b">
        <v>0</v>
      </c>
      <c r="AM240" s="90">
        <v>31</v>
      </c>
      <c r="AN240" s="97" t="s">
        <v>1051</v>
      </c>
      <c r="AO240" s="97" t="s">
        <v>1132</v>
      </c>
      <c r="AP240" s="90" t="b">
        <v>0</v>
      </c>
      <c r="AQ240" s="97" t="s">
        <v>1051</v>
      </c>
      <c r="AR240" s="90" t="s">
        <v>178</v>
      </c>
      <c r="AS240" s="90">
        <v>0</v>
      </c>
      <c r="AT240" s="90">
        <v>0</v>
      </c>
      <c r="AU240" s="90"/>
      <c r="AV240" s="90"/>
      <c r="AW240" s="90"/>
      <c r="AX240" s="90"/>
      <c r="AY240" s="90"/>
      <c r="AZ240" s="90"/>
      <c r="BA240" s="90"/>
      <c r="BB240" s="90"/>
      <c r="BC240">
        <v>1</v>
      </c>
      <c r="BD240" s="89" t="str">
        <f>REPLACE(INDEX(GroupVertices[Group],MATCH(Edges[[#This Row],[Vertex 1]],GroupVertices[Vertex],0)),1,1,"")</f>
        <v>4</v>
      </c>
      <c r="BE240" s="89" t="str">
        <f>REPLACE(INDEX(GroupVertices[Group],MATCH(Edges[[#This Row],[Vertex 2]],GroupVertices[Vertex],0)),1,1,"")</f>
        <v>4</v>
      </c>
      <c r="BF240" s="49">
        <v>0</v>
      </c>
      <c r="BG240" s="50">
        <v>0</v>
      </c>
      <c r="BH240" s="49">
        <v>0</v>
      </c>
      <c r="BI240" s="50">
        <v>0</v>
      </c>
      <c r="BJ240" s="49">
        <v>0</v>
      </c>
      <c r="BK240" s="50">
        <v>0</v>
      </c>
      <c r="BL240" s="49">
        <v>24</v>
      </c>
      <c r="BM240" s="50">
        <v>100</v>
      </c>
      <c r="BN240" s="49">
        <v>24</v>
      </c>
    </row>
    <row r="241" spans="1:66" ht="15">
      <c r="A241" s="65" t="s">
        <v>369</v>
      </c>
      <c r="B241" s="65" t="s">
        <v>369</v>
      </c>
      <c r="C241" s="66" t="s">
        <v>4405</v>
      </c>
      <c r="D241" s="67">
        <v>1</v>
      </c>
      <c r="E241" s="68" t="s">
        <v>132</v>
      </c>
      <c r="F241" s="69">
        <v>32</v>
      </c>
      <c r="G241" s="66" t="s">
        <v>51</v>
      </c>
      <c r="H241" s="70"/>
      <c r="I241" s="71"/>
      <c r="J241" s="71"/>
      <c r="K241" s="35" t="s">
        <v>65</v>
      </c>
      <c r="L241" s="79">
        <v>241</v>
      </c>
      <c r="M241" s="79"/>
      <c r="N241" s="73"/>
      <c r="O241" s="90" t="s">
        <v>178</v>
      </c>
      <c r="P241" s="93">
        <v>44577.40594907408</v>
      </c>
      <c r="Q241" s="90" t="s">
        <v>507</v>
      </c>
      <c r="R241" s="90"/>
      <c r="S241" s="90"/>
      <c r="T241" s="97" t="s">
        <v>567</v>
      </c>
      <c r="U241" s="95" t="str">
        <f>HYPERLINK("https://pbs.twimg.com/ext_tw_video_thumb/1482649931642978305/pu/img/IYlrKLZYkXtcAB4D.jpg")</f>
        <v>https://pbs.twimg.com/ext_tw_video_thumb/1482649931642978305/pu/img/IYlrKLZYkXtcAB4D.jpg</v>
      </c>
      <c r="V241" s="95" t="str">
        <f>HYPERLINK("https://pbs.twimg.com/ext_tw_video_thumb/1482649931642978305/pu/img/IYlrKLZYkXtcAB4D.jpg")</f>
        <v>https://pbs.twimg.com/ext_tw_video_thumb/1482649931642978305/pu/img/IYlrKLZYkXtcAB4D.jpg</v>
      </c>
      <c r="W241" s="93">
        <v>44577.40594907408</v>
      </c>
      <c r="X241" s="102">
        <v>44577</v>
      </c>
      <c r="Y241" s="97" t="s">
        <v>762</v>
      </c>
      <c r="Z241" s="95" t="str">
        <f>HYPERLINK("https://twitter.com/any__woman/status/1482649972147433473")</f>
        <v>https://twitter.com/any__woman/status/1482649972147433473</v>
      </c>
      <c r="AA241" s="90"/>
      <c r="AB241" s="90"/>
      <c r="AC241" s="97" t="s">
        <v>1003</v>
      </c>
      <c r="AD241" s="90"/>
      <c r="AE241" s="90" t="b">
        <v>0</v>
      </c>
      <c r="AF241" s="90">
        <v>9</v>
      </c>
      <c r="AG241" s="97" t="s">
        <v>1087</v>
      </c>
      <c r="AH241" s="90" t="b">
        <v>0</v>
      </c>
      <c r="AI241" s="90" t="s">
        <v>1127</v>
      </c>
      <c r="AJ241" s="90"/>
      <c r="AK241" s="97" t="s">
        <v>1087</v>
      </c>
      <c r="AL241" s="90" t="b">
        <v>0</v>
      </c>
      <c r="AM241" s="90">
        <v>2</v>
      </c>
      <c r="AN241" s="97" t="s">
        <v>1087</v>
      </c>
      <c r="AO241" s="97" t="s">
        <v>1133</v>
      </c>
      <c r="AP241" s="90" t="b">
        <v>0</v>
      </c>
      <c r="AQ241" s="97" t="s">
        <v>1003</v>
      </c>
      <c r="AR241" s="90" t="s">
        <v>178</v>
      </c>
      <c r="AS241" s="90">
        <v>0</v>
      </c>
      <c r="AT241" s="90">
        <v>0</v>
      </c>
      <c r="AU241" s="90"/>
      <c r="AV241" s="90"/>
      <c r="AW241" s="90"/>
      <c r="AX241" s="90"/>
      <c r="AY241" s="90"/>
      <c r="AZ241" s="90"/>
      <c r="BA241" s="90"/>
      <c r="BB241" s="90"/>
      <c r="BC241">
        <v>1</v>
      </c>
      <c r="BD241" s="89" t="str">
        <f>REPLACE(INDEX(GroupVertices[Group],MATCH(Edges[[#This Row],[Vertex 1]],GroupVertices[Vertex],0)),1,1,"")</f>
        <v>4</v>
      </c>
      <c r="BE241" s="89" t="str">
        <f>REPLACE(INDEX(GroupVertices[Group],MATCH(Edges[[#This Row],[Vertex 2]],GroupVertices[Vertex],0)),1,1,"")</f>
        <v>4</v>
      </c>
      <c r="BF241" s="49">
        <v>0</v>
      </c>
      <c r="BG241" s="50">
        <v>0</v>
      </c>
      <c r="BH241" s="49">
        <v>0</v>
      </c>
      <c r="BI241" s="50">
        <v>0</v>
      </c>
      <c r="BJ241" s="49">
        <v>0</v>
      </c>
      <c r="BK241" s="50">
        <v>0</v>
      </c>
      <c r="BL241" s="49">
        <v>12</v>
      </c>
      <c r="BM241" s="50">
        <v>100</v>
      </c>
      <c r="BN241" s="49">
        <v>12</v>
      </c>
    </row>
    <row r="242" spans="1:66" ht="15">
      <c r="A242" s="65" t="s">
        <v>369</v>
      </c>
      <c r="B242" s="65" t="s">
        <v>403</v>
      </c>
      <c r="C242" s="66" t="s">
        <v>4405</v>
      </c>
      <c r="D242" s="67">
        <v>1</v>
      </c>
      <c r="E242" s="68" t="s">
        <v>132</v>
      </c>
      <c r="F242" s="69">
        <v>32</v>
      </c>
      <c r="G242" s="66" t="s">
        <v>51</v>
      </c>
      <c r="H242" s="70"/>
      <c r="I242" s="71"/>
      <c r="J242" s="71"/>
      <c r="K242" s="35" t="s">
        <v>65</v>
      </c>
      <c r="L242" s="79">
        <v>242</v>
      </c>
      <c r="M242" s="79"/>
      <c r="N242" s="73"/>
      <c r="O242" s="90" t="s">
        <v>447</v>
      </c>
      <c r="P242" s="93">
        <v>44578.53886574074</v>
      </c>
      <c r="Q242" s="90" t="s">
        <v>533</v>
      </c>
      <c r="R242" s="90"/>
      <c r="S242" s="90"/>
      <c r="T242" s="97" t="s">
        <v>570</v>
      </c>
      <c r="U242" s="90"/>
      <c r="V242" s="95" t="str">
        <f>HYPERLINK("https://pbs.twimg.com/profile_images/1477672530743803904/rGFJ7zfZ_normal.jpg")</f>
        <v>https://pbs.twimg.com/profile_images/1477672530743803904/rGFJ7zfZ_normal.jpg</v>
      </c>
      <c r="W242" s="93">
        <v>44578.53886574074</v>
      </c>
      <c r="X242" s="102">
        <v>44578</v>
      </c>
      <c r="Y242" s="97" t="s">
        <v>763</v>
      </c>
      <c r="Z242" s="95" t="str">
        <f>HYPERLINK("https://twitter.com/any__woman/status/1483060529174351881")</f>
        <v>https://twitter.com/any__woman/status/1483060529174351881</v>
      </c>
      <c r="AA242" s="90"/>
      <c r="AB242" s="90"/>
      <c r="AC242" s="97" t="s">
        <v>1004</v>
      </c>
      <c r="AD242" s="90"/>
      <c r="AE242" s="90" t="b">
        <v>0</v>
      </c>
      <c r="AF242" s="90">
        <v>0</v>
      </c>
      <c r="AG242" s="97" t="s">
        <v>1087</v>
      </c>
      <c r="AH242" s="90" t="b">
        <v>0</v>
      </c>
      <c r="AI242" s="90" t="s">
        <v>1127</v>
      </c>
      <c r="AJ242" s="90"/>
      <c r="AK242" s="97" t="s">
        <v>1087</v>
      </c>
      <c r="AL242" s="90" t="b">
        <v>0</v>
      </c>
      <c r="AM242" s="90">
        <v>31</v>
      </c>
      <c r="AN242" s="97" t="s">
        <v>1051</v>
      </c>
      <c r="AO242" s="97" t="s">
        <v>1133</v>
      </c>
      <c r="AP242" s="90" t="b">
        <v>0</v>
      </c>
      <c r="AQ242" s="97" t="s">
        <v>1051</v>
      </c>
      <c r="AR242" s="90" t="s">
        <v>178</v>
      </c>
      <c r="AS242" s="90">
        <v>0</v>
      </c>
      <c r="AT242" s="90">
        <v>0</v>
      </c>
      <c r="AU242" s="90"/>
      <c r="AV242" s="90"/>
      <c r="AW242" s="90"/>
      <c r="AX242" s="90"/>
      <c r="AY242" s="90"/>
      <c r="AZ242" s="90"/>
      <c r="BA242" s="90"/>
      <c r="BB242" s="90"/>
      <c r="BC242">
        <v>1</v>
      </c>
      <c r="BD242" s="89" t="str">
        <f>REPLACE(INDEX(GroupVertices[Group],MATCH(Edges[[#This Row],[Vertex 1]],GroupVertices[Vertex],0)),1,1,"")</f>
        <v>4</v>
      </c>
      <c r="BE242" s="89" t="str">
        <f>REPLACE(INDEX(GroupVertices[Group],MATCH(Edges[[#This Row],[Vertex 2]],GroupVertices[Vertex],0)),1,1,"")</f>
        <v>4</v>
      </c>
      <c r="BF242" s="49">
        <v>0</v>
      </c>
      <c r="BG242" s="50">
        <v>0</v>
      </c>
      <c r="BH242" s="49">
        <v>0</v>
      </c>
      <c r="BI242" s="50">
        <v>0</v>
      </c>
      <c r="BJ242" s="49">
        <v>0</v>
      </c>
      <c r="BK242" s="50">
        <v>0</v>
      </c>
      <c r="BL242" s="49">
        <v>24</v>
      </c>
      <c r="BM242" s="50">
        <v>100</v>
      </c>
      <c r="BN242" s="49">
        <v>24</v>
      </c>
    </row>
    <row r="243" spans="1:66" ht="15">
      <c r="A243" s="65" t="s">
        <v>370</v>
      </c>
      <c r="B243" s="65" t="s">
        <v>400</v>
      </c>
      <c r="C243" s="66" t="s">
        <v>4405</v>
      </c>
      <c r="D243" s="67">
        <v>1</v>
      </c>
      <c r="E243" s="68" t="s">
        <v>132</v>
      </c>
      <c r="F243" s="69">
        <v>32</v>
      </c>
      <c r="G243" s="66" t="s">
        <v>51</v>
      </c>
      <c r="H243" s="70"/>
      <c r="I243" s="71"/>
      <c r="J243" s="71"/>
      <c r="K243" s="35" t="s">
        <v>65</v>
      </c>
      <c r="L243" s="79">
        <v>243</v>
      </c>
      <c r="M243" s="79"/>
      <c r="N243" s="73"/>
      <c r="O243" s="90" t="s">
        <v>447</v>
      </c>
      <c r="P243" s="93">
        <v>44578.18283564815</v>
      </c>
      <c r="Q243" s="90" t="s">
        <v>523</v>
      </c>
      <c r="R243" s="95" t="str">
        <f>HYPERLINK("https://www.tripadvisor.com/Restaurant_Review-g189934-d21338840-Reviews-Bardot-Helsinki_Uusimaa.html")</f>
        <v>https://www.tripadvisor.com/Restaurant_Review-g189934-d21338840-Reviews-Bardot-Helsinki_Uusimaa.html</v>
      </c>
      <c r="S243" s="90" t="s">
        <v>554</v>
      </c>
      <c r="T243" s="90"/>
      <c r="U243" s="90"/>
      <c r="V243" s="95" t="str">
        <f>HYPERLINK("https://abs.twimg.com/sticky/default_profile_images/default_profile_normal.png")</f>
        <v>https://abs.twimg.com/sticky/default_profile_images/default_profile_normal.png</v>
      </c>
      <c r="W243" s="93">
        <v>44578.18283564815</v>
      </c>
      <c r="X243" s="102">
        <v>44578</v>
      </c>
      <c r="Y243" s="97" t="s">
        <v>764</v>
      </c>
      <c r="Z243" s="95" t="str">
        <f>HYPERLINK("https://twitter.com/maucca/status/1482931505970167809")</f>
        <v>https://twitter.com/maucca/status/1482931505970167809</v>
      </c>
      <c r="AA243" s="90"/>
      <c r="AB243" s="90"/>
      <c r="AC243" s="97" t="s">
        <v>1005</v>
      </c>
      <c r="AD243" s="90"/>
      <c r="AE243" s="90" t="b">
        <v>0</v>
      </c>
      <c r="AF243" s="90">
        <v>0</v>
      </c>
      <c r="AG243" s="97" t="s">
        <v>1087</v>
      </c>
      <c r="AH243" s="90" t="b">
        <v>0</v>
      </c>
      <c r="AI243" s="90" t="s">
        <v>1127</v>
      </c>
      <c r="AJ243" s="90"/>
      <c r="AK243" s="97" t="s">
        <v>1087</v>
      </c>
      <c r="AL243" s="90" t="b">
        <v>0</v>
      </c>
      <c r="AM243" s="90">
        <v>15</v>
      </c>
      <c r="AN243" s="97" t="s">
        <v>1043</v>
      </c>
      <c r="AO243" s="97" t="s">
        <v>1132</v>
      </c>
      <c r="AP243" s="90" t="b">
        <v>0</v>
      </c>
      <c r="AQ243" s="97" t="s">
        <v>1043</v>
      </c>
      <c r="AR243" s="90" t="s">
        <v>178</v>
      </c>
      <c r="AS243" s="90">
        <v>0</v>
      </c>
      <c r="AT243" s="90">
        <v>0</v>
      </c>
      <c r="AU243" s="90"/>
      <c r="AV243" s="90"/>
      <c r="AW243" s="90"/>
      <c r="AX243" s="90"/>
      <c r="AY243" s="90"/>
      <c r="AZ243" s="90"/>
      <c r="BA243" s="90"/>
      <c r="BB243" s="90"/>
      <c r="BC243">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13</v>
      </c>
      <c r="BM243" s="50">
        <v>100</v>
      </c>
      <c r="BN243" s="49">
        <v>13</v>
      </c>
    </row>
    <row r="244" spans="1:66" ht="15">
      <c r="A244" s="65" t="s">
        <v>370</v>
      </c>
      <c r="B244" s="65" t="s">
        <v>403</v>
      </c>
      <c r="C244" s="66" t="s">
        <v>4405</v>
      </c>
      <c r="D244" s="67">
        <v>1</v>
      </c>
      <c r="E244" s="68" t="s">
        <v>132</v>
      </c>
      <c r="F244" s="69">
        <v>32</v>
      </c>
      <c r="G244" s="66" t="s">
        <v>51</v>
      </c>
      <c r="H244" s="70"/>
      <c r="I244" s="71"/>
      <c r="J244" s="71"/>
      <c r="K244" s="35" t="s">
        <v>65</v>
      </c>
      <c r="L244" s="79">
        <v>244</v>
      </c>
      <c r="M244" s="79"/>
      <c r="N244" s="73"/>
      <c r="O244" s="90" t="s">
        <v>447</v>
      </c>
      <c r="P244" s="93">
        <v>44578.53931712963</v>
      </c>
      <c r="Q244" s="90" t="s">
        <v>533</v>
      </c>
      <c r="R244" s="90"/>
      <c r="S244" s="90"/>
      <c r="T244" s="97" t="s">
        <v>570</v>
      </c>
      <c r="U244" s="90"/>
      <c r="V244" s="95" t="str">
        <f>HYPERLINK("https://abs.twimg.com/sticky/default_profile_images/default_profile_normal.png")</f>
        <v>https://abs.twimg.com/sticky/default_profile_images/default_profile_normal.png</v>
      </c>
      <c r="W244" s="93">
        <v>44578.53931712963</v>
      </c>
      <c r="X244" s="102">
        <v>44578</v>
      </c>
      <c r="Y244" s="97" t="s">
        <v>765</v>
      </c>
      <c r="Z244" s="95" t="str">
        <f>HYPERLINK("https://twitter.com/maucca/status/1483060692164952064")</f>
        <v>https://twitter.com/maucca/status/1483060692164952064</v>
      </c>
      <c r="AA244" s="90"/>
      <c r="AB244" s="90"/>
      <c r="AC244" s="97" t="s">
        <v>1006</v>
      </c>
      <c r="AD244" s="90"/>
      <c r="AE244" s="90" t="b">
        <v>0</v>
      </c>
      <c r="AF244" s="90">
        <v>0</v>
      </c>
      <c r="AG244" s="97" t="s">
        <v>1087</v>
      </c>
      <c r="AH244" s="90" t="b">
        <v>0</v>
      </c>
      <c r="AI244" s="90" t="s">
        <v>1127</v>
      </c>
      <c r="AJ244" s="90"/>
      <c r="AK244" s="97" t="s">
        <v>1087</v>
      </c>
      <c r="AL244" s="90" t="b">
        <v>0</v>
      </c>
      <c r="AM244" s="90">
        <v>31</v>
      </c>
      <c r="AN244" s="97" t="s">
        <v>1051</v>
      </c>
      <c r="AO244" s="97" t="s">
        <v>1132</v>
      </c>
      <c r="AP244" s="90" t="b">
        <v>0</v>
      </c>
      <c r="AQ244" s="97" t="s">
        <v>1051</v>
      </c>
      <c r="AR244" s="90" t="s">
        <v>178</v>
      </c>
      <c r="AS244" s="90">
        <v>0</v>
      </c>
      <c r="AT244" s="90">
        <v>0</v>
      </c>
      <c r="AU244" s="90"/>
      <c r="AV244" s="90"/>
      <c r="AW244" s="90"/>
      <c r="AX244" s="90"/>
      <c r="AY244" s="90"/>
      <c r="AZ244" s="90"/>
      <c r="BA244" s="90"/>
      <c r="BB244" s="90"/>
      <c r="BC244">
        <v>1</v>
      </c>
      <c r="BD244" s="89" t="str">
        <f>REPLACE(INDEX(GroupVertices[Group],MATCH(Edges[[#This Row],[Vertex 1]],GroupVertices[Vertex],0)),1,1,"")</f>
        <v>5</v>
      </c>
      <c r="BE244" s="89" t="str">
        <f>REPLACE(INDEX(GroupVertices[Group],MATCH(Edges[[#This Row],[Vertex 2]],GroupVertices[Vertex],0)),1,1,"")</f>
        <v>4</v>
      </c>
      <c r="BF244" s="49">
        <v>0</v>
      </c>
      <c r="BG244" s="50">
        <v>0</v>
      </c>
      <c r="BH244" s="49">
        <v>0</v>
      </c>
      <c r="BI244" s="50">
        <v>0</v>
      </c>
      <c r="BJ244" s="49">
        <v>0</v>
      </c>
      <c r="BK244" s="50">
        <v>0</v>
      </c>
      <c r="BL244" s="49">
        <v>24</v>
      </c>
      <c r="BM244" s="50">
        <v>100</v>
      </c>
      <c r="BN244" s="49">
        <v>24</v>
      </c>
    </row>
    <row r="245" spans="1:66" ht="15">
      <c r="A245" s="65" t="s">
        <v>371</v>
      </c>
      <c r="B245" s="65" t="s">
        <v>371</v>
      </c>
      <c r="C245" s="66" t="s">
        <v>4405</v>
      </c>
      <c r="D245" s="67">
        <v>1</v>
      </c>
      <c r="E245" s="68" t="s">
        <v>132</v>
      </c>
      <c r="F245" s="69">
        <v>32</v>
      </c>
      <c r="G245" s="66" t="s">
        <v>51</v>
      </c>
      <c r="H245" s="70"/>
      <c r="I245" s="71"/>
      <c r="J245" s="71"/>
      <c r="K245" s="35" t="s">
        <v>65</v>
      </c>
      <c r="L245" s="79">
        <v>245</v>
      </c>
      <c r="M245" s="79"/>
      <c r="N245" s="73"/>
      <c r="O245" s="90" t="s">
        <v>178</v>
      </c>
      <c r="P245" s="93">
        <v>44578.54261574074</v>
      </c>
      <c r="Q245" s="90" t="s">
        <v>536</v>
      </c>
      <c r="R245" s="90"/>
      <c r="S245" s="90"/>
      <c r="T245" s="90"/>
      <c r="U245" s="95" t="str">
        <f>HYPERLINK("https://pbs.twimg.com/media/FJTk7PdXMAQIeBU.jpg")</f>
        <v>https://pbs.twimg.com/media/FJTk7PdXMAQIeBU.jpg</v>
      </c>
      <c r="V245" s="95" t="str">
        <f>HYPERLINK("https://pbs.twimg.com/media/FJTk7PdXMAQIeBU.jpg")</f>
        <v>https://pbs.twimg.com/media/FJTk7PdXMAQIeBU.jpg</v>
      </c>
      <c r="W245" s="93">
        <v>44578.54261574074</v>
      </c>
      <c r="X245" s="102">
        <v>44578</v>
      </c>
      <c r="Y245" s="97" t="s">
        <v>766</v>
      </c>
      <c r="Z245" s="95" t="str">
        <f>HYPERLINK("https://twitter.com/taskinen_reijo/status/1483061885779992580")</f>
        <v>https://twitter.com/taskinen_reijo/status/1483061885779992580</v>
      </c>
      <c r="AA245" s="90"/>
      <c r="AB245" s="90"/>
      <c r="AC245" s="97" t="s">
        <v>1007</v>
      </c>
      <c r="AD245" s="90"/>
      <c r="AE245" s="90" t="b">
        <v>0</v>
      </c>
      <c r="AF245" s="90">
        <v>5</v>
      </c>
      <c r="AG245" s="97" t="s">
        <v>1087</v>
      </c>
      <c r="AH245" s="90" t="b">
        <v>0</v>
      </c>
      <c r="AI245" s="90" t="s">
        <v>1127</v>
      </c>
      <c r="AJ245" s="90"/>
      <c r="AK245" s="97" t="s">
        <v>1087</v>
      </c>
      <c r="AL245" s="90" t="b">
        <v>0</v>
      </c>
      <c r="AM245" s="90">
        <v>0</v>
      </c>
      <c r="AN245" s="97" t="s">
        <v>1087</v>
      </c>
      <c r="AO245" s="97" t="s">
        <v>1133</v>
      </c>
      <c r="AP245" s="90" t="b">
        <v>0</v>
      </c>
      <c r="AQ245" s="97" t="s">
        <v>1007</v>
      </c>
      <c r="AR245" s="90" t="s">
        <v>178</v>
      </c>
      <c r="AS245" s="90">
        <v>0</v>
      </c>
      <c r="AT245" s="90">
        <v>0</v>
      </c>
      <c r="AU245" s="90"/>
      <c r="AV245" s="90"/>
      <c r="AW245" s="90"/>
      <c r="AX245" s="90"/>
      <c r="AY245" s="90"/>
      <c r="AZ245" s="90"/>
      <c r="BA245" s="90"/>
      <c r="BB245" s="90"/>
      <c r="BC245">
        <v>1</v>
      </c>
      <c r="BD245" s="89" t="str">
        <f>REPLACE(INDEX(GroupVertices[Group],MATCH(Edges[[#This Row],[Vertex 1]],GroupVertices[Vertex],0)),1,1,"")</f>
        <v>7</v>
      </c>
      <c r="BE245" s="89" t="str">
        <f>REPLACE(INDEX(GroupVertices[Group],MATCH(Edges[[#This Row],[Vertex 2]],GroupVertices[Vertex],0)),1,1,"")</f>
        <v>7</v>
      </c>
      <c r="BF245" s="49">
        <v>0</v>
      </c>
      <c r="BG245" s="50">
        <v>0</v>
      </c>
      <c r="BH245" s="49">
        <v>0</v>
      </c>
      <c r="BI245" s="50">
        <v>0</v>
      </c>
      <c r="BJ245" s="49">
        <v>0</v>
      </c>
      <c r="BK245" s="50">
        <v>0</v>
      </c>
      <c r="BL245" s="49">
        <v>15</v>
      </c>
      <c r="BM245" s="50">
        <v>100</v>
      </c>
      <c r="BN245" s="49">
        <v>15</v>
      </c>
    </row>
    <row r="246" spans="1:66" ht="15">
      <c r="A246" s="65" t="s">
        <v>372</v>
      </c>
      <c r="B246" s="65" t="s">
        <v>403</v>
      </c>
      <c r="C246" s="66" t="s">
        <v>4405</v>
      </c>
      <c r="D246" s="67">
        <v>1</v>
      </c>
      <c r="E246" s="68" t="s">
        <v>132</v>
      </c>
      <c r="F246" s="69">
        <v>32</v>
      </c>
      <c r="G246" s="66" t="s">
        <v>51</v>
      </c>
      <c r="H246" s="70"/>
      <c r="I246" s="71"/>
      <c r="J246" s="71"/>
      <c r="K246" s="35" t="s">
        <v>65</v>
      </c>
      <c r="L246" s="79">
        <v>246</v>
      </c>
      <c r="M246" s="79"/>
      <c r="N246" s="73"/>
      <c r="O246" s="90" t="s">
        <v>447</v>
      </c>
      <c r="P246" s="93">
        <v>44578.54335648148</v>
      </c>
      <c r="Q246" s="90" t="s">
        <v>533</v>
      </c>
      <c r="R246" s="90"/>
      <c r="S246" s="90"/>
      <c r="T246" s="97" t="s">
        <v>570</v>
      </c>
      <c r="U246" s="90"/>
      <c r="V246" s="95" t="str">
        <f>HYPERLINK("https://pbs.twimg.com/profile_images/1278423534986039297/1h_7GKoB_normal.jpg")</f>
        <v>https://pbs.twimg.com/profile_images/1278423534986039297/1h_7GKoB_normal.jpg</v>
      </c>
      <c r="W246" s="93">
        <v>44578.54335648148</v>
      </c>
      <c r="X246" s="102">
        <v>44578</v>
      </c>
      <c r="Y246" s="97" t="s">
        <v>767</v>
      </c>
      <c r="Z246" s="95" t="str">
        <f>HYPERLINK("https://twitter.com/marioargenta/status/1483062156627173381")</f>
        <v>https://twitter.com/marioargenta/status/1483062156627173381</v>
      </c>
      <c r="AA246" s="90"/>
      <c r="AB246" s="90"/>
      <c r="AC246" s="97" t="s">
        <v>1008</v>
      </c>
      <c r="AD246" s="90"/>
      <c r="AE246" s="90" t="b">
        <v>0</v>
      </c>
      <c r="AF246" s="90">
        <v>0</v>
      </c>
      <c r="AG246" s="97" t="s">
        <v>1087</v>
      </c>
      <c r="AH246" s="90" t="b">
        <v>0</v>
      </c>
      <c r="AI246" s="90" t="s">
        <v>1127</v>
      </c>
      <c r="AJ246" s="90"/>
      <c r="AK246" s="97" t="s">
        <v>1087</v>
      </c>
      <c r="AL246" s="90" t="b">
        <v>0</v>
      </c>
      <c r="AM246" s="90">
        <v>31</v>
      </c>
      <c r="AN246" s="97" t="s">
        <v>1051</v>
      </c>
      <c r="AO246" s="97" t="s">
        <v>1132</v>
      </c>
      <c r="AP246" s="90" t="b">
        <v>0</v>
      </c>
      <c r="AQ246" s="97" t="s">
        <v>1051</v>
      </c>
      <c r="AR246" s="90" t="s">
        <v>178</v>
      </c>
      <c r="AS246" s="90">
        <v>0</v>
      </c>
      <c r="AT246" s="90">
        <v>0</v>
      </c>
      <c r="AU246" s="90"/>
      <c r="AV246" s="90"/>
      <c r="AW246" s="90"/>
      <c r="AX246" s="90"/>
      <c r="AY246" s="90"/>
      <c r="AZ246" s="90"/>
      <c r="BA246" s="90"/>
      <c r="BB246" s="90"/>
      <c r="BC246">
        <v>1</v>
      </c>
      <c r="BD246" s="89" t="str">
        <f>REPLACE(INDEX(GroupVertices[Group],MATCH(Edges[[#This Row],[Vertex 1]],GroupVertices[Vertex],0)),1,1,"")</f>
        <v>4</v>
      </c>
      <c r="BE246" s="89" t="str">
        <f>REPLACE(INDEX(GroupVertices[Group],MATCH(Edges[[#This Row],[Vertex 2]],GroupVertices[Vertex],0)),1,1,"")</f>
        <v>4</v>
      </c>
      <c r="BF246" s="49">
        <v>0</v>
      </c>
      <c r="BG246" s="50">
        <v>0</v>
      </c>
      <c r="BH246" s="49">
        <v>0</v>
      </c>
      <c r="BI246" s="50">
        <v>0</v>
      </c>
      <c r="BJ246" s="49">
        <v>0</v>
      </c>
      <c r="BK246" s="50">
        <v>0</v>
      </c>
      <c r="BL246" s="49">
        <v>24</v>
      </c>
      <c r="BM246" s="50">
        <v>100</v>
      </c>
      <c r="BN246" s="49">
        <v>24</v>
      </c>
    </row>
    <row r="247" spans="1:66" ht="15">
      <c r="A247" s="65" t="s">
        <v>373</v>
      </c>
      <c r="B247" s="65" t="s">
        <v>403</v>
      </c>
      <c r="C247" s="66" t="s">
        <v>4405</v>
      </c>
      <c r="D247" s="67">
        <v>1</v>
      </c>
      <c r="E247" s="68" t="s">
        <v>132</v>
      </c>
      <c r="F247" s="69">
        <v>32</v>
      </c>
      <c r="G247" s="66" t="s">
        <v>51</v>
      </c>
      <c r="H247" s="70"/>
      <c r="I247" s="71"/>
      <c r="J247" s="71"/>
      <c r="K247" s="35" t="s">
        <v>65</v>
      </c>
      <c r="L247" s="79">
        <v>247</v>
      </c>
      <c r="M247" s="79"/>
      <c r="N247" s="73"/>
      <c r="O247" s="90" t="s">
        <v>447</v>
      </c>
      <c r="P247" s="93">
        <v>44578.5502662037</v>
      </c>
      <c r="Q247" s="90" t="s">
        <v>533</v>
      </c>
      <c r="R247" s="90"/>
      <c r="S247" s="90"/>
      <c r="T247" s="97" t="s">
        <v>570</v>
      </c>
      <c r="U247" s="90"/>
      <c r="V247" s="95" t="str">
        <f>HYPERLINK("https://pbs.twimg.com/profile_images/1333342028609040393/f7e9-vsd_normal.jpg")</f>
        <v>https://pbs.twimg.com/profile_images/1333342028609040393/f7e9-vsd_normal.jpg</v>
      </c>
      <c r="W247" s="93">
        <v>44578.5502662037</v>
      </c>
      <c r="X247" s="102">
        <v>44578</v>
      </c>
      <c r="Y247" s="97" t="s">
        <v>768</v>
      </c>
      <c r="Z247" s="95" t="str">
        <f>HYPERLINK("https://twitter.com/samueldavidkin/status/1483064658676359173")</f>
        <v>https://twitter.com/samueldavidkin/status/1483064658676359173</v>
      </c>
      <c r="AA247" s="90"/>
      <c r="AB247" s="90"/>
      <c r="AC247" s="97" t="s">
        <v>1009</v>
      </c>
      <c r="AD247" s="90"/>
      <c r="AE247" s="90" t="b">
        <v>0</v>
      </c>
      <c r="AF247" s="90">
        <v>0</v>
      </c>
      <c r="AG247" s="97" t="s">
        <v>1087</v>
      </c>
      <c r="AH247" s="90" t="b">
        <v>0</v>
      </c>
      <c r="AI247" s="90" t="s">
        <v>1127</v>
      </c>
      <c r="AJ247" s="90"/>
      <c r="AK247" s="97" t="s">
        <v>1087</v>
      </c>
      <c r="AL247" s="90" t="b">
        <v>0</v>
      </c>
      <c r="AM247" s="90">
        <v>31</v>
      </c>
      <c r="AN247" s="97" t="s">
        <v>1051</v>
      </c>
      <c r="AO247" s="97" t="s">
        <v>1134</v>
      </c>
      <c r="AP247" s="90" t="b">
        <v>0</v>
      </c>
      <c r="AQ247" s="97" t="s">
        <v>1051</v>
      </c>
      <c r="AR247" s="90" t="s">
        <v>178</v>
      </c>
      <c r="AS247" s="90">
        <v>0</v>
      </c>
      <c r="AT247" s="90">
        <v>0</v>
      </c>
      <c r="AU247" s="90"/>
      <c r="AV247" s="90"/>
      <c r="AW247" s="90"/>
      <c r="AX247" s="90"/>
      <c r="AY247" s="90"/>
      <c r="AZ247" s="90"/>
      <c r="BA247" s="90"/>
      <c r="BB247" s="90"/>
      <c r="BC247">
        <v>1</v>
      </c>
      <c r="BD247" s="89" t="str">
        <f>REPLACE(INDEX(GroupVertices[Group],MATCH(Edges[[#This Row],[Vertex 1]],GroupVertices[Vertex],0)),1,1,"")</f>
        <v>4</v>
      </c>
      <c r="BE247" s="89" t="str">
        <f>REPLACE(INDEX(GroupVertices[Group],MATCH(Edges[[#This Row],[Vertex 2]],GroupVertices[Vertex],0)),1,1,"")</f>
        <v>4</v>
      </c>
      <c r="BF247" s="49">
        <v>0</v>
      </c>
      <c r="BG247" s="50">
        <v>0</v>
      </c>
      <c r="BH247" s="49">
        <v>0</v>
      </c>
      <c r="BI247" s="50">
        <v>0</v>
      </c>
      <c r="BJ247" s="49">
        <v>0</v>
      </c>
      <c r="BK247" s="50">
        <v>0</v>
      </c>
      <c r="BL247" s="49">
        <v>24</v>
      </c>
      <c r="BM247" s="50">
        <v>100</v>
      </c>
      <c r="BN247" s="49">
        <v>24</v>
      </c>
    </row>
    <row r="248" spans="1:66" ht="15">
      <c r="A248" s="65" t="s">
        <v>374</v>
      </c>
      <c r="B248" s="65" t="s">
        <v>444</v>
      </c>
      <c r="C248" s="66" t="s">
        <v>4405</v>
      </c>
      <c r="D248" s="67">
        <v>1</v>
      </c>
      <c r="E248" s="68" t="s">
        <v>132</v>
      </c>
      <c r="F248" s="69">
        <v>32</v>
      </c>
      <c r="G248" s="66" t="s">
        <v>51</v>
      </c>
      <c r="H248" s="70"/>
      <c r="I248" s="71"/>
      <c r="J248" s="71"/>
      <c r="K248" s="35" t="s">
        <v>65</v>
      </c>
      <c r="L248" s="79">
        <v>248</v>
      </c>
      <c r="M248" s="79"/>
      <c r="N248" s="73"/>
      <c r="O248" s="90" t="s">
        <v>448</v>
      </c>
      <c r="P248" s="93">
        <v>44578.550520833334</v>
      </c>
      <c r="Q248" s="90" t="s">
        <v>537</v>
      </c>
      <c r="R248" s="90"/>
      <c r="S248" s="90"/>
      <c r="T248" s="90"/>
      <c r="U248" s="90"/>
      <c r="V248" s="95" t="str">
        <f>HYPERLINK("https://pbs.twimg.com/profile_images/1419013836498157568/fOvPdJt6_normal.jpg")</f>
        <v>https://pbs.twimg.com/profile_images/1419013836498157568/fOvPdJt6_normal.jpg</v>
      </c>
      <c r="W248" s="93">
        <v>44578.550520833334</v>
      </c>
      <c r="X248" s="102">
        <v>44578</v>
      </c>
      <c r="Y248" s="97" t="s">
        <v>769</v>
      </c>
      <c r="Z248" s="95" t="str">
        <f>HYPERLINK("https://twitter.com/benedictesnotes/status/1483064750862962693")</f>
        <v>https://twitter.com/benedictesnotes/status/1483064750862962693</v>
      </c>
      <c r="AA248" s="90"/>
      <c r="AB248" s="90"/>
      <c r="AC248" s="97" t="s">
        <v>1010</v>
      </c>
      <c r="AD248" s="97" t="s">
        <v>1083</v>
      </c>
      <c r="AE248" s="90" t="b">
        <v>0</v>
      </c>
      <c r="AF248" s="90">
        <v>46</v>
      </c>
      <c r="AG248" s="97" t="s">
        <v>1124</v>
      </c>
      <c r="AH248" s="90" t="b">
        <v>0</v>
      </c>
      <c r="AI248" s="90" t="s">
        <v>1127</v>
      </c>
      <c r="AJ248" s="90"/>
      <c r="AK248" s="97" t="s">
        <v>1087</v>
      </c>
      <c r="AL248" s="90" t="b">
        <v>0</v>
      </c>
      <c r="AM248" s="90">
        <v>0</v>
      </c>
      <c r="AN248" s="97" t="s">
        <v>1087</v>
      </c>
      <c r="AO248" s="97" t="s">
        <v>1132</v>
      </c>
      <c r="AP248" s="90" t="b">
        <v>0</v>
      </c>
      <c r="AQ248" s="97" t="s">
        <v>1083</v>
      </c>
      <c r="AR248" s="90" t="s">
        <v>178</v>
      </c>
      <c r="AS248" s="90">
        <v>0</v>
      </c>
      <c r="AT248" s="90">
        <v>0</v>
      </c>
      <c r="AU248" s="90"/>
      <c r="AV248" s="90"/>
      <c r="AW248" s="90"/>
      <c r="AX248" s="90"/>
      <c r="AY248" s="90"/>
      <c r="AZ248" s="90"/>
      <c r="BA248" s="90"/>
      <c r="BB248" s="90"/>
      <c r="BC248">
        <v>1</v>
      </c>
      <c r="BD248" s="89" t="str">
        <f>REPLACE(INDEX(GroupVertices[Group],MATCH(Edges[[#This Row],[Vertex 1]],GroupVertices[Vertex],0)),1,1,"")</f>
        <v>9</v>
      </c>
      <c r="BE248" s="89" t="str">
        <f>REPLACE(INDEX(GroupVertices[Group],MATCH(Edges[[#This Row],[Vertex 2]],GroupVertices[Vertex],0)),1,1,"")</f>
        <v>9</v>
      </c>
      <c r="BF248" s="49">
        <v>0</v>
      </c>
      <c r="BG248" s="50">
        <v>0</v>
      </c>
      <c r="BH248" s="49">
        <v>0</v>
      </c>
      <c r="BI248" s="50">
        <v>0</v>
      </c>
      <c r="BJ248" s="49">
        <v>0</v>
      </c>
      <c r="BK248" s="50">
        <v>0</v>
      </c>
      <c r="BL248" s="49">
        <v>30</v>
      </c>
      <c r="BM248" s="50">
        <v>100</v>
      </c>
      <c r="BN248" s="49">
        <v>30</v>
      </c>
    </row>
    <row r="249" spans="1:66" ht="15">
      <c r="A249" s="65" t="s">
        <v>375</v>
      </c>
      <c r="B249" s="65" t="s">
        <v>445</v>
      </c>
      <c r="C249" s="66" t="s">
        <v>4405</v>
      </c>
      <c r="D249" s="67">
        <v>1</v>
      </c>
      <c r="E249" s="68" t="s">
        <v>132</v>
      </c>
      <c r="F249" s="69">
        <v>32</v>
      </c>
      <c r="G249" s="66" t="s">
        <v>51</v>
      </c>
      <c r="H249" s="70"/>
      <c r="I249" s="71"/>
      <c r="J249" s="71"/>
      <c r="K249" s="35" t="s">
        <v>65</v>
      </c>
      <c r="L249" s="79">
        <v>249</v>
      </c>
      <c r="M249" s="79"/>
      <c r="N249" s="73"/>
      <c r="O249" s="90" t="s">
        <v>448</v>
      </c>
      <c r="P249" s="93">
        <v>44578.5596875</v>
      </c>
      <c r="Q249" s="90" t="s">
        <v>538</v>
      </c>
      <c r="R249" s="90"/>
      <c r="S249" s="90"/>
      <c r="T249" s="90"/>
      <c r="U249" s="90"/>
      <c r="V249" s="95" t="str">
        <f>HYPERLINK("https://pbs.twimg.com/profile_images/1476009884063830020/njQtL23S_normal.jpg")</f>
        <v>https://pbs.twimg.com/profile_images/1476009884063830020/njQtL23S_normal.jpg</v>
      </c>
      <c r="W249" s="93">
        <v>44578.5596875</v>
      </c>
      <c r="X249" s="102">
        <v>44578</v>
      </c>
      <c r="Y249" s="97" t="s">
        <v>770</v>
      </c>
      <c r="Z249" s="95" t="str">
        <f>HYPERLINK("https://twitter.com/tealindblom/status/1483068072986824705")</f>
        <v>https://twitter.com/tealindblom/status/1483068072986824705</v>
      </c>
      <c r="AA249" s="90"/>
      <c r="AB249" s="90"/>
      <c r="AC249" s="97" t="s">
        <v>1011</v>
      </c>
      <c r="AD249" s="97" t="s">
        <v>1084</v>
      </c>
      <c r="AE249" s="90" t="b">
        <v>0</v>
      </c>
      <c r="AF249" s="90">
        <v>1</v>
      </c>
      <c r="AG249" s="97" t="s">
        <v>1125</v>
      </c>
      <c r="AH249" s="90" t="b">
        <v>0</v>
      </c>
      <c r="AI249" s="90" t="s">
        <v>1127</v>
      </c>
      <c r="AJ249" s="90"/>
      <c r="AK249" s="97" t="s">
        <v>1087</v>
      </c>
      <c r="AL249" s="90" t="b">
        <v>0</v>
      </c>
      <c r="AM249" s="90">
        <v>0</v>
      </c>
      <c r="AN249" s="97" t="s">
        <v>1087</v>
      </c>
      <c r="AO249" s="97" t="s">
        <v>1134</v>
      </c>
      <c r="AP249" s="90" t="b">
        <v>0</v>
      </c>
      <c r="AQ249" s="97" t="s">
        <v>1084</v>
      </c>
      <c r="AR249" s="90" t="s">
        <v>178</v>
      </c>
      <c r="AS249" s="90">
        <v>0</v>
      </c>
      <c r="AT249" s="90">
        <v>0</v>
      </c>
      <c r="AU249" s="90"/>
      <c r="AV249" s="90"/>
      <c r="AW249" s="90"/>
      <c r="AX249" s="90"/>
      <c r="AY249" s="90"/>
      <c r="AZ249" s="90"/>
      <c r="BA249" s="90"/>
      <c r="BB249" s="90"/>
      <c r="BC249">
        <v>1</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9</v>
      </c>
      <c r="BM249" s="50">
        <v>100</v>
      </c>
      <c r="BN249" s="49">
        <v>9</v>
      </c>
    </row>
    <row r="250" spans="1:66" ht="15">
      <c r="A250" s="65" t="s">
        <v>375</v>
      </c>
      <c r="B250" s="65" t="s">
        <v>416</v>
      </c>
      <c r="C250" s="66" t="s">
        <v>4405</v>
      </c>
      <c r="D250" s="67">
        <v>1</v>
      </c>
      <c r="E250" s="68" t="s">
        <v>132</v>
      </c>
      <c r="F250" s="69">
        <v>32</v>
      </c>
      <c r="G250" s="66" t="s">
        <v>51</v>
      </c>
      <c r="H250" s="70"/>
      <c r="I250" s="71"/>
      <c r="J250" s="71"/>
      <c r="K250" s="35" t="s">
        <v>65</v>
      </c>
      <c r="L250" s="79">
        <v>250</v>
      </c>
      <c r="M250" s="79"/>
      <c r="N250" s="73"/>
      <c r="O250" s="90" t="s">
        <v>449</v>
      </c>
      <c r="P250" s="93">
        <v>44578.5596875</v>
      </c>
      <c r="Q250" s="90" t="s">
        <v>538</v>
      </c>
      <c r="R250" s="90"/>
      <c r="S250" s="90"/>
      <c r="T250" s="90"/>
      <c r="U250" s="90"/>
      <c r="V250" s="95" t="str">
        <f>HYPERLINK("https://pbs.twimg.com/profile_images/1476009884063830020/njQtL23S_normal.jpg")</f>
        <v>https://pbs.twimg.com/profile_images/1476009884063830020/njQtL23S_normal.jpg</v>
      </c>
      <c r="W250" s="93">
        <v>44578.5596875</v>
      </c>
      <c r="X250" s="102">
        <v>44578</v>
      </c>
      <c r="Y250" s="97" t="s">
        <v>770</v>
      </c>
      <c r="Z250" s="95" t="str">
        <f>HYPERLINK("https://twitter.com/tealindblom/status/1483068072986824705")</f>
        <v>https://twitter.com/tealindblom/status/1483068072986824705</v>
      </c>
      <c r="AA250" s="90"/>
      <c r="AB250" s="90"/>
      <c r="AC250" s="97" t="s">
        <v>1011</v>
      </c>
      <c r="AD250" s="97" t="s">
        <v>1084</v>
      </c>
      <c r="AE250" s="90" t="b">
        <v>0</v>
      </c>
      <c r="AF250" s="90">
        <v>1</v>
      </c>
      <c r="AG250" s="97" t="s">
        <v>1125</v>
      </c>
      <c r="AH250" s="90" t="b">
        <v>0</v>
      </c>
      <c r="AI250" s="90" t="s">
        <v>1127</v>
      </c>
      <c r="AJ250" s="90"/>
      <c r="AK250" s="97" t="s">
        <v>1087</v>
      </c>
      <c r="AL250" s="90" t="b">
        <v>0</v>
      </c>
      <c r="AM250" s="90">
        <v>0</v>
      </c>
      <c r="AN250" s="97" t="s">
        <v>1087</v>
      </c>
      <c r="AO250" s="97" t="s">
        <v>1134</v>
      </c>
      <c r="AP250" s="90" t="b">
        <v>0</v>
      </c>
      <c r="AQ250" s="97" t="s">
        <v>1084</v>
      </c>
      <c r="AR250" s="90" t="s">
        <v>178</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3</v>
      </c>
      <c r="BF250" s="49"/>
      <c r="BG250" s="50"/>
      <c r="BH250" s="49"/>
      <c r="BI250" s="50"/>
      <c r="BJ250" s="49"/>
      <c r="BK250" s="50"/>
      <c r="BL250" s="49"/>
      <c r="BM250" s="50"/>
      <c r="BN250" s="49"/>
    </row>
    <row r="251" spans="1:66" ht="15">
      <c r="A251" s="65" t="s">
        <v>376</v>
      </c>
      <c r="B251" s="65" t="s">
        <v>403</v>
      </c>
      <c r="C251" s="66" t="s">
        <v>4405</v>
      </c>
      <c r="D251" s="67">
        <v>1</v>
      </c>
      <c r="E251" s="68" t="s">
        <v>132</v>
      </c>
      <c r="F251" s="69">
        <v>32</v>
      </c>
      <c r="G251" s="66" t="s">
        <v>51</v>
      </c>
      <c r="H251" s="70"/>
      <c r="I251" s="71"/>
      <c r="J251" s="71"/>
      <c r="K251" s="35" t="s">
        <v>65</v>
      </c>
      <c r="L251" s="79">
        <v>251</v>
      </c>
      <c r="M251" s="79"/>
      <c r="N251" s="73"/>
      <c r="O251" s="90" t="s">
        <v>447</v>
      </c>
      <c r="P251" s="93">
        <v>44578.559745370374</v>
      </c>
      <c r="Q251" s="90" t="s">
        <v>533</v>
      </c>
      <c r="R251" s="90"/>
      <c r="S251" s="90"/>
      <c r="T251" s="97" t="s">
        <v>570</v>
      </c>
      <c r="U251" s="90"/>
      <c r="V251" s="95" t="str">
        <f>HYPERLINK("https://pbs.twimg.com/profile_images/494429619538653184/MvT2LW92_normal.jpeg")</f>
        <v>https://pbs.twimg.com/profile_images/494429619538653184/MvT2LW92_normal.jpeg</v>
      </c>
      <c r="W251" s="93">
        <v>44578.559745370374</v>
      </c>
      <c r="X251" s="102">
        <v>44578</v>
      </c>
      <c r="Y251" s="97" t="s">
        <v>771</v>
      </c>
      <c r="Z251" s="95" t="str">
        <f>HYPERLINK("https://twitter.com/k272479/status/1483068094767669248")</f>
        <v>https://twitter.com/k272479/status/1483068094767669248</v>
      </c>
      <c r="AA251" s="90"/>
      <c r="AB251" s="90"/>
      <c r="AC251" s="97" t="s">
        <v>1012</v>
      </c>
      <c r="AD251" s="90"/>
      <c r="AE251" s="90" t="b">
        <v>0</v>
      </c>
      <c r="AF251" s="90">
        <v>0</v>
      </c>
      <c r="AG251" s="97" t="s">
        <v>1087</v>
      </c>
      <c r="AH251" s="90" t="b">
        <v>0</v>
      </c>
      <c r="AI251" s="90" t="s">
        <v>1127</v>
      </c>
      <c r="AJ251" s="90"/>
      <c r="AK251" s="97" t="s">
        <v>1087</v>
      </c>
      <c r="AL251" s="90" t="b">
        <v>0</v>
      </c>
      <c r="AM251" s="90">
        <v>31</v>
      </c>
      <c r="AN251" s="97" t="s">
        <v>1051</v>
      </c>
      <c r="AO251" s="97" t="s">
        <v>1134</v>
      </c>
      <c r="AP251" s="90" t="b">
        <v>0</v>
      </c>
      <c r="AQ251" s="97" t="s">
        <v>1051</v>
      </c>
      <c r="AR251" s="90" t="s">
        <v>178</v>
      </c>
      <c r="AS251" s="90">
        <v>0</v>
      </c>
      <c r="AT251" s="90">
        <v>0</v>
      </c>
      <c r="AU251" s="90"/>
      <c r="AV251" s="90"/>
      <c r="AW251" s="90"/>
      <c r="AX251" s="90"/>
      <c r="AY251" s="90"/>
      <c r="AZ251" s="90"/>
      <c r="BA251" s="90"/>
      <c r="BB251" s="90"/>
      <c r="BC251">
        <v>1</v>
      </c>
      <c r="BD251" s="89" t="str">
        <f>REPLACE(INDEX(GroupVertices[Group],MATCH(Edges[[#This Row],[Vertex 1]],GroupVertices[Vertex],0)),1,1,"")</f>
        <v>4</v>
      </c>
      <c r="BE251" s="89" t="str">
        <f>REPLACE(INDEX(GroupVertices[Group],MATCH(Edges[[#This Row],[Vertex 2]],GroupVertices[Vertex],0)),1,1,"")</f>
        <v>4</v>
      </c>
      <c r="BF251" s="49">
        <v>0</v>
      </c>
      <c r="BG251" s="50">
        <v>0</v>
      </c>
      <c r="BH251" s="49">
        <v>0</v>
      </c>
      <c r="BI251" s="50">
        <v>0</v>
      </c>
      <c r="BJ251" s="49">
        <v>0</v>
      </c>
      <c r="BK251" s="50">
        <v>0</v>
      </c>
      <c r="BL251" s="49">
        <v>24</v>
      </c>
      <c r="BM251" s="50">
        <v>100</v>
      </c>
      <c r="BN251" s="49">
        <v>24</v>
      </c>
    </row>
    <row r="252" spans="1:66" ht="15">
      <c r="A252" s="65" t="s">
        <v>377</v>
      </c>
      <c r="B252" s="65" t="s">
        <v>416</v>
      </c>
      <c r="C252" s="66" t="s">
        <v>4405</v>
      </c>
      <c r="D252" s="67">
        <v>1</v>
      </c>
      <c r="E252" s="68" t="s">
        <v>132</v>
      </c>
      <c r="F252" s="69">
        <v>32</v>
      </c>
      <c r="G252" s="66" t="s">
        <v>51</v>
      </c>
      <c r="H252" s="70"/>
      <c r="I252" s="71"/>
      <c r="J252" s="71"/>
      <c r="K252" s="35" t="s">
        <v>65</v>
      </c>
      <c r="L252" s="79">
        <v>252</v>
      </c>
      <c r="M252" s="79"/>
      <c r="N252" s="73"/>
      <c r="O252" s="90" t="s">
        <v>448</v>
      </c>
      <c r="P252" s="93">
        <v>44578.56517361111</v>
      </c>
      <c r="Q252" s="90" t="s">
        <v>539</v>
      </c>
      <c r="R252" s="90"/>
      <c r="S252" s="90"/>
      <c r="T252" s="90"/>
      <c r="U252" s="90"/>
      <c r="V252" s="95" t="str">
        <f>HYPERLINK("https://pbs.twimg.com/profile_images/417909917668737024/reQfjg4C_normal.jpeg")</f>
        <v>https://pbs.twimg.com/profile_images/417909917668737024/reQfjg4C_normal.jpeg</v>
      </c>
      <c r="W252" s="93">
        <v>44578.56517361111</v>
      </c>
      <c r="X252" s="102">
        <v>44578</v>
      </c>
      <c r="Y252" s="97" t="s">
        <v>772</v>
      </c>
      <c r="Z252" s="95" t="str">
        <f>HYPERLINK("https://twitter.com/jotiittanen/status/1483070060658839556")</f>
        <v>https://twitter.com/jotiittanen/status/1483070060658839556</v>
      </c>
      <c r="AA252" s="90"/>
      <c r="AB252" s="90"/>
      <c r="AC252" s="97" t="s">
        <v>1013</v>
      </c>
      <c r="AD252" s="90"/>
      <c r="AE252" s="90" t="b">
        <v>0</v>
      </c>
      <c r="AF252" s="90">
        <v>0</v>
      </c>
      <c r="AG252" s="97" t="s">
        <v>1092</v>
      </c>
      <c r="AH252" s="90" t="b">
        <v>0</v>
      </c>
      <c r="AI252" s="90" t="s">
        <v>1127</v>
      </c>
      <c r="AJ252" s="90"/>
      <c r="AK252" s="97" t="s">
        <v>1087</v>
      </c>
      <c r="AL252" s="90" t="b">
        <v>0</v>
      </c>
      <c r="AM252" s="90">
        <v>0</v>
      </c>
      <c r="AN252" s="97" t="s">
        <v>1087</v>
      </c>
      <c r="AO252" s="97" t="s">
        <v>1133</v>
      </c>
      <c r="AP252" s="90" t="b">
        <v>0</v>
      </c>
      <c r="AQ252" s="97" t="s">
        <v>1013</v>
      </c>
      <c r="AR252" s="90" t="s">
        <v>178</v>
      </c>
      <c r="AS252" s="90">
        <v>0</v>
      </c>
      <c r="AT252" s="90">
        <v>0</v>
      </c>
      <c r="AU252" s="90"/>
      <c r="AV252" s="90"/>
      <c r="AW252" s="90"/>
      <c r="AX252" s="90"/>
      <c r="AY252" s="90"/>
      <c r="AZ252" s="90"/>
      <c r="BA252" s="90"/>
      <c r="BB252" s="90"/>
      <c r="BC252">
        <v>1</v>
      </c>
      <c r="BD252" s="89" t="str">
        <f>REPLACE(INDEX(GroupVertices[Group],MATCH(Edges[[#This Row],[Vertex 1]],GroupVertices[Vertex],0)),1,1,"")</f>
        <v>3</v>
      </c>
      <c r="BE252" s="89" t="str">
        <f>REPLACE(INDEX(GroupVertices[Group],MATCH(Edges[[#This Row],[Vertex 2]],GroupVertices[Vertex],0)),1,1,"")</f>
        <v>3</v>
      </c>
      <c r="BF252" s="49">
        <v>0</v>
      </c>
      <c r="BG252" s="50">
        <v>0</v>
      </c>
      <c r="BH252" s="49">
        <v>0</v>
      </c>
      <c r="BI252" s="50">
        <v>0</v>
      </c>
      <c r="BJ252" s="49">
        <v>0</v>
      </c>
      <c r="BK252" s="50">
        <v>0</v>
      </c>
      <c r="BL252" s="49">
        <v>24</v>
      </c>
      <c r="BM252" s="50">
        <v>100</v>
      </c>
      <c r="BN252" s="49">
        <v>24</v>
      </c>
    </row>
    <row r="253" spans="1:66" ht="15">
      <c r="A253" s="65" t="s">
        <v>378</v>
      </c>
      <c r="B253" s="65" t="s">
        <v>403</v>
      </c>
      <c r="C253" s="66" t="s">
        <v>4405</v>
      </c>
      <c r="D253" s="67">
        <v>1</v>
      </c>
      <c r="E253" s="68" t="s">
        <v>132</v>
      </c>
      <c r="F253" s="69">
        <v>32</v>
      </c>
      <c r="G253" s="66" t="s">
        <v>51</v>
      </c>
      <c r="H253" s="70"/>
      <c r="I253" s="71"/>
      <c r="J253" s="71"/>
      <c r="K253" s="35" t="s">
        <v>65</v>
      </c>
      <c r="L253" s="79">
        <v>253</v>
      </c>
      <c r="M253" s="79"/>
      <c r="N253" s="73"/>
      <c r="O253" s="90" t="s">
        <v>447</v>
      </c>
      <c r="P253" s="93">
        <v>44578.56711805556</v>
      </c>
      <c r="Q253" s="90" t="s">
        <v>533</v>
      </c>
      <c r="R253" s="90"/>
      <c r="S253" s="90"/>
      <c r="T253" s="97" t="s">
        <v>570</v>
      </c>
      <c r="U253" s="90"/>
      <c r="V253" s="95" t="str">
        <f>HYPERLINK("https://pbs.twimg.com/profile_images/1481254747470503938/LyMAK7tR_normal.jpg")</f>
        <v>https://pbs.twimg.com/profile_images/1481254747470503938/LyMAK7tR_normal.jpg</v>
      </c>
      <c r="W253" s="93">
        <v>44578.56711805556</v>
      </c>
      <c r="X253" s="102">
        <v>44578</v>
      </c>
      <c r="Y253" s="97" t="s">
        <v>773</v>
      </c>
      <c r="Z253" s="95" t="str">
        <f>HYPERLINK("https://twitter.com/rvalinnut/status/1483070768149839875")</f>
        <v>https://twitter.com/rvalinnut/status/1483070768149839875</v>
      </c>
      <c r="AA253" s="90"/>
      <c r="AB253" s="90"/>
      <c r="AC253" s="97" t="s">
        <v>1014</v>
      </c>
      <c r="AD253" s="90"/>
      <c r="AE253" s="90" t="b">
        <v>0</v>
      </c>
      <c r="AF253" s="90">
        <v>0</v>
      </c>
      <c r="AG253" s="97" t="s">
        <v>1087</v>
      </c>
      <c r="AH253" s="90" t="b">
        <v>0</v>
      </c>
      <c r="AI253" s="90" t="s">
        <v>1127</v>
      </c>
      <c r="AJ253" s="90"/>
      <c r="AK253" s="97" t="s">
        <v>1087</v>
      </c>
      <c r="AL253" s="90" t="b">
        <v>0</v>
      </c>
      <c r="AM253" s="90">
        <v>31</v>
      </c>
      <c r="AN253" s="97" t="s">
        <v>1051</v>
      </c>
      <c r="AO253" s="97" t="s">
        <v>1132</v>
      </c>
      <c r="AP253" s="90" t="b">
        <v>0</v>
      </c>
      <c r="AQ253" s="97" t="s">
        <v>1051</v>
      </c>
      <c r="AR253" s="90" t="s">
        <v>178</v>
      </c>
      <c r="AS253" s="90">
        <v>0</v>
      </c>
      <c r="AT253" s="90">
        <v>0</v>
      </c>
      <c r="AU253" s="90"/>
      <c r="AV253" s="90"/>
      <c r="AW253" s="90"/>
      <c r="AX253" s="90"/>
      <c r="AY253" s="90"/>
      <c r="AZ253" s="90"/>
      <c r="BA253" s="90"/>
      <c r="BB253" s="90"/>
      <c r="BC253">
        <v>1</v>
      </c>
      <c r="BD253" s="89" t="str">
        <f>REPLACE(INDEX(GroupVertices[Group],MATCH(Edges[[#This Row],[Vertex 1]],GroupVertices[Vertex],0)),1,1,"")</f>
        <v>4</v>
      </c>
      <c r="BE253" s="89" t="str">
        <f>REPLACE(INDEX(GroupVertices[Group],MATCH(Edges[[#This Row],[Vertex 2]],GroupVertices[Vertex],0)),1,1,"")</f>
        <v>4</v>
      </c>
      <c r="BF253" s="49">
        <v>0</v>
      </c>
      <c r="BG253" s="50">
        <v>0</v>
      </c>
      <c r="BH253" s="49">
        <v>0</v>
      </c>
      <c r="BI253" s="50">
        <v>0</v>
      </c>
      <c r="BJ253" s="49">
        <v>0</v>
      </c>
      <c r="BK253" s="50">
        <v>0</v>
      </c>
      <c r="BL253" s="49">
        <v>24</v>
      </c>
      <c r="BM253" s="50">
        <v>100</v>
      </c>
      <c r="BN253" s="49">
        <v>24</v>
      </c>
    </row>
    <row r="254" spans="1:66" ht="15">
      <c r="A254" s="65" t="s">
        <v>379</v>
      </c>
      <c r="B254" s="65" t="s">
        <v>341</v>
      </c>
      <c r="C254" s="66" t="s">
        <v>4405</v>
      </c>
      <c r="D254" s="67">
        <v>1</v>
      </c>
      <c r="E254" s="68" t="s">
        <v>132</v>
      </c>
      <c r="F254" s="69">
        <v>32</v>
      </c>
      <c r="G254" s="66" t="s">
        <v>51</v>
      </c>
      <c r="H254" s="70"/>
      <c r="I254" s="71"/>
      <c r="J254" s="71"/>
      <c r="K254" s="35" t="s">
        <v>65</v>
      </c>
      <c r="L254" s="79">
        <v>254</v>
      </c>
      <c r="M254" s="79"/>
      <c r="N254" s="73"/>
      <c r="O254" s="90" t="s">
        <v>447</v>
      </c>
      <c r="P254" s="93">
        <v>44577.79871527778</v>
      </c>
      <c r="Q254" s="90" t="s">
        <v>514</v>
      </c>
      <c r="R254" s="90"/>
      <c r="S254" s="90"/>
      <c r="T254" s="90"/>
      <c r="U254" s="95" t="str">
        <f>HYPERLINK("https://pbs.twimg.com/media/FJPK-YrWUAYi1BM.jpg")</f>
        <v>https://pbs.twimg.com/media/FJPK-YrWUAYi1BM.jpg</v>
      </c>
      <c r="V254" s="95" t="str">
        <f>HYPERLINK("https://pbs.twimg.com/media/FJPK-YrWUAYi1BM.jpg")</f>
        <v>https://pbs.twimg.com/media/FJPK-YrWUAYi1BM.jpg</v>
      </c>
      <c r="W254" s="93">
        <v>44577.79871527778</v>
      </c>
      <c r="X254" s="102">
        <v>44577</v>
      </c>
      <c r="Y254" s="97" t="s">
        <v>774</v>
      </c>
      <c r="Z254" s="95" t="str">
        <f>HYPERLINK("https://twitter.com/minna_talvitie/status/1482792308445696006")</f>
        <v>https://twitter.com/minna_talvitie/status/1482792308445696006</v>
      </c>
      <c r="AA254" s="90"/>
      <c r="AB254" s="90"/>
      <c r="AC254" s="97" t="s">
        <v>1015</v>
      </c>
      <c r="AD254" s="90"/>
      <c r="AE254" s="90" t="b">
        <v>0</v>
      </c>
      <c r="AF254" s="90">
        <v>0</v>
      </c>
      <c r="AG254" s="97" t="s">
        <v>1087</v>
      </c>
      <c r="AH254" s="90" t="b">
        <v>0</v>
      </c>
      <c r="AI254" s="90" t="s">
        <v>1127</v>
      </c>
      <c r="AJ254" s="90"/>
      <c r="AK254" s="97" t="s">
        <v>1087</v>
      </c>
      <c r="AL254" s="90" t="b">
        <v>0</v>
      </c>
      <c r="AM254" s="90">
        <v>36</v>
      </c>
      <c r="AN254" s="97" t="s">
        <v>1040</v>
      </c>
      <c r="AO254" s="97" t="s">
        <v>1133</v>
      </c>
      <c r="AP254" s="90" t="b">
        <v>0</v>
      </c>
      <c r="AQ254" s="97" t="s">
        <v>1040</v>
      </c>
      <c r="AR254" s="90" t="s">
        <v>178</v>
      </c>
      <c r="AS254" s="90">
        <v>0</v>
      </c>
      <c r="AT254" s="90">
        <v>0</v>
      </c>
      <c r="AU254" s="90"/>
      <c r="AV254" s="90"/>
      <c r="AW254" s="90"/>
      <c r="AX254" s="90"/>
      <c r="AY254" s="90"/>
      <c r="AZ254" s="90"/>
      <c r="BA254" s="90"/>
      <c r="BB254" s="90"/>
      <c r="BC254">
        <v>1</v>
      </c>
      <c r="BD254" s="89" t="str">
        <f>REPLACE(INDEX(GroupVertices[Group],MATCH(Edges[[#This Row],[Vertex 1]],GroupVertices[Vertex],0)),1,1,"")</f>
        <v>4</v>
      </c>
      <c r="BE254" s="89" t="str">
        <f>REPLACE(INDEX(GroupVertices[Group],MATCH(Edges[[#This Row],[Vertex 2]],GroupVertices[Vertex],0)),1,1,"")</f>
        <v>1</v>
      </c>
      <c r="BF254" s="49">
        <v>0</v>
      </c>
      <c r="BG254" s="50">
        <v>0</v>
      </c>
      <c r="BH254" s="49">
        <v>0</v>
      </c>
      <c r="BI254" s="50">
        <v>0</v>
      </c>
      <c r="BJ254" s="49">
        <v>0</v>
      </c>
      <c r="BK254" s="50">
        <v>0</v>
      </c>
      <c r="BL254" s="49">
        <v>4</v>
      </c>
      <c r="BM254" s="50">
        <v>100</v>
      </c>
      <c r="BN254" s="49">
        <v>4</v>
      </c>
    </row>
    <row r="255" spans="1:66" ht="15">
      <c r="A255" s="65" t="s">
        <v>379</v>
      </c>
      <c r="B255" s="65" t="s">
        <v>403</v>
      </c>
      <c r="C255" s="66" t="s">
        <v>4405</v>
      </c>
      <c r="D255" s="67">
        <v>1</v>
      </c>
      <c r="E255" s="68" t="s">
        <v>132</v>
      </c>
      <c r="F255" s="69">
        <v>32</v>
      </c>
      <c r="G255" s="66" t="s">
        <v>51</v>
      </c>
      <c r="H255" s="70"/>
      <c r="I255" s="71"/>
      <c r="J255" s="71"/>
      <c r="K255" s="35" t="s">
        <v>65</v>
      </c>
      <c r="L255" s="79">
        <v>255</v>
      </c>
      <c r="M255" s="79"/>
      <c r="N255" s="73"/>
      <c r="O255" s="90" t="s">
        <v>447</v>
      </c>
      <c r="P255" s="93">
        <v>44578.56760416667</v>
      </c>
      <c r="Q255" s="90" t="s">
        <v>533</v>
      </c>
      <c r="R255" s="90"/>
      <c r="S255" s="90"/>
      <c r="T255" s="97" t="s">
        <v>570</v>
      </c>
      <c r="U255" s="90"/>
      <c r="V255" s="95" t="str">
        <f>HYPERLINK("https://pbs.twimg.com/profile_images/1039825278971854848/RYVE7XCF_normal.jpg")</f>
        <v>https://pbs.twimg.com/profile_images/1039825278971854848/RYVE7XCF_normal.jpg</v>
      </c>
      <c r="W255" s="93">
        <v>44578.56760416667</v>
      </c>
      <c r="X255" s="102">
        <v>44578</v>
      </c>
      <c r="Y255" s="97" t="s">
        <v>775</v>
      </c>
      <c r="Z255" s="95" t="str">
        <f>HYPERLINK("https://twitter.com/minna_talvitie/status/1483070944268767232")</f>
        <v>https://twitter.com/minna_talvitie/status/1483070944268767232</v>
      </c>
      <c r="AA255" s="90"/>
      <c r="AB255" s="90"/>
      <c r="AC255" s="97" t="s">
        <v>1016</v>
      </c>
      <c r="AD255" s="90"/>
      <c r="AE255" s="90" t="b">
        <v>0</v>
      </c>
      <c r="AF255" s="90">
        <v>0</v>
      </c>
      <c r="AG255" s="97" t="s">
        <v>1087</v>
      </c>
      <c r="AH255" s="90" t="b">
        <v>0</v>
      </c>
      <c r="AI255" s="90" t="s">
        <v>1127</v>
      </c>
      <c r="AJ255" s="90"/>
      <c r="AK255" s="97" t="s">
        <v>1087</v>
      </c>
      <c r="AL255" s="90" t="b">
        <v>0</v>
      </c>
      <c r="AM255" s="90">
        <v>31</v>
      </c>
      <c r="AN255" s="97" t="s">
        <v>1051</v>
      </c>
      <c r="AO255" s="97" t="s">
        <v>1133</v>
      </c>
      <c r="AP255" s="90" t="b">
        <v>0</v>
      </c>
      <c r="AQ255" s="97" t="s">
        <v>1051</v>
      </c>
      <c r="AR255" s="90" t="s">
        <v>178</v>
      </c>
      <c r="AS255" s="90">
        <v>0</v>
      </c>
      <c r="AT255" s="90">
        <v>0</v>
      </c>
      <c r="AU255" s="90"/>
      <c r="AV255" s="90"/>
      <c r="AW255" s="90"/>
      <c r="AX255" s="90"/>
      <c r="AY255" s="90"/>
      <c r="AZ255" s="90"/>
      <c r="BA255" s="90"/>
      <c r="BB255" s="90"/>
      <c r="BC255">
        <v>1</v>
      </c>
      <c r="BD255" s="89" t="str">
        <f>REPLACE(INDEX(GroupVertices[Group],MATCH(Edges[[#This Row],[Vertex 1]],GroupVertices[Vertex],0)),1,1,"")</f>
        <v>4</v>
      </c>
      <c r="BE255" s="89" t="str">
        <f>REPLACE(INDEX(GroupVertices[Group],MATCH(Edges[[#This Row],[Vertex 2]],GroupVertices[Vertex],0)),1,1,"")</f>
        <v>4</v>
      </c>
      <c r="BF255" s="49">
        <v>0</v>
      </c>
      <c r="BG255" s="50">
        <v>0</v>
      </c>
      <c r="BH255" s="49">
        <v>0</v>
      </c>
      <c r="BI255" s="50">
        <v>0</v>
      </c>
      <c r="BJ255" s="49">
        <v>0</v>
      </c>
      <c r="BK255" s="50">
        <v>0</v>
      </c>
      <c r="BL255" s="49">
        <v>24</v>
      </c>
      <c r="BM255" s="50">
        <v>100</v>
      </c>
      <c r="BN255" s="49">
        <v>24</v>
      </c>
    </row>
    <row r="256" spans="1:66" ht="15">
      <c r="A256" s="65" t="s">
        <v>380</v>
      </c>
      <c r="B256" s="65" t="s">
        <v>446</v>
      </c>
      <c r="C256" s="66" t="s">
        <v>4405</v>
      </c>
      <c r="D256" s="67">
        <v>1</v>
      </c>
      <c r="E256" s="68" t="s">
        <v>132</v>
      </c>
      <c r="F256" s="69">
        <v>32</v>
      </c>
      <c r="G256" s="66" t="s">
        <v>51</v>
      </c>
      <c r="H256" s="70"/>
      <c r="I256" s="71"/>
      <c r="J256" s="71"/>
      <c r="K256" s="35" t="s">
        <v>65</v>
      </c>
      <c r="L256" s="79">
        <v>256</v>
      </c>
      <c r="M256" s="79"/>
      <c r="N256" s="73"/>
      <c r="O256" s="90" t="s">
        <v>448</v>
      </c>
      <c r="P256" s="93">
        <v>44578.56884259259</v>
      </c>
      <c r="Q256" s="90" t="s">
        <v>540</v>
      </c>
      <c r="R256" s="90"/>
      <c r="S256" s="90"/>
      <c r="T256" s="90"/>
      <c r="U256" s="90"/>
      <c r="V256" s="95" t="str">
        <f>HYPERLINK("https://pbs.twimg.com/profile_images/1480471113218068485/A3bUPSyV_normal.png")</f>
        <v>https://pbs.twimg.com/profile_images/1480471113218068485/A3bUPSyV_normal.png</v>
      </c>
      <c r="W256" s="93">
        <v>44578.56884259259</v>
      </c>
      <c r="X256" s="102">
        <v>44578</v>
      </c>
      <c r="Y256" s="97" t="s">
        <v>776</v>
      </c>
      <c r="Z256" s="95" t="str">
        <f>HYPERLINK("https://twitter.com/vilenaila/status/1483071391041785863")</f>
        <v>https://twitter.com/vilenaila/status/1483071391041785863</v>
      </c>
      <c r="AA256" s="90"/>
      <c r="AB256" s="90"/>
      <c r="AC256" s="97" t="s">
        <v>1017</v>
      </c>
      <c r="AD256" s="97" t="s">
        <v>1085</v>
      </c>
      <c r="AE256" s="90" t="b">
        <v>0</v>
      </c>
      <c r="AF256" s="90">
        <v>1</v>
      </c>
      <c r="AG256" s="97" t="s">
        <v>1126</v>
      </c>
      <c r="AH256" s="90" t="b">
        <v>0</v>
      </c>
      <c r="AI256" s="90" t="s">
        <v>1127</v>
      </c>
      <c r="AJ256" s="90"/>
      <c r="AK256" s="97" t="s">
        <v>1087</v>
      </c>
      <c r="AL256" s="90" t="b">
        <v>0</v>
      </c>
      <c r="AM256" s="90">
        <v>0</v>
      </c>
      <c r="AN256" s="97" t="s">
        <v>1087</v>
      </c>
      <c r="AO256" s="97" t="s">
        <v>1133</v>
      </c>
      <c r="AP256" s="90" t="b">
        <v>0</v>
      </c>
      <c r="AQ256" s="97" t="s">
        <v>1085</v>
      </c>
      <c r="AR256" s="90" t="s">
        <v>178</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18</v>
      </c>
      <c r="BM256" s="50">
        <v>100</v>
      </c>
      <c r="BN256" s="49">
        <v>18</v>
      </c>
    </row>
    <row r="257" spans="1:66" ht="15">
      <c r="A257" s="65" t="s">
        <v>380</v>
      </c>
      <c r="B257" s="65" t="s">
        <v>384</v>
      </c>
      <c r="C257" s="66" t="s">
        <v>4405</v>
      </c>
      <c r="D257" s="67">
        <v>1</v>
      </c>
      <c r="E257" s="68" t="s">
        <v>132</v>
      </c>
      <c r="F257" s="69">
        <v>32</v>
      </c>
      <c r="G257" s="66" t="s">
        <v>51</v>
      </c>
      <c r="H257" s="70"/>
      <c r="I257" s="71"/>
      <c r="J257" s="71"/>
      <c r="K257" s="35" t="s">
        <v>65</v>
      </c>
      <c r="L257" s="79">
        <v>257</v>
      </c>
      <c r="M257" s="79"/>
      <c r="N257" s="73"/>
      <c r="O257" s="90" t="s">
        <v>448</v>
      </c>
      <c r="P257" s="93">
        <v>44576.65216435185</v>
      </c>
      <c r="Q257" s="90" t="s">
        <v>541</v>
      </c>
      <c r="R257" s="90"/>
      <c r="S257" s="90"/>
      <c r="T257" s="90"/>
      <c r="U257" s="90"/>
      <c r="V257" s="95" t="str">
        <f>HYPERLINK("https://pbs.twimg.com/profile_images/1480471113218068485/A3bUPSyV_normal.png")</f>
        <v>https://pbs.twimg.com/profile_images/1480471113218068485/A3bUPSyV_normal.png</v>
      </c>
      <c r="W257" s="93">
        <v>44576.65216435185</v>
      </c>
      <c r="X257" s="102">
        <v>44576</v>
      </c>
      <c r="Y257" s="97" t="s">
        <v>777</v>
      </c>
      <c r="Z257" s="95" t="str">
        <f>HYPERLINK("https://twitter.com/vilenaila/status/1482376810889367555")</f>
        <v>https://twitter.com/vilenaila/status/1482376810889367555</v>
      </c>
      <c r="AA257" s="90"/>
      <c r="AB257" s="90"/>
      <c r="AC257" s="97" t="s">
        <v>1018</v>
      </c>
      <c r="AD257" s="97" t="s">
        <v>1086</v>
      </c>
      <c r="AE257" s="90" t="b">
        <v>0</v>
      </c>
      <c r="AF257" s="90">
        <v>0</v>
      </c>
      <c r="AG257" s="97" t="s">
        <v>1089</v>
      </c>
      <c r="AH257" s="90" t="b">
        <v>0</v>
      </c>
      <c r="AI257" s="90" t="s">
        <v>1127</v>
      </c>
      <c r="AJ257" s="90"/>
      <c r="AK257" s="97" t="s">
        <v>1087</v>
      </c>
      <c r="AL257" s="90" t="b">
        <v>0</v>
      </c>
      <c r="AM257" s="90">
        <v>0</v>
      </c>
      <c r="AN257" s="97" t="s">
        <v>1087</v>
      </c>
      <c r="AO257" s="97" t="s">
        <v>1133</v>
      </c>
      <c r="AP257" s="90" t="b">
        <v>0</v>
      </c>
      <c r="AQ257" s="97" t="s">
        <v>1086</v>
      </c>
      <c r="AR257" s="90" t="s">
        <v>178</v>
      </c>
      <c r="AS257" s="90">
        <v>0</v>
      </c>
      <c r="AT257" s="90">
        <v>0</v>
      </c>
      <c r="AU257" s="90"/>
      <c r="AV257" s="90"/>
      <c r="AW257" s="90"/>
      <c r="AX257" s="90"/>
      <c r="AY257" s="90"/>
      <c r="AZ257" s="90"/>
      <c r="BA257" s="90"/>
      <c r="BB257" s="90"/>
      <c r="BC257">
        <v>1</v>
      </c>
      <c r="BD257" s="89" t="str">
        <f>REPLACE(INDEX(GroupVertices[Group],MATCH(Edges[[#This Row],[Vertex 1]],GroupVertices[Vertex],0)),1,1,"")</f>
        <v>2</v>
      </c>
      <c r="BE257" s="89" t="str">
        <f>REPLACE(INDEX(GroupVertices[Group],MATCH(Edges[[#This Row],[Vertex 2]],GroupVertices[Vertex],0)),1,1,"")</f>
        <v>2</v>
      </c>
      <c r="BF257" s="49">
        <v>0</v>
      </c>
      <c r="BG257" s="50">
        <v>0</v>
      </c>
      <c r="BH257" s="49">
        <v>0</v>
      </c>
      <c r="BI257" s="50">
        <v>0</v>
      </c>
      <c r="BJ257" s="49">
        <v>0</v>
      </c>
      <c r="BK257" s="50">
        <v>0</v>
      </c>
      <c r="BL257" s="49">
        <v>6</v>
      </c>
      <c r="BM257" s="50">
        <v>100</v>
      </c>
      <c r="BN257" s="49">
        <v>6</v>
      </c>
    </row>
    <row r="258" spans="1:66" ht="15">
      <c r="A258" s="65" t="s">
        <v>381</v>
      </c>
      <c r="B258" s="65" t="s">
        <v>403</v>
      </c>
      <c r="C258" s="66" t="s">
        <v>4405</v>
      </c>
      <c r="D258" s="67">
        <v>1</v>
      </c>
      <c r="E258" s="68" t="s">
        <v>132</v>
      </c>
      <c r="F258" s="69">
        <v>32</v>
      </c>
      <c r="G258" s="66" t="s">
        <v>51</v>
      </c>
      <c r="H258" s="70"/>
      <c r="I258" s="71"/>
      <c r="J258" s="71"/>
      <c r="K258" s="35" t="s">
        <v>65</v>
      </c>
      <c r="L258" s="79">
        <v>258</v>
      </c>
      <c r="M258" s="79"/>
      <c r="N258" s="73"/>
      <c r="O258" s="90" t="s">
        <v>447</v>
      </c>
      <c r="P258" s="93">
        <v>44578.57324074074</v>
      </c>
      <c r="Q258" s="90" t="s">
        <v>533</v>
      </c>
      <c r="R258" s="90"/>
      <c r="S258" s="90"/>
      <c r="T258" s="97" t="s">
        <v>570</v>
      </c>
      <c r="U258" s="90"/>
      <c r="V258" s="95" t="str">
        <f>HYPERLINK("https://pbs.twimg.com/profile_images/1455651929644838917/WEjwVKg1_normal.jpg")</f>
        <v>https://pbs.twimg.com/profile_images/1455651929644838917/WEjwVKg1_normal.jpg</v>
      </c>
      <c r="W258" s="93">
        <v>44578.57324074074</v>
      </c>
      <c r="X258" s="102">
        <v>44578</v>
      </c>
      <c r="Y258" s="97" t="s">
        <v>778</v>
      </c>
      <c r="Z258" s="95" t="str">
        <f>HYPERLINK("https://twitter.com/mpbacardinen/status/1483072984835399680")</f>
        <v>https://twitter.com/mpbacardinen/status/1483072984835399680</v>
      </c>
      <c r="AA258" s="90"/>
      <c r="AB258" s="90"/>
      <c r="AC258" s="97" t="s">
        <v>1019</v>
      </c>
      <c r="AD258" s="90"/>
      <c r="AE258" s="90" t="b">
        <v>0</v>
      </c>
      <c r="AF258" s="90">
        <v>0</v>
      </c>
      <c r="AG258" s="97" t="s">
        <v>1087</v>
      </c>
      <c r="AH258" s="90" t="b">
        <v>0</v>
      </c>
      <c r="AI258" s="90" t="s">
        <v>1127</v>
      </c>
      <c r="AJ258" s="90"/>
      <c r="AK258" s="97" t="s">
        <v>1087</v>
      </c>
      <c r="AL258" s="90" t="b">
        <v>0</v>
      </c>
      <c r="AM258" s="90">
        <v>31</v>
      </c>
      <c r="AN258" s="97" t="s">
        <v>1051</v>
      </c>
      <c r="AO258" s="97" t="s">
        <v>1132</v>
      </c>
      <c r="AP258" s="90" t="b">
        <v>0</v>
      </c>
      <c r="AQ258" s="97" t="s">
        <v>1051</v>
      </c>
      <c r="AR258" s="90" t="s">
        <v>178</v>
      </c>
      <c r="AS258" s="90">
        <v>0</v>
      </c>
      <c r="AT258" s="90">
        <v>0</v>
      </c>
      <c r="AU258" s="90"/>
      <c r="AV258" s="90"/>
      <c r="AW258" s="90"/>
      <c r="AX258" s="90"/>
      <c r="AY258" s="90"/>
      <c r="AZ258" s="90"/>
      <c r="BA258" s="90"/>
      <c r="BB258" s="90"/>
      <c r="BC258">
        <v>1</v>
      </c>
      <c r="BD258" s="89" t="str">
        <f>REPLACE(INDEX(GroupVertices[Group],MATCH(Edges[[#This Row],[Vertex 1]],GroupVertices[Vertex],0)),1,1,"")</f>
        <v>4</v>
      </c>
      <c r="BE258" s="89" t="str">
        <f>REPLACE(INDEX(GroupVertices[Group],MATCH(Edges[[#This Row],[Vertex 2]],GroupVertices[Vertex],0)),1,1,"")</f>
        <v>4</v>
      </c>
      <c r="BF258" s="49">
        <v>0</v>
      </c>
      <c r="BG258" s="50">
        <v>0</v>
      </c>
      <c r="BH258" s="49">
        <v>0</v>
      </c>
      <c r="BI258" s="50">
        <v>0</v>
      </c>
      <c r="BJ258" s="49">
        <v>0</v>
      </c>
      <c r="BK258" s="50">
        <v>0</v>
      </c>
      <c r="BL258" s="49">
        <v>24</v>
      </c>
      <c r="BM258" s="50">
        <v>100</v>
      </c>
      <c r="BN258" s="49">
        <v>24</v>
      </c>
    </row>
    <row r="259" spans="1:66" ht="15">
      <c r="A259" s="65" t="s">
        <v>382</v>
      </c>
      <c r="B259" s="65" t="s">
        <v>444</v>
      </c>
      <c r="C259" s="66" t="s">
        <v>4405</v>
      </c>
      <c r="D259" s="67">
        <v>1</v>
      </c>
      <c r="E259" s="68" t="s">
        <v>132</v>
      </c>
      <c r="F259" s="69">
        <v>32</v>
      </c>
      <c r="G259" s="66" t="s">
        <v>51</v>
      </c>
      <c r="H259" s="70"/>
      <c r="I259" s="71"/>
      <c r="J259" s="71"/>
      <c r="K259" s="35" t="s">
        <v>65</v>
      </c>
      <c r="L259" s="79">
        <v>259</v>
      </c>
      <c r="M259" s="79"/>
      <c r="N259" s="73"/>
      <c r="O259" s="90" t="s">
        <v>448</v>
      </c>
      <c r="P259" s="93">
        <v>44578.519421296296</v>
      </c>
      <c r="Q259" s="90" t="s">
        <v>542</v>
      </c>
      <c r="R259" s="90"/>
      <c r="S259" s="90"/>
      <c r="T259" s="90"/>
      <c r="U259" s="90"/>
      <c r="V259" s="95" t="str">
        <f>HYPERLINK("https://pbs.twimg.com/profile_images/1483054269024591877/9c6LFl1r_normal.jpg")</f>
        <v>https://pbs.twimg.com/profile_images/1483054269024591877/9c6LFl1r_normal.jpg</v>
      </c>
      <c r="W259" s="93">
        <v>44578.519421296296</v>
      </c>
      <c r="X259" s="102">
        <v>44578</v>
      </c>
      <c r="Y259" s="97" t="s">
        <v>779</v>
      </c>
      <c r="Z259" s="95" t="str">
        <f>HYPERLINK("https://twitter.com/tulkuttaja/status/1483053480118042628")</f>
        <v>https://twitter.com/tulkuttaja/status/1483053480118042628</v>
      </c>
      <c r="AA259" s="90"/>
      <c r="AB259" s="90"/>
      <c r="AC259" s="97" t="s">
        <v>1020</v>
      </c>
      <c r="AD259" s="97" t="s">
        <v>1083</v>
      </c>
      <c r="AE259" s="90" t="b">
        <v>0</v>
      </c>
      <c r="AF259" s="90">
        <v>18</v>
      </c>
      <c r="AG259" s="97" t="s">
        <v>1124</v>
      </c>
      <c r="AH259" s="90" t="b">
        <v>0</v>
      </c>
      <c r="AI259" s="90" t="s">
        <v>1127</v>
      </c>
      <c r="AJ259" s="90"/>
      <c r="AK259" s="97" t="s">
        <v>1087</v>
      </c>
      <c r="AL259" s="90" t="b">
        <v>0</v>
      </c>
      <c r="AM259" s="90">
        <v>1</v>
      </c>
      <c r="AN259" s="97" t="s">
        <v>1087</v>
      </c>
      <c r="AO259" s="97" t="s">
        <v>1132</v>
      </c>
      <c r="AP259" s="90" t="b">
        <v>0</v>
      </c>
      <c r="AQ259" s="97" t="s">
        <v>1083</v>
      </c>
      <c r="AR259" s="90" t="s">
        <v>178</v>
      </c>
      <c r="AS259" s="90">
        <v>0</v>
      </c>
      <c r="AT259" s="90">
        <v>0</v>
      </c>
      <c r="AU259" s="90"/>
      <c r="AV259" s="90"/>
      <c r="AW259" s="90"/>
      <c r="AX259" s="90"/>
      <c r="AY259" s="90"/>
      <c r="AZ259" s="90"/>
      <c r="BA259" s="90"/>
      <c r="BB259" s="90"/>
      <c r="BC259">
        <v>1</v>
      </c>
      <c r="BD259" s="89" t="str">
        <f>REPLACE(INDEX(GroupVertices[Group],MATCH(Edges[[#This Row],[Vertex 1]],GroupVertices[Vertex],0)),1,1,"")</f>
        <v>9</v>
      </c>
      <c r="BE259" s="89" t="str">
        <f>REPLACE(INDEX(GroupVertices[Group],MATCH(Edges[[#This Row],[Vertex 2]],GroupVertices[Vertex],0)),1,1,"")</f>
        <v>9</v>
      </c>
      <c r="BF259" s="49">
        <v>0</v>
      </c>
      <c r="BG259" s="50">
        <v>0</v>
      </c>
      <c r="BH259" s="49">
        <v>0</v>
      </c>
      <c r="BI259" s="50">
        <v>0</v>
      </c>
      <c r="BJ259" s="49">
        <v>0</v>
      </c>
      <c r="BK259" s="50">
        <v>0</v>
      </c>
      <c r="BL259" s="49">
        <v>16</v>
      </c>
      <c r="BM259" s="50">
        <v>100</v>
      </c>
      <c r="BN259" s="49">
        <v>16</v>
      </c>
    </row>
    <row r="260" spans="1:66" ht="15">
      <c r="A260" s="65" t="s">
        <v>383</v>
      </c>
      <c r="B260" s="65" t="s">
        <v>382</v>
      </c>
      <c r="C260" s="66" t="s">
        <v>4405</v>
      </c>
      <c r="D260" s="67">
        <v>1</v>
      </c>
      <c r="E260" s="68" t="s">
        <v>132</v>
      </c>
      <c r="F260" s="69">
        <v>32</v>
      </c>
      <c r="G260" s="66" t="s">
        <v>51</v>
      </c>
      <c r="H260" s="70"/>
      <c r="I260" s="71"/>
      <c r="J260" s="71"/>
      <c r="K260" s="35" t="s">
        <v>65</v>
      </c>
      <c r="L260" s="79">
        <v>260</v>
      </c>
      <c r="M260" s="79"/>
      <c r="N260" s="73"/>
      <c r="O260" s="90" t="s">
        <v>447</v>
      </c>
      <c r="P260" s="93">
        <v>44578.57822916667</v>
      </c>
      <c r="Q260" s="90" t="s">
        <v>542</v>
      </c>
      <c r="R260" s="90"/>
      <c r="S260" s="90"/>
      <c r="T260" s="90"/>
      <c r="U260" s="90"/>
      <c r="V260" s="95" t="str">
        <f>HYPERLINK("https://pbs.twimg.com/profile_images/1480228579808002059/UZv9Fp9K_normal.jpg")</f>
        <v>https://pbs.twimg.com/profile_images/1480228579808002059/UZv9Fp9K_normal.jpg</v>
      </c>
      <c r="W260" s="93">
        <v>44578.57822916667</v>
      </c>
      <c r="X260" s="102">
        <v>44578</v>
      </c>
      <c r="Y260" s="97" t="s">
        <v>780</v>
      </c>
      <c r="Z260" s="95" t="str">
        <f>HYPERLINK("https://twitter.com/jarvinen79/status/1483074791045279744")</f>
        <v>https://twitter.com/jarvinen79/status/1483074791045279744</v>
      </c>
      <c r="AA260" s="90"/>
      <c r="AB260" s="90"/>
      <c r="AC260" s="97" t="s">
        <v>1021</v>
      </c>
      <c r="AD260" s="90"/>
      <c r="AE260" s="90" t="b">
        <v>0</v>
      </c>
      <c r="AF260" s="90">
        <v>0</v>
      </c>
      <c r="AG260" s="97" t="s">
        <v>1087</v>
      </c>
      <c r="AH260" s="90" t="b">
        <v>0</v>
      </c>
      <c r="AI260" s="90" t="s">
        <v>1127</v>
      </c>
      <c r="AJ260" s="90"/>
      <c r="AK260" s="97" t="s">
        <v>1087</v>
      </c>
      <c r="AL260" s="90" t="b">
        <v>0</v>
      </c>
      <c r="AM260" s="90">
        <v>1</v>
      </c>
      <c r="AN260" s="97" t="s">
        <v>1020</v>
      </c>
      <c r="AO260" s="97" t="s">
        <v>1132</v>
      </c>
      <c r="AP260" s="90" t="b">
        <v>0</v>
      </c>
      <c r="AQ260" s="97" t="s">
        <v>1020</v>
      </c>
      <c r="AR260" s="90" t="s">
        <v>178</v>
      </c>
      <c r="AS260" s="90">
        <v>0</v>
      </c>
      <c r="AT260" s="90">
        <v>0</v>
      </c>
      <c r="AU260" s="90"/>
      <c r="AV260" s="90"/>
      <c r="AW260" s="90"/>
      <c r="AX260" s="90"/>
      <c r="AY260" s="90"/>
      <c r="AZ260" s="90"/>
      <c r="BA260" s="90"/>
      <c r="BB260" s="90"/>
      <c r="BC260">
        <v>1</v>
      </c>
      <c r="BD260" s="89" t="str">
        <f>REPLACE(INDEX(GroupVertices[Group],MATCH(Edges[[#This Row],[Vertex 1]],GroupVertices[Vertex],0)),1,1,"")</f>
        <v>9</v>
      </c>
      <c r="BE260" s="89" t="str">
        <f>REPLACE(INDEX(GroupVertices[Group],MATCH(Edges[[#This Row],[Vertex 2]],GroupVertices[Vertex],0)),1,1,"")</f>
        <v>9</v>
      </c>
      <c r="BF260" s="49"/>
      <c r="BG260" s="50"/>
      <c r="BH260" s="49"/>
      <c r="BI260" s="50"/>
      <c r="BJ260" s="49"/>
      <c r="BK260" s="50"/>
      <c r="BL260" s="49"/>
      <c r="BM260" s="50"/>
      <c r="BN260" s="49"/>
    </row>
    <row r="261" spans="1:66" ht="15">
      <c r="A261" s="65" t="s">
        <v>383</v>
      </c>
      <c r="B261" s="65" t="s">
        <v>444</v>
      </c>
      <c r="C261" s="66" t="s">
        <v>4405</v>
      </c>
      <c r="D261" s="67">
        <v>1</v>
      </c>
      <c r="E261" s="68" t="s">
        <v>132</v>
      </c>
      <c r="F261" s="69">
        <v>32</v>
      </c>
      <c r="G261" s="66" t="s">
        <v>51</v>
      </c>
      <c r="H261" s="70"/>
      <c r="I261" s="71"/>
      <c r="J261" s="71"/>
      <c r="K261" s="35" t="s">
        <v>65</v>
      </c>
      <c r="L261" s="79">
        <v>261</v>
      </c>
      <c r="M261" s="79"/>
      <c r="N261" s="73"/>
      <c r="O261" s="90" t="s">
        <v>448</v>
      </c>
      <c r="P261" s="93">
        <v>44578.57822916667</v>
      </c>
      <c r="Q261" s="90" t="s">
        <v>542</v>
      </c>
      <c r="R261" s="90"/>
      <c r="S261" s="90"/>
      <c r="T261" s="90"/>
      <c r="U261" s="90"/>
      <c r="V261" s="95" t="str">
        <f>HYPERLINK("https://pbs.twimg.com/profile_images/1480228579808002059/UZv9Fp9K_normal.jpg")</f>
        <v>https://pbs.twimg.com/profile_images/1480228579808002059/UZv9Fp9K_normal.jpg</v>
      </c>
      <c r="W261" s="93">
        <v>44578.57822916667</v>
      </c>
      <c r="X261" s="102">
        <v>44578</v>
      </c>
      <c r="Y261" s="97" t="s">
        <v>780</v>
      </c>
      <c r="Z261" s="95" t="str">
        <f>HYPERLINK("https://twitter.com/jarvinen79/status/1483074791045279744")</f>
        <v>https://twitter.com/jarvinen79/status/1483074791045279744</v>
      </c>
      <c r="AA261" s="90"/>
      <c r="AB261" s="90"/>
      <c r="AC261" s="97" t="s">
        <v>1021</v>
      </c>
      <c r="AD261" s="90"/>
      <c r="AE261" s="90" t="b">
        <v>0</v>
      </c>
      <c r="AF261" s="90">
        <v>0</v>
      </c>
      <c r="AG261" s="97" t="s">
        <v>1087</v>
      </c>
      <c r="AH261" s="90" t="b">
        <v>0</v>
      </c>
      <c r="AI261" s="90" t="s">
        <v>1127</v>
      </c>
      <c r="AJ261" s="90"/>
      <c r="AK261" s="97" t="s">
        <v>1087</v>
      </c>
      <c r="AL261" s="90" t="b">
        <v>0</v>
      </c>
      <c r="AM261" s="90">
        <v>1</v>
      </c>
      <c r="AN261" s="97" t="s">
        <v>1020</v>
      </c>
      <c r="AO261" s="97" t="s">
        <v>1132</v>
      </c>
      <c r="AP261" s="90" t="b">
        <v>0</v>
      </c>
      <c r="AQ261" s="97" t="s">
        <v>1020</v>
      </c>
      <c r="AR261" s="90" t="s">
        <v>178</v>
      </c>
      <c r="AS261" s="90">
        <v>0</v>
      </c>
      <c r="AT261" s="90">
        <v>0</v>
      </c>
      <c r="AU261" s="90"/>
      <c r="AV261" s="90"/>
      <c r="AW261" s="90"/>
      <c r="AX261" s="90"/>
      <c r="AY261" s="90"/>
      <c r="AZ261" s="90"/>
      <c r="BA261" s="90"/>
      <c r="BB261" s="90"/>
      <c r="BC261">
        <v>1</v>
      </c>
      <c r="BD261" s="89" t="str">
        <f>REPLACE(INDEX(GroupVertices[Group],MATCH(Edges[[#This Row],[Vertex 1]],GroupVertices[Vertex],0)),1,1,"")</f>
        <v>9</v>
      </c>
      <c r="BE261" s="89" t="str">
        <f>REPLACE(INDEX(GroupVertices[Group],MATCH(Edges[[#This Row],[Vertex 2]],GroupVertices[Vertex],0)),1,1,"")</f>
        <v>9</v>
      </c>
      <c r="BF261" s="49">
        <v>0</v>
      </c>
      <c r="BG261" s="50">
        <v>0</v>
      </c>
      <c r="BH261" s="49">
        <v>0</v>
      </c>
      <c r="BI261" s="50">
        <v>0</v>
      </c>
      <c r="BJ261" s="49">
        <v>0</v>
      </c>
      <c r="BK261" s="50">
        <v>0</v>
      </c>
      <c r="BL261" s="49">
        <v>16</v>
      </c>
      <c r="BM261" s="50">
        <v>100</v>
      </c>
      <c r="BN261" s="49">
        <v>16</v>
      </c>
    </row>
    <row r="262" spans="1:66" ht="15">
      <c r="A262" s="65" t="s">
        <v>384</v>
      </c>
      <c r="B262" s="65" t="s">
        <v>384</v>
      </c>
      <c r="C262" s="66" t="s">
        <v>4405</v>
      </c>
      <c r="D262" s="67">
        <v>1</v>
      </c>
      <c r="E262" s="68" t="s">
        <v>132</v>
      </c>
      <c r="F262" s="69">
        <v>32</v>
      </c>
      <c r="G262" s="66" t="s">
        <v>51</v>
      </c>
      <c r="H262" s="70"/>
      <c r="I262" s="71"/>
      <c r="J262" s="71"/>
      <c r="K262" s="35" t="s">
        <v>65</v>
      </c>
      <c r="L262" s="79">
        <v>262</v>
      </c>
      <c r="M262" s="79"/>
      <c r="N262" s="73"/>
      <c r="O262" s="90" t="s">
        <v>178</v>
      </c>
      <c r="P262" s="93">
        <v>44575.594618055555</v>
      </c>
      <c r="Q262" s="90" t="s">
        <v>452</v>
      </c>
      <c r="R262" s="90"/>
      <c r="S262" s="90"/>
      <c r="T262" s="90"/>
      <c r="U262" s="95" t="str">
        <f>HYPERLINK("https://pbs.twimg.com/media/FJEZSt6WYAQW_i_.jpg")</f>
        <v>https://pbs.twimg.com/media/FJEZSt6WYAQW_i_.jpg</v>
      </c>
      <c r="V262" s="95" t="str">
        <f>HYPERLINK("https://pbs.twimg.com/media/FJEZSt6WYAQW_i_.jpg")</f>
        <v>https://pbs.twimg.com/media/FJEZSt6WYAQW_i_.jpg</v>
      </c>
      <c r="W262" s="93">
        <v>44575.594618055555</v>
      </c>
      <c r="X262" s="102">
        <v>44575</v>
      </c>
      <c r="Y262" s="97" t="s">
        <v>781</v>
      </c>
      <c r="Z262" s="95" t="str">
        <f>HYPERLINK("https://twitter.com/jani_ketola/status/1481993569539874819")</f>
        <v>https://twitter.com/jani_ketola/status/1481993569539874819</v>
      </c>
      <c r="AA262" s="90"/>
      <c r="AB262" s="90"/>
      <c r="AC262" s="97" t="s">
        <v>1022</v>
      </c>
      <c r="AD262" s="90"/>
      <c r="AE262" s="90" t="b">
        <v>0</v>
      </c>
      <c r="AF262" s="90">
        <v>339</v>
      </c>
      <c r="AG262" s="97" t="s">
        <v>1087</v>
      </c>
      <c r="AH262" s="90" t="b">
        <v>0</v>
      </c>
      <c r="AI262" s="90" t="s">
        <v>1127</v>
      </c>
      <c r="AJ262" s="90"/>
      <c r="AK262" s="97" t="s">
        <v>1087</v>
      </c>
      <c r="AL262" s="90" t="b">
        <v>0</v>
      </c>
      <c r="AM262" s="90">
        <v>33</v>
      </c>
      <c r="AN262" s="97" t="s">
        <v>1087</v>
      </c>
      <c r="AO262" s="97" t="s">
        <v>1132</v>
      </c>
      <c r="AP262" s="90" t="b">
        <v>0</v>
      </c>
      <c r="AQ262" s="97" t="s">
        <v>1022</v>
      </c>
      <c r="AR262" s="90" t="s">
        <v>178</v>
      </c>
      <c r="AS262" s="90">
        <v>0</v>
      </c>
      <c r="AT262" s="90">
        <v>0</v>
      </c>
      <c r="AU262" s="90"/>
      <c r="AV262" s="90"/>
      <c r="AW262" s="90"/>
      <c r="AX262" s="90"/>
      <c r="AY262" s="90"/>
      <c r="AZ262" s="90"/>
      <c r="BA262" s="90"/>
      <c r="BB262" s="90"/>
      <c r="BC262">
        <v>1</v>
      </c>
      <c r="BD262" s="89" t="str">
        <f>REPLACE(INDEX(GroupVertices[Group],MATCH(Edges[[#This Row],[Vertex 1]],GroupVertices[Vertex],0)),1,1,"")</f>
        <v>2</v>
      </c>
      <c r="BE262" s="89" t="str">
        <f>REPLACE(INDEX(GroupVertices[Group],MATCH(Edges[[#This Row],[Vertex 2]],GroupVertices[Vertex],0)),1,1,"")</f>
        <v>2</v>
      </c>
      <c r="BF262" s="49">
        <v>0</v>
      </c>
      <c r="BG262" s="50">
        <v>0</v>
      </c>
      <c r="BH262" s="49">
        <v>0</v>
      </c>
      <c r="BI262" s="50">
        <v>0</v>
      </c>
      <c r="BJ262" s="49">
        <v>0</v>
      </c>
      <c r="BK262" s="50">
        <v>0</v>
      </c>
      <c r="BL262" s="49">
        <v>24</v>
      </c>
      <c r="BM262" s="50">
        <v>100</v>
      </c>
      <c r="BN262" s="49">
        <v>24</v>
      </c>
    </row>
    <row r="263" spans="1:66" ht="15">
      <c r="A263" s="65" t="s">
        <v>385</v>
      </c>
      <c r="B263" s="65" t="s">
        <v>384</v>
      </c>
      <c r="C263" s="66" t="s">
        <v>4405</v>
      </c>
      <c r="D263" s="67">
        <v>1</v>
      </c>
      <c r="E263" s="68" t="s">
        <v>132</v>
      </c>
      <c r="F263" s="69">
        <v>32</v>
      </c>
      <c r="G263" s="66" t="s">
        <v>51</v>
      </c>
      <c r="H263" s="70"/>
      <c r="I263" s="71"/>
      <c r="J263" s="71"/>
      <c r="K263" s="35" t="s">
        <v>65</v>
      </c>
      <c r="L263" s="79">
        <v>263</v>
      </c>
      <c r="M263" s="79"/>
      <c r="N263" s="73"/>
      <c r="O263" s="90" t="s">
        <v>447</v>
      </c>
      <c r="P263" s="93">
        <v>44576.63334490741</v>
      </c>
      <c r="Q263" s="90" t="s">
        <v>452</v>
      </c>
      <c r="R263" s="90"/>
      <c r="S263" s="90"/>
      <c r="T263" s="90"/>
      <c r="U263" s="95" t="str">
        <f>HYPERLINK("https://pbs.twimg.com/media/FJEZSt6WYAQW_i_.jpg")</f>
        <v>https://pbs.twimg.com/media/FJEZSt6WYAQW_i_.jpg</v>
      </c>
      <c r="V263" s="95" t="str">
        <f>HYPERLINK("https://pbs.twimg.com/media/FJEZSt6WYAQW_i_.jpg")</f>
        <v>https://pbs.twimg.com/media/FJEZSt6WYAQW_i_.jpg</v>
      </c>
      <c r="W263" s="93">
        <v>44576.63334490741</v>
      </c>
      <c r="X263" s="102">
        <v>44576</v>
      </c>
      <c r="Y263" s="97" t="s">
        <v>782</v>
      </c>
      <c r="Z263" s="95" t="str">
        <f>HYPERLINK("https://twitter.com/perisuomalainen/status/1482369992129662980")</f>
        <v>https://twitter.com/perisuomalainen/status/1482369992129662980</v>
      </c>
      <c r="AA263" s="90"/>
      <c r="AB263" s="90"/>
      <c r="AC263" s="97" t="s">
        <v>1023</v>
      </c>
      <c r="AD263" s="90"/>
      <c r="AE263" s="90" t="b">
        <v>0</v>
      </c>
      <c r="AF263" s="90">
        <v>0</v>
      </c>
      <c r="AG263" s="97" t="s">
        <v>1087</v>
      </c>
      <c r="AH263" s="90" t="b">
        <v>0</v>
      </c>
      <c r="AI263" s="90" t="s">
        <v>1127</v>
      </c>
      <c r="AJ263" s="90"/>
      <c r="AK263" s="97" t="s">
        <v>1087</v>
      </c>
      <c r="AL263" s="90" t="b">
        <v>0</v>
      </c>
      <c r="AM263" s="90">
        <v>33</v>
      </c>
      <c r="AN263" s="97" t="s">
        <v>1022</v>
      </c>
      <c r="AO263" s="97" t="s">
        <v>1132</v>
      </c>
      <c r="AP263" s="90" t="b">
        <v>0</v>
      </c>
      <c r="AQ263" s="97" t="s">
        <v>1022</v>
      </c>
      <c r="AR263" s="90" t="s">
        <v>178</v>
      </c>
      <c r="AS263" s="90">
        <v>0</v>
      </c>
      <c r="AT263" s="90">
        <v>0</v>
      </c>
      <c r="AU263" s="90"/>
      <c r="AV263" s="90"/>
      <c r="AW263" s="90"/>
      <c r="AX263" s="90"/>
      <c r="AY263" s="90"/>
      <c r="AZ263" s="90"/>
      <c r="BA263" s="90"/>
      <c r="BB263" s="90"/>
      <c r="BC263">
        <v>1</v>
      </c>
      <c r="BD263" s="89" t="str">
        <f>REPLACE(INDEX(GroupVertices[Group],MATCH(Edges[[#This Row],[Vertex 1]],GroupVertices[Vertex],0)),1,1,"")</f>
        <v>4</v>
      </c>
      <c r="BE263" s="89" t="str">
        <f>REPLACE(INDEX(GroupVertices[Group],MATCH(Edges[[#This Row],[Vertex 2]],GroupVertices[Vertex],0)),1,1,"")</f>
        <v>2</v>
      </c>
      <c r="BF263" s="49">
        <v>0</v>
      </c>
      <c r="BG263" s="50">
        <v>0</v>
      </c>
      <c r="BH263" s="49">
        <v>0</v>
      </c>
      <c r="BI263" s="50">
        <v>0</v>
      </c>
      <c r="BJ263" s="49">
        <v>0</v>
      </c>
      <c r="BK263" s="50">
        <v>0</v>
      </c>
      <c r="BL263" s="49">
        <v>24</v>
      </c>
      <c r="BM263" s="50">
        <v>100</v>
      </c>
      <c r="BN263" s="49">
        <v>24</v>
      </c>
    </row>
    <row r="264" spans="1:66" ht="15">
      <c r="A264" s="65" t="s">
        <v>385</v>
      </c>
      <c r="B264" s="65" t="s">
        <v>403</v>
      </c>
      <c r="C264" s="66" t="s">
        <v>4405</v>
      </c>
      <c r="D264" s="67">
        <v>1</v>
      </c>
      <c r="E264" s="68" t="s">
        <v>132</v>
      </c>
      <c r="F264" s="69">
        <v>32</v>
      </c>
      <c r="G264" s="66" t="s">
        <v>51</v>
      </c>
      <c r="H264" s="70"/>
      <c r="I264" s="71"/>
      <c r="J264" s="71"/>
      <c r="K264" s="35" t="s">
        <v>65</v>
      </c>
      <c r="L264" s="79">
        <v>264</v>
      </c>
      <c r="M264" s="79"/>
      <c r="N264" s="73"/>
      <c r="O264" s="90" t="s">
        <v>447</v>
      </c>
      <c r="P264" s="93">
        <v>44578.58594907408</v>
      </c>
      <c r="Q264" s="90" t="s">
        <v>533</v>
      </c>
      <c r="R264" s="90"/>
      <c r="S264" s="90"/>
      <c r="T264" s="97" t="s">
        <v>570</v>
      </c>
      <c r="U264" s="90"/>
      <c r="V264" s="95" t="str">
        <f>HYPERLINK("https://pbs.twimg.com/profile_images/1117501815711465474/3WSehwJE_normal.png")</f>
        <v>https://pbs.twimg.com/profile_images/1117501815711465474/3WSehwJE_normal.png</v>
      </c>
      <c r="W264" s="93">
        <v>44578.58594907408</v>
      </c>
      <c r="X264" s="102">
        <v>44578</v>
      </c>
      <c r="Y264" s="97" t="s">
        <v>783</v>
      </c>
      <c r="Z264" s="95" t="str">
        <f>HYPERLINK("https://twitter.com/perisuomalainen/status/1483077588675350529")</f>
        <v>https://twitter.com/perisuomalainen/status/1483077588675350529</v>
      </c>
      <c r="AA264" s="90"/>
      <c r="AB264" s="90"/>
      <c r="AC264" s="97" t="s">
        <v>1024</v>
      </c>
      <c r="AD264" s="90"/>
      <c r="AE264" s="90" t="b">
        <v>0</v>
      </c>
      <c r="AF264" s="90">
        <v>0</v>
      </c>
      <c r="AG264" s="97" t="s">
        <v>1087</v>
      </c>
      <c r="AH264" s="90" t="b">
        <v>0</v>
      </c>
      <c r="AI264" s="90" t="s">
        <v>1127</v>
      </c>
      <c r="AJ264" s="90"/>
      <c r="AK264" s="97" t="s">
        <v>1087</v>
      </c>
      <c r="AL264" s="90" t="b">
        <v>0</v>
      </c>
      <c r="AM264" s="90">
        <v>31</v>
      </c>
      <c r="AN264" s="97" t="s">
        <v>1051</v>
      </c>
      <c r="AO264" s="97" t="s">
        <v>1133</v>
      </c>
      <c r="AP264" s="90" t="b">
        <v>0</v>
      </c>
      <c r="AQ264" s="97" t="s">
        <v>1051</v>
      </c>
      <c r="AR264" s="90" t="s">
        <v>178</v>
      </c>
      <c r="AS264" s="90">
        <v>0</v>
      </c>
      <c r="AT264" s="90">
        <v>0</v>
      </c>
      <c r="AU264" s="90"/>
      <c r="AV264" s="90"/>
      <c r="AW264" s="90"/>
      <c r="AX264" s="90"/>
      <c r="AY264" s="90"/>
      <c r="AZ264" s="90"/>
      <c r="BA264" s="90"/>
      <c r="BB264" s="90"/>
      <c r="BC264">
        <v>1</v>
      </c>
      <c r="BD264" s="89" t="str">
        <f>REPLACE(INDEX(GroupVertices[Group],MATCH(Edges[[#This Row],[Vertex 1]],GroupVertices[Vertex],0)),1,1,"")</f>
        <v>4</v>
      </c>
      <c r="BE264" s="89" t="str">
        <f>REPLACE(INDEX(GroupVertices[Group],MATCH(Edges[[#This Row],[Vertex 2]],GroupVertices[Vertex],0)),1,1,"")</f>
        <v>4</v>
      </c>
      <c r="BF264" s="49">
        <v>0</v>
      </c>
      <c r="BG264" s="50">
        <v>0</v>
      </c>
      <c r="BH264" s="49">
        <v>0</v>
      </c>
      <c r="BI264" s="50">
        <v>0</v>
      </c>
      <c r="BJ264" s="49">
        <v>0</v>
      </c>
      <c r="BK264" s="50">
        <v>0</v>
      </c>
      <c r="BL264" s="49">
        <v>24</v>
      </c>
      <c r="BM264" s="50">
        <v>100</v>
      </c>
      <c r="BN264" s="49">
        <v>24</v>
      </c>
    </row>
    <row r="265" spans="1:66" ht="15">
      <c r="A265" s="65" t="s">
        <v>386</v>
      </c>
      <c r="B265" s="65" t="s">
        <v>403</v>
      </c>
      <c r="C265" s="66" t="s">
        <v>4405</v>
      </c>
      <c r="D265" s="67">
        <v>1</v>
      </c>
      <c r="E265" s="68" t="s">
        <v>132</v>
      </c>
      <c r="F265" s="69">
        <v>32</v>
      </c>
      <c r="G265" s="66" t="s">
        <v>51</v>
      </c>
      <c r="H265" s="70"/>
      <c r="I265" s="71"/>
      <c r="J265" s="71"/>
      <c r="K265" s="35" t="s">
        <v>65</v>
      </c>
      <c r="L265" s="79">
        <v>265</v>
      </c>
      <c r="M265" s="79"/>
      <c r="N265" s="73"/>
      <c r="O265" s="90" t="s">
        <v>447</v>
      </c>
      <c r="P265" s="93">
        <v>44578.599328703705</v>
      </c>
      <c r="Q265" s="90" t="s">
        <v>533</v>
      </c>
      <c r="R265" s="90"/>
      <c r="S265" s="90"/>
      <c r="T265" s="97" t="s">
        <v>570</v>
      </c>
      <c r="U265" s="90"/>
      <c r="V265" s="95" t="str">
        <f>HYPERLINK("https://pbs.twimg.com/profile_images/1457954704386842626/ISJLZJOK_normal.jpg")</f>
        <v>https://pbs.twimg.com/profile_images/1457954704386842626/ISJLZJOK_normal.jpg</v>
      </c>
      <c r="W265" s="93">
        <v>44578.599328703705</v>
      </c>
      <c r="X265" s="102">
        <v>44578</v>
      </c>
      <c r="Y265" s="97" t="s">
        <v>784</v>
      </c>
      <c r="Z265" s="95" t="str">
        <f>HYPERLINK("https://twitter.com/laura12632966/status/1483082437315997696")</f>
        <v>https://twitter.com/laura12632966/status/1483082437315997696</v>
      </c>
      <c r="AA265" s="90"/>
      <c r="AB265" s="90"/>
      <c r="AC265" s="97" t="s">
        <v>1025</v>
      </c>
      <c r="AD265" s="90"/>
      <c r="AE265" s="90" t="b">
        <v>0</v>
      </c>
      <c r="AF265" s="90">
        <v>0</v>
      </c>
      <c r="AG265" s="97" t="s">
        <v>1087</v>
      </c>
      <c r="AH265" s="90" t="b">
        <v>0</v>
      </c>
      <c r="AI265" s="90" t="s">
        <v>1127</v>
      </c>
      <c r="AJ265" s="90"/>
      <c r="AK265" s="97" t="s">
        <v>1087</v>
      </c>
      <c r="AL265" s="90" t="b">
        <v>0</v>
      </c>
      <c r="AM265" s="90">
        <v>31</v>
      </c>
      <c r="AN265" s="97" t="s">
        <v>1051</v>
      </c>
      <c r="AO265" s="97" t="s">
        <v>1134</v>
      </c>
      <c r="AP265" s="90" t="b">
        <v>0</v>
      </c>
      <c r="AQ265" s="97" t="s">
        <v>1051</v>
      </c>
      <c r="AR265" s="90" t="s">
        <v>178</v>
      </c>
      <c r="AS265" s="90">
        <v>0</v>
      </c>
      <c r="AT265" s="90">
        <v>0</v>
      </c>
      <c r="AU265" s="90"/>
      <c r="AV265" s="90"/>
      <c r="AW265" s="90"/>
      <c r="AX265" s="90"/>
      <c r="AY265" s="90"/>
      <c r="AZ265" s="90"/>
      <c r="BA265" s="90"/>
      <c r="BB265" s="90"/>
      <c r="BC265">
        <v>1</v>
      </c>
      <c r="BD265" s="89" t="str">
        <f>REPLACE(INDEX(GroupVertices[Group],MATCH(Edges[[#This Row],[Vertex 1]],GroupVertices[Vertex],0)),1,1,"")</f>
        <v>4</v>
      </c>
      <c r="BE265" s="89" t="str">
        <f>REPLACE(INDEX(GroupVertices[Group],MATCH(Edges[[#This Row],[Vertex 2]],GroupVertices[Vertex],0)),1,1,"")</f>
        <v>4</v>
      </c>
      <c r="BF265" s="49">
        <v>0</v>
      </c>
      <c r="BG265" s="50">
        <v>0</v>
      </c>
      <c r="BH265" s="49">
        <v>0</v>
      </c>
      <c r="BI265" s="50">
        <v>0</v>
      </c>
      <c r="BJ265" s="49">
        <v>0</v>
      </c>
      <c r="BK265" s="50">
        <v>0</v>
      </c>
      <c r="BL265" s="49">
        <v>24</v>
      </c>
      <c r="BM265" s="50">
        <v>100</v>
      </c>
      <c r="BN265" s="49">
        <v>24</v>
      </c>
    </row>
    <row r="266" spans="1:66" ht="15">
      <c r="A266" s="65" t="s">
        <v>387</v>
      </c>
      <c r="B266" s="65" t="s">
        <v>387</v>
      </c>
      <c r="C266" s="66" t="s">
        <v>4405</v>
      </c>
      <c r="D266" s="67">
        <v>1</v>
      </c>
      <c r="E266" s="68" t="s">
        <v>132</v>
      </c>
      <c r="F266" s="69">
        <v>32</v>
      </c>
      <c r="G266" s="66" t="s">
        <v>51</v>
      </c>
      <c r="H266" s="70"/>
      <c r="I266" s="71"/>
      <c r="J266" s="71"/>
      <c r="K266" s="35" t="s">
        <v>65</v>
      </c>
      <c r="L266" s="79">
        <v>266</v>
      </c>
      <c r="M266" s="79"/>
      <c r="N266" s="73"/>
      <c r="O266" s="90" t="s">
        <v>178</v>
      </c>
      <c r="P266" s="93">
        <v>44578.21994212963</v>
      </c>
      <c r="Q266" s="90" t="s">
        <v>543</v>
      </c>
      <c r="R266" s="95" t="str">
        <f>HYPERLINK("https://www.iltalehti.fi/viihdeuutiset/a/0cdd8736-4e6e-4da0-924c-d5995c5878de")</f>
        <v>https://www.iltalehti.fi/viihdeuutiset/a/0cdd8736-4e6e-4da0-924c-d5995c5878de</v>
      </c>
      <c r="S266" s="90" t="s">
        <v>549</v>
      </c>
      <c r="T266" s="90"/>
      <c r="U266" s="90"/>
      <c r="V266" s="95" t="str">
        <f>HYPERLINK("https://pbs.twimg.com/profile_images/1408041681136631813/ciceDzk2_normal.jpg")</f>
        <v>https://pbs.twimg.com/profile_images/1408041681136631813/ciceDzk2_normal.jpg</v>
      </c>
      <c r="W266" s="93">
        <v>44578.21994212963</v>
      </c>
      <c r="X266" s="102">
        <v>44578</v>
      </c>
      <c r="Y266" s="97" t="s">
        <v>785</v>
      </c>
      <c r="Z266" s="95" t="str">
        <f>HYPERLINK("https://twitter.com/hannelea_h/status/1482944952296423425")</f>
        <v>https://twitter.com/hannelea_h/status/1482944952296423425</v>
      </c>
      <c r="AA266" s="90"/>
      <c r="AB266" s="90"/>
      <c r="AC266" s="97" t="s">
        <v>1026</v>
      </c>
      <c r="AD266" s="90"/>
      <c r="AE266" s="90" t="b">
        <v>0</v>
      </c>
      <c r="AF266" s="90">
        <v>40</v>
      </c>
      <c r="AG266" s="97" t="s">
        <v>1087</v>
      </c>
      <c r="AH266" s="90" t="b">
        <v>0</v>
      </c>
      <c r="AI266" s="90" t="s">
        <v>1127</v>
      </c>
      <c r="AJ266" s="90"/>
      <c r="AK266" s="97" t="s">
        <v>1087</v>
      </c>
      <c r="AL266" s="90" t="b">
        <v>0</v>
      </c>
      <c r="AM266" s="90">
        <v>1</v>
      </c>
      <c r="AN266" s="97" t="s">
        <v>1087</v>
      </c>
      <c r="AO266" s="97" t="s">
        <v>1133</v>
      </c>
      <c r="AP266" s="90" t="b">
        <v>0</v>
      </c>
      <c r="AQ266" s="97" t="s">
        <v>1026</v>
      </c>
      <c r="AR266" s="90" t="s">
        <v>178</v>
      </c>
      <c r="AS266" s="90">
        <v>0</v>
      </c>
      <c r="AT266" s="90">
        <v>0</v>
      </c>
      <c r="AU266" s="90"/>
      <c r="AV266" s="90"/>
      <c r="AW266" s="90"/>
      <c r="AX266" s="90"/>
      <c r="AY266" s="90"/>
      <c r="AZ266" s="90"/>
      <c r="BA266" s="90"/>
      <c r="BB266" s="90"/>
      <c r="BC266">
        <v>1</v>
      </c>
      <c r="BD266" s="89" t="str">
        <f>REPLACE(INDEX(GroupVertices[Group],MATCH(Edges[[#This Row],[Vertex 1]],GroupVertices[Vertex],0)),1,1,"")</f>
        <v>16</v>
      </c>
      <c r="BE266" s="89" t="str">
        <f>REPLACE(INDEX(GroupVertices[Group],MATCH(Edges[[#This Row],[Vertex 2]],GroupVertices[Vertex],0)),1,1,"")</f>
        <v>16</v>
      </c>
      <c r="BF266" s="49">
        <v>0</v>
      </c>
      <c r="BG266" s="50">
        <v>0</v>
      </c>
      <c r="BH266" s="49">
        <v>0</v>
      </c>
      <c r="BI266" s="50">
        <v>0</v>
      </c>
      <c r="BJ266" s="49">
        <v>0</v>
      </c>
      <c r="BK266" s="50">
        <v>0</v>
      </c>
      <c r="BL266" s="49">
        <v>28</v>
      </c>
      <c r="BM266" s="50">
        <v>100</v>
      </c>
      <c r="BN266" s="49">
        <v>28</v>
      </c>
    </row>
    <row r="267" spans="1:66" ht="15">
      <c r="A267" s="65" t="s">
        <v>388</v>
      </c>
      <c r="B267" s="65" t="s">
        <v>387</v>
      </c>
      <c r="C267" s="66" t="s">
        <v>4405</v>
      </c>
      <c r="D267" s="67">
        <v>1</v>
      </c>
      <c r="E267" s="68" t="s">
        <v>132</v>
      </c>
      <c r="F267" s="69">
        <v>32</v>
      </c>
      <c r="G267" s="66" t="s">
        <v>51</v>
      </c>
      <c r="H267" s="70"/>
      <c r="I267" s="71"/>
      <c r="J267" s="71"/>
      <c r="K267" s="35" t="s">
        <v>65</v>
      </c>
      <c r="L267" s="79">
        <v>267</v>
      </c>
      <c r="M267" s="79"/>
      <c r="N267" s="73"/>
      <c r="O267" s="90" t="s">
        <v>447</v>
      </c>
      <c r="P267" s="93">
        <v>44578.60288194445</v>
      </c>
      <c r="Q267" s="90" t="s">
        <v>543</v>
      </c>
      <c r="R267" s="95" t="str">
        <f>HYPERLINK("https://www.iltalehti.fi/viihdeuutiset/a/0cdd8736-4e6e-4da0-924c-d5995c5878de")</f>
        <v>https://www.iltalehti.fi/viihdeuutiset/a/0cdd8736-4e6e-4da0-924c-d5995c5878de</v>
      </c>
      <c r="S267" s="90" t="s">
        <v>549</v>
      </c>
      <c r="T267" s="90"/>
      <c r="U267" s="90"/>
      <c r="V267" s="95" t="str">
        <f>HYPERLINK("https://abs.twimg.com/sticky/default_profile_images/default_profile_normal.png")</f>
        <v>https://abs.twimg.com/sticky/default_profile_images/default_profile_normal.png</v>
      </c>
      <c r="W267" s="93">
        <v>44578.60288194445</v>
      </c>
      <c r="X267" s="102">
        <v>44578</v>
      </c>
      <c r="Y267" s="97" t="s">
        <v>786</v>
      </c>
      <c r="Z267" s="95" t="str">
        <f>HYPERLINK("https://twitter.com/alicenpesula/status/1483083727299387396")</f>
        <v>https://twitter.com/alicenpesula/status/1483083727299387396</v>
      </c>
      <c r="AA267" s="90"/>
      <c r="AB267" s="90"/>
      <c r="AC267" s="97" t="s">
        <v>1027</v>
      </c>
      <c r="AD267" s="90"/>
      <c r="AE267" s="90" t="b">
        <v>0</v>
      </c>
      <c r="AF267" s="90">
        <v>0</v>
      </c>
      <c r="AG267" s="97" t="s">
        <v>1087</v>
      </c>
      <c r="AH267" s="90" t="b">
        <v>0</v>
      </c>
      <c r="AI267" s="90" t="s">
        <v>1127</v>
      </c>
      <c r="AJ267" s="90"/>
      <c r="AK267" s="97" t="s">
        <v>1087</v>
      </c>
      <c r="AL267" s="90" t="b">
        <v>0</v>
      </c>
      <c r="AM267" s="90">
        <v>1</v>
      </c>
      <c r="AN267" s="97" t="s">
        <v>1026</v>
      </c>
      <c r="AO267" s="97" t="s">
        <v>1134</v>
      </c>
      <c r="AP267" s="90" t="b">
        <v>0</v>
      </c>
      <c r="AQ267" s="97" t="s">
        <v>1026</v>
      </c>
      <c r="AR267" s="90" t="s">
        <v>178</v>
      </c>
      <c r="AS267" s="90">
        <v>0</v>
      </c>
      <c r="AT267" s="90">
        <v>0</v>
      </c>
      <c r="AU267" s="90"/>
      <c r="AV267" s="90"/>
      <c r="AW267" s="90"/>
      <c r="AX267" s="90"/>
      <c r="AY267" s="90"/>
      <c r="AZ267" s="90"/>
      <c r="BA267" s="90"/>
      <c r="BB267" s="90"/>
      <c r="BC267">
        <v>1</v>
      </c>
      <c r="BD267" s="89" t="str">
        <f>REPLACE(INDEX(GroupVertices[Group],MATCH(Edges[[#This Row],[Vertex 1]],GroupVertices[Vertex],0)),1,1,"")</f>
        <v>16</v>
      </c>
      <c r="BE267" s="89" t="str">
        <f>REPLACE(INDEX(GroupVertices[Group],MATCH(Edges[[#This Row],[Vertex 2]],GroupVertices[Vertex],0)),1,1,"")</f>
        <v>16</v>
      </c>
      <c r="BF267" s="49">
        <v>0</v>
      </c>
      <c r="BG267" s="50">
        <v>0</v>
      </c>
      <c r="BH267" s="49">
        <v>0</v>
      </c>
      <c r="BI267" s="50">
        <v>0</v>
      </c>
      <c r="BJ267" s="49">
        <v>0</v>
      </c>
      <c r="BK267" s="50">
        <v>0</v>
      </c>
      <c r="BL267" s="49">
        <v>28</v>
      </c>
      <c r="BM267" s="50">
        <v>100</v>
      </c>
      <c r="BN267" s="49">
        <v>28</v>
      </c>
    </row>
    <row r="268" spans="1:66" ht="15">
      <c r="A268" s="65" t="s">
        <v>389</v>
      </c>
      <c r="B268" s="65" t="s">
        <v>341</v>
      </c>
      <c r="C268" s="66" t="s">
        <v>4405</v>
      </c>
      <c r="D268" s="67">
        <v>1</v>
      </c>
      <c r="E268" s="68" t="s">
        <v>132</v>
      </c>
      <c r="F268" s="69">
        <v>32</v>
      </c>
      <c r="G268" s="66" t="s">
        <v>51</v>
      </c>
      <c r="H268" s="70"/>
      <c r="I268" s="71"/>
      <c r="J268" s="71"/>
      <c r="K268" s="35" t="s">
        <v>65</v>
      </c>
      <c r="L268" s="79">
        <v>268</v>
      </c>
      <c r="M268" s="79"/>
      <c r="N268" s="73"/>
      <c r="O268" s="90" t="s">
        <v>447</v>
      </c>
      <c r="P268" s="93">
        <v>44577.811898148146</v>
      </c>
      <c r="Q268" s="90" t="s">
        <v>520</v>
      </c>
      <c r="R268" s="90"/>
      <c r="S268" s="90"/>
      <c r="T268" s="90"/>
      <c r="U268" s="90"/>
      <c r="V268" s="95" t="str">
        <f>HYPERLINK("https://pbs.twimg.com/profile_images/1415571004072599552/ZaPgqb4X_normal.jpg")</f>
        <v>https://pbs.twimg.com/profile_images/1415571004072599552/ZaPgqb4X_normal.jpg</v>
      </c>
      <c r="W268" s="93">
        <v>44577.811898148146</v>
      </c>
      <c r="X268" s="102">
        <v>44577</v>
      </c>
      <c r="Y268" s="97" t="s">
        <v>787</v>
      </c>
      <c r="Z268" s="95" t="str">
        <f>HYPERLINK("https://twitter.com/universumin/status/1482797081957912581")</f>
        <v>https://twitter.com/universumin/status/1482797081957912581</v>
      </c>
      <c r="AA268" s="90"/>
      <c r="AB268" s="90"/>
      <c r="AC268" s="97" t="s">
        <v>1028</v>
      </c>
      <c r="AD268" s="90"/>
      <c r="AE268" s="90" t="b">
        <v>0</v>
      </c>
      <c r="AF268" s="90">
        <v>0</v>
      </c>
      <c r="AG268" s="97" t="s">
        <v>1087</v>
      </c>
      <c r="AH268" s="90" t="b">
        <v>0</v>
      </c>
      <c r="AI268" s="90" t="s">
        <v>1127</v>
      </c>
      <c r="AJ268" s="90"/>
      <c r="AK268" s="97" t="s">
        <v>1087</v>
      </c>
      <c r="AL268" s="90" t="b">
        <v>0</v>
      </c>
      <c r="AM268" s="90">
        <v>24</v>
      </c>
      <c r="AN268" s="97" t="s">
        <v>1041</v>
      </c>
      <c r="AO268" s="97" t="s">
        <v>1132</v>
      </c>
      <c r="AP268" s="90" t="b">
        <v>0</v>
      </c>
      <c r="AQ268" s="97" t="s">
        <v>1041</v>
      </c>
      <c r="AR268" s="90" t="s">
        <v>178</v>
      </c>
      <c r="AS268" s="90">
        <v>0</v>
      </c>
      <c r="AT268" s="90">
        <v>0</v>
      </c>
      <c r="AU268" s="90"/>
      <c r="AV268" s="90"/>
      <c r="AW268" s="90"/>
      <c r="AX268" s="90"/>
      <c r="AY268" s="90"/>
      <c r="AZ268" s="90"/>
      <c r="BA268" s="90"/>
      <c r="BB268" s="90"/>
      <c r="BC268">
        <v>1</v>
      </c>
      <c r="BD268" s="89" t="str">
        <f>REPLACE(INDEX(GroupVertices[Group],MATCH(Edges[[#This Row],[Vertex 1]],GroupVertices[Vertex],0)),1,1,"")</f>
        <v>4</v>
      </c>
      <c r="BE268" s="89" t="str">
        <f>REPLACE(INDEX(GroupVertices[Group],MATCH(Edges[[#This Row],[Vertex 2]],GroupVertices[Vertex],0)),1,1,"")</f>
        <v>1</v>
      </c>
      <c r="BF268" s="49">
        <v>0</v>
      </c>
      <c r="BG268" s="50">
        <v>0</v>
      </c>
      <c r="BH268" s="49">
        <v>0</v>
      </c>
      <c r="BI268" s="50">
        <v>0</v>
      </c>
      <c r="BJ268" s="49">
        <v>0</v>
      </c>
      <c r="BK268" s="50">
        <v>0</v>
      </c>
      <c r="BL268" s="49">
        <v>16</v>
      </c>
      <c r="BM268" s="50">
        <v>100</v>
      </c>
      <c r="BN268" s="49">
        <v>16</v>
      </c>
    </row>
    <row r="269" spans="1:66" ht="15">
      <c r="A269" s="65" t="s">
        <v>389</v>
      </c>
      <c r="B269" s="65" t="s">
        <v>403</v>
      </c>
      <c r="C269" s="66" t="s">
        <v>4405</v>
      </c>
      <c r="D269" s="67">
        <v>1</v>
      </c>
      <c r="E269" s="68" t="s">
        <v>132</v>
      </c>
      <c r="F269" s="69">
        <v>32</v>
      </c>
      <c r="G269" s="66" t="s">
        <v>51</v>
      </c>
      <c r="H269" s="70"/>
      <c r="I269" s="71"/>
      <c r="J269" s="71"/>
      <c r="K269" s="35" t="s">
        <v>65</v>
      </c>
      <c r="L269" s="79">
        <v>269</v>
      </c>
      <c r="M269" s="79"/>
      <c r="N269" s="73"/>
      <c r="O269" s="90" t="s">
        <v>447</v>
      </c>
      <c r="P269" s="93">
        <v>44578.60576388889</v>
      </c>
      <c r="Q269" s="90" t="s">
        <v>533</v>
      </c>
      <c r="R269" s="90"/>
      <c r="S269" s="90"/>
      <c r="T269" s="97" t="s">
        <v>570</v>
      </c>
      <c r="U269" s="90"/>
      <c r="V269" s="95" t="str">
        <f>HYPERLINK("https://pbs.twimg.com/profile_images/1415571004072599552/ZaPgqb4X_normal.jpg")</f>
        <v>https://pbs.twimg.com/profile_images/1415571004072599552/ZaPgqb4X_normal.jpg</v>
      </c>
      <c r="W269" s="93">
        <v>44578.60576388889</v>
      </c>
      <c r="X269" s="102">
        <v>44578</v>
      </c>
      <c r="Y269" s="97" t="s">
        <v>788</v>
      </c>
      <c r="Z269" s="95" t="str">
        <f>HYPERLINK("https://twitter.com/universumin/status/1483084770066247684")</f>
        <v>https://twitter.com/universumin/status/1483084770066247684</v>
      </c>
      <c r="AA269" s="90"/>
      <c r="AB269" s="90"/>
      <c r="AC269" s="97" t="s">
        <v>1029</v>
      </c>
      <c r="AD269" s="90"/>
      <c r="AE269" s="90" t="b">
        <v>0</v>
      </c>
      <c r="AF269" s="90">
        <v>0</v>
      </c>
      <c r="AG269" s="97" t="s">
        <v>1087</v>
      </c>
      <c r="AH269" s="90" t="b">
        <v>0</v>
      </c>
      <c r="AI269" s="90" t="s">
        <v>1127</v>
      </c>
      <c r="AJ269" s="90"/>
      <c r="AK269" s="97" t="s">
        <v>1087</v>
      </c>
      <c r="AL269" s="90" t="b">
        <v>0</v>
      </c>
      <c r="AM269" s="90">
        <v>31</v>
      </c>
      <c r="AN269" s="97" t="s">
        <v>1051</v>
      </c>
      <c r="AO269" s="97" t="s">
        <v>1132</v>
      </c>
      <c r="AP269" s="90" t="b">
        <v>0</v>
      </c>
      <c r="AQ269" s="97" t="s">
        <v>1051</v>
      </c>
      <c r="AR269" s="90" t="s">
        <v>178</v>
      </c>
      <c r="AS269" s="90">
        <v>0</v>
      </c>
      <c r="AT269" s="90">
        <v>0</v>
      </c>
      <c r="AU269" s="90"/>
      <c r="AV269" s="90"/>
      <c r="AW269" s="90"/>
      <c r="AX269" s="90"/>
      <c r="AY269" s="90"/>
      <c r="AZ269" s="90"/>
      <c r="BA269" s="90"/>
      <c r="BB269" s="90"/>
      <c r="BC269">
        <v>1</v>
      </c>
      <c r="BD269" s="89" t="str">
        <f>REPLACE(INDEX(GroupVertices[Group],MATCH(Edges[[#This Row],[Vertex 1]],GroupVertices[Vertex],0)),1,1,"")</f>
        <v>4</v>
      </c>
      <c r="BE269" s="89" t="str">
        <f>REPLACE(INDEX(GroupVertices[Group],MATCH(Edges[[#This Row],[Vertex 2]],GroupVertices[Vertex],0)),1,1,"")</f>
        <v>4</v>
      </c>
      <c r="BF269" s="49">
        <v>0</v>
      </c>
      <c r="BG269" s="50">
        <v>0</v>
      </c>
      <c r="BH269" s="49">
        <v>0</v>
      </c>
      <c r="BI269" s="50">
        <v>0</v>
      </c>
      <c r="BJ269" s="49">
        <v>0</v>
      </c>
      <c r="BK269" s="50">
        <v>0</v>
      </c>
      <c r="BL269" s="49">
        <v>24</v>
      </c>
      <c r="BM269" s="50">
        <v>100</v>
      </c>
      <c r="BN269" s="49">
        <v>24</v>
      </c>
    </row>
    <row r="270" spans="1:66" ht="15">
      <c r="A270" s="65" t="s">
        <v>390</v>
      </c>
      <c r="B270" s="65" t="s">
        <v>403</v>
      </c>
      <c r="C270" s="66" t="s">
        <v>4405</v>
      </c>
      <c r="D270" s="67">
        <v>1</v>
      </c>
      <c r="E270" s="68" t="s">
        <v>132</v>
      </c>
      <c r="F270" s="69">
        <v>32</v>
      </c>
      <c r="G270" s="66" t="s">
        <v>51</v>
      </c>
      <c r="H270" s="70"/>
      <c r="I270" s="71"/>
      <c r="J270" s="71"/>
      <c r="K270" s="35" t="s">
        <v>65</v>
      </c>
      <c r="L270" s="79">
        <v>270</v>
      </c>
      <c r="M270" s="79"/>
      <c r="N270" s="73"/>
      <c r="O270" s="90" t="s">
        <v>447</v>
      </c>
      <c r="P270" s="93">
        <v>44578.61101851852</v>
      </c>
      <c r="Q270" s="90" t="s">
        <v>533</v>
      </c>
      <c r="R270" s="90"/>
      <c r="S270" s="90"/>
      <c r="T270" s="97" t="s">
        <v>570</v>
      </c>
      <c r="U270" s="90"/>
      <c r="V270" s="95" t="str">
        <f>HYPERLINK("https://pbs.twimg.com/profile_images/1479235467698745346/hoqn-4ly_normal.jpg")</f>
        <v>https://pbs.twimg.com/profile_images/1479235467698745346/hoqn-4ly_normal.jpg</v>
      </c>
      <c r="W270" s="93">
        <v>44578.61101851852</v>
      </c>
      <c r="X270" s="102">
        <v>44578</v>
      </c>
      <c r="Y270" s="97" t="s">
        <v>789</v>
      </c>
      <c r="Z270" s="95" t="str">
        <f>HYPERLINK("https://twitter.com/nikki1the/status/1483086677392474118")</f>
        <v>https://twitter.com/nikki1the/status/1483086677392474118</v>
      </c>
      <c r="AA270" s="90"/>
      <c r="AB270" s="90"/>
      <c r="AC270" s="97" t="s">
        <v>1030</v>
      </c>
      <c r="AD270" s="90"/>
      <c r="AE270" s="90" t="b">
        <v>0</v>
      </c>
      <c r="AF270" s="90">
        <v>0</v>
      </c>
      <c r="AG270" s="97" t="s">
        <v>1087</v>
      </c>
      <c r="AH270" s="90" t="b">
        <v>0</v>
      </c>
      <c r="AI270" s="90" t="s">
        <v>1127</v>
      </c>
      <c r="AJ270" s="90"/>
      <c r="AK270" s="97" t="s">
        <v>1087</v>
      </c>
      <c r="AL270" s="90" t="b">
        <v>0</v>
      </c>
      <c r="AM270" s="90">
        <v>31</v>
      </c>
      <c r="AN270" s="97" t="s">
        <v>1051</v>
      </c>
      <c r="AO270" s="97" t="s">
        <v>1133</v>
      </c>
      <c r="AP270" s="90" t="b">
        <v>0</v>
      </c>
      <c r="AQ270" s="97" t="s">
        <v>1051</v>
      </c>
      <c r="AR270" s="90" t="s">
        <v>178</v>
      </c>
      <c r="AS270" s="90">
        <v>0</v>
      </c>
      <c r="AT270" s="90">
        <v>0</v>
      </c>
      <c r="AU270" s="90"/>
      <c r="AV270" s="90"/>
      <c r="AW270" s="90"/>
      <c r="AX270" s="90"/>
      <c r="AY270" s="90"/>
      <c r="AZ270" s="90"/>
      <c r="BA270" s="90"/>
      <c r="BB270" s="90"/>
      <c r="BC270">
        <v>1</v>
      </c>
      <c r="BD270" s="89" t="str">
        <f>REPLACE(INDEX(GroupVertices[Group],MATCH(Edges[[#This Row],[Vertex 1]],GroupVertices[Vertex],0)),1,1,"")</f>
        <v>4</v>
      </c>
      <c r="BE270" s="89" t="str">
        <f>REPLACE(INDEX(GroupVertices[Group],MATCH(Edges[[#This Row],[Vertex 2]],GroupVertices[Vertex],0)),1,1,"")</f>
        <v>4</v>
      </c>
      <c r="BF270" s="49">
        <v>0</v>
      </c>
      <c r="BG270" s="50">
        <v>0</v>
      </c>
      <c r="BH270" s="49">
        <v>0</v>
      </c>
      <c r="BI270" s="50">
        <v>0</v>
      </c>
      <c r="BJ270" s="49">
        <v>0</v>
      </c>
      <c r="BK270" s="50">
        <v>0</v>
      </c>
      <c r="BL270" s="49">
        <v>24</v>
      </c>
      <c r="BM270" s="50">
        <v>100</v>
      </c>
      <c r="BN270" s="49">
        <v>24</v>
      </c>
    </row>
    <row r="271" spans="1:66" ht="15">
      <c r="A271" s="65" t="s">
        <v>391</v>
      </c>
      <c r="B271" s="65" t="s">
        <v>403</v>
      </c>
      <c r="C271" s="66" t="s">
        <v>4405</v>
      </c>
      <c r="D271" s="67">
        <v>1</v>
      </c>
      <c r="E271" s="68" t="s">
        <v>132</v>
      </c>
      <c r="F271" s="69">
        <v>32</v>
      </c>
      <c r="G271" s="66" t="s">
        <v>51</v>
      </c>
      <c r="H271" s="70"/>
      <c r="I271" s="71"/>
      <c r="J271" s="71"/>
      <c r="K271" s="35" t="s">
        <v>65</v>
      </c>
      <c r="L271" s="79">
        <v>271</v>
      </c>
      <c r="M271" s="79"/>
      <c r="N271" s="73"/>
      <c r="O271" s="90" t="s">
        <v>447</v>
      </c>
      <c r="P271" s="93">
        <v>44578.61920138889</v>
      </c>
      <c r="Q271" s="90" t="s">
        <v>533</v>
      </c>
      <c r="R271" s="90"/>
      <c r="S271" s="90"/>
      <c r="T271" s="97" t="s">
        <v>570</v>
      </c>
      <c r="U271" s="90"/>
      <c r="V271" s="95" t="str">
        <f>HYPERLINK("https://pbs.twimg.com/profile_images/1478830460075708417/XMgWXY6p_normal.jpg")</f>
        <v>https://pbs.twimg.com/profile_images/1478830460075708417/XMgWXY6p_normal.jpg</v>
      </c>
      <c r="W271" s="93">
        <v>44578.61920138889</v>
      </c>
      <c r="X271" s="102">
        <v>44578</v>
      </c>
      <c r="Y271" s="97" t="s">
        <v>790</v>
      </c>
      <c r="Z271" s="95" t="str">
        <f>HYPERLINK("https://twitter.com/magillami/status/1483089641620353031")</f>
        <v>https://twitter.com/magillami/status/1483089641620353031</v>
      </c>
      <c r="AA271" s="90"/>
      <c r="AB271" s="90"/>
      <c r="AC271" s="97" t="s">
        <v>1031</v>
      </c>
      <c r="AD271" s="90"/>
      <c r="AE271" s="90" t="b">
        <v>0</v>
      </c>
      <c r="AF271" s="90">
        <v>0</v>
      </c>
      <c r="AG271" s="97" t="s">
        <v>1087</v>
      </c>
      <c r="AH271" s="90" t="b">
        <v>0</v>
      </c>
      <c r="AI271" s="90" t="s">
        <v>1127</v>
      </c>
      <c r="AJ271" s="90"/>
      <c r="AK271" s="97" t="s">
        <v>1087</v>
      </c>
      <c r="AL271" s="90" t="b">
        <v>0</v>
      </c>
      <c r="AM271" s="90">
        <v>31</v>
      </c>
      <c r="AN271" s="97" t="s">
        <v>1051</v>
      </c>
      <c r="AO271" s="97" t="s">
        <v>1133</v>
      </c>
      <c r="AP271" s="90" t="b">
        <v>0</v>
      </c>
      <c r="AQ271" s="97" t="s">
        <v>1051</v>
      </c>
      <c r="AR271" s="90" t="s">
        <v>178</v>
      </c>
      <c r="AS271" s="90">
        <v>0</v>
      </c>
      <c r="AT271" s="90">
        <v>0</v>
      </c>
      <c r="AU271" s="90"/>
      <c r="AV271" s="90"/>
      <c r="AW271" s="90"/>
      <c r="AX271" s="90"/>
      <c r="AY271" s="90"/>
      <c r="AZ271" s="90"/>
      <c r="BA271" s="90"/>
      <c r="BB271" s="90"/>
      <c r="BC271">
        <v>1</v>
      </c>
      <c r="BD271" s="89" t="str">
        <f>REPLACE(INDEX(GroupVertices[Group],MATCH(Edges[[#This Row],[Vertex 1]],GroupVertices[Vertex],0)),1,1,"")</f>
        <v>4</v>
      </c>
      <c r="BE271" s="89" t="str">
        <f>REPLACE(INDEX(GroupVertices[Group],MATCH(Edges[[#This Row],[Vertex 2]],GroupVertices[Vertex],0)),1,1,"")</f>
        <v>4</v>
      </c>
      <c r="BF271" s="49">
        <v>0</v>
      </c>
      <c r="BG271" s="50">
        <v>0</v>
      </c>
      <c r="BH271" s="49">
        <v>0</v>
      </c>
      <c r="BI271" s="50">
        <v>0</v>
      </c>
      <c r="BJ271" s="49">
        <v>0</v>
      </c>
      <c r="BK271" s="50">
        <v>0</v>
      </c>
      <c r="BL271" s="49">
        <v>24</v>
      </c>
      <c r="BM271" s="50">
        <v>100</v>
      </c>
      <c r="BN271" s="49">
        <v>24</v>
      </c>
    </row>
    <row r="272" spans="1:66" ht="15">
      <c r="A272" s="65" t="s">
        <v>392</v>
      </c>
      <c r="B272" s="65" t="s">
        <v>403</v>
      </c>
      <c r="C272" s="66" t="s">
        <v>4405</v>
      </c>
      <c r="D272" s="67">
        <v>1</v>
      </c>
      <c r="E272" s="68" t="s">
        <v>132</v>
      </c>
      <c r="F272" s="69">
        <v>32</v>
      </c>
      <c r="G272" s="66" t="s">
        <v>51</v>
      </c>
      <c r="H272" s="70"/>
      <c r="I272" s="71"/>
      <c r="J272" s="71"/>
      <c r="K272" s="35" t="s">
        <v>65</v>
      </c>
      <c r="L272" s="79">
        <v>272</v>
      </c>
      <c r="M272" s="79"/>
      <c r="N272" s="73"/>
      <c r="O272" s="90" t="s">
        <v>447</v>
      </c>
      <c r="P272" s="93">
        <v>44578.636979166666</v>
      </c>
      <c r="Q272" s="90" t="s">
        <v>533</v>
      </c>
      <c r="R272" s="90"/>
      <c r="S272" s="90"/>
      <c r="T272" s="97" t="s">
        <v>570</v>
      </c>
      <c r="U272" s="90"/>
      <c r="V272" s="95" t="str">
        <f>HYPERLINK("https://pbs.twimg.com/profile_images/1369629077532008451/Qeqk0JKK_normal.jpg")</f>
        <v>https://pbs.twimg.com/profile_images/1369629077532008451/Qeqk0JKK_normal.jpg</v>
      </c>
      <c r="W272" s="93">
        <v>44578.636979166666</v>
      </c>
      <c r="X272" s="102">
        <v>44578</v>
      </c>
      <c r="Y272" s="97" t="s">
        <v>791</v>
      </c>
      <c r="Z272" s="95" t="str">
        <f>HYPERLINK("https://twitter.com/ellimariella_/status/1483096084687859722")</f>
        <v>https://twitter.com/ellimariella_/status/1483096084687859722</v>
      </c>
      <c r="AA272" s="90"/>
      <c r="AB272" s="90"/>
      <c r="AC272" s="97" t="s">
        <v>1032</v>
      </c>
      <c r="AD272" s="90"/>
      <c r="AE272" s="90" t="b">
        <v>0</v>
      </c>
      <c r="AF272" s="90">
        <v>0</v>
      </c>
      <c r="AG272" s="97" t="s">
        <v>1087</v>
      </c>
      <c r="AH272" s="90" t="b">
        <v>0</v>
      </c>
      <c r="AI272" s="90" t="s">
        <v>1127</v>
      </c>
      <c r="AJ272" s="90"/>
      <c r="AK272" s="97" t="s">
        <v>1087</v>
      </c>
      <c r="AL272" s="90" t="b">
        <v>0</v>
      </c>
      <c r="AM272" s="90">
        <v>31</v>
      </c>
      <c r="AN272" s="97" t="s">
        <v>1051</v>
      </c>
      <c r="AO272" s="97" t="s">
        <v>1134</v>
      </c>
      <c r="AP272" s="90" t="b">
        <v>0</v>
      </c>
      <c r="AQ272" s="97" t="s">
        <v>1051</v>
      </c>
      <c r="AR272" s="90" t="s">
        <v>178</v>
      </c>
      <c r="AS272" s="90">
        <v>0</v>
      </c>
      <c r="AT272" s="90">
        <v>0</v>
      </c>
      <c r="AU272" s="90"/>
      <c r="AV272" s="90"/>
      <c r="AW272" s="90"/>
      <c r="AX272" s="90"/>
      <c r="AY272" s="90"/>
      <c r="AZ272" s="90"/>
      <c r="BA272" s="90"/>
      <c r="BB272" s="90"/>
      <c r="BC272">
        <v>1</v>
      </c>
      <c r="BD272" s="89" t="str">
        <f>REPLACE(INDEX(GroupVertices[Group],MATCH(Edges[[#This Row],[Vertex 1]],GroupVertices[Vertex],0)),1,1,"")</f>
        <v>4</v>
      </c>
      <c r="BE272" s="89" t="str">
        <f>REPLACE(INDEX(GroupVertices[Group],MATCH(Edges[[#This Row],[Vertex 2]],GroupVertices[Vertex],0)),1,1,"")</f>
        <v>4</v>
      </c>
      <c r="BF272" s="49">
        <v>0</v>
      </c>
      <c r="BG272" s="50">
        <v>0</v>
      </c>
      <c r="BH272" s="49">
        <v>0</v>
      </c>
      <c r="BI272" s="50">
        <v>0</v>
      </c>
      <c r="BJ272" s="49">
        <v>0</v>
      </c>
      <c r="BK272" s="50">
        <v>0</v>
      </c>
      <c r="BL272" s="49">
        <v>24</v>
      </c>
      <c r="BM272" s="50">
        <v>100</v>
      </c>
      <c r="BN272" s="49">
        <v>24</v>
      </c>
    </row>
    <row r="273" spans="1:66" ht="15">
      <c r="A273" s="65" t="s">
        <v>393</v>
      </c>
      <c r="B273" s="65" t="s">
        <v>403</v>
      </c>
      <c r="C273" s="66" t="s">
        <v>4405</v>
      </c>
      <c r="D273" s="67">
        <v>1</v>
      </c>
      <c r="E273" s="68" t="s">
        <v>132</v>
      </c>
      <c r="F273" s="69">
        <v>32</v>
      </c>
      <c r="G273" s="66" t="s">
        <v>51</v>
      </c>
      <c r="H273" s="70"/>
      <c r="I273" s="71"/>
      <c r="J273" s="71"/>
      <c r="K273" s="35" t="s">
        <v>65</v>
      </c>
      <c r="L273" s="79">
        <v>273</v>
      </c>
      <c r="M273" s="79"/>
      <c r="N273" s="73"/>
      <c r="O273" s="90" t="s">
        <v>447</v>
      </c>
      <c r="P273" s="93">
        <v>44578.63717592593</v>
      </c>
      <c r="Q273" s="90" t="s">
        <v>533</v>
      </c>
      <c r="R273" s="90"/>
      <c r="S273" s="90"/>
      <c r="T273" s="97" t="s">
        <v>570</v>
      </c>
      <c r="U273" s="90"/>
      <c r="V273" s="95" t="str">
        <f>HYPERLINK("https://abs.twimg.com/sticky/default_profile_images/default_profile_normal.png")</f>
        <v>https://abs.twimg.com/sticky/default_profile_images/default_profile_normal.png</v>
      </c>
      <c r="W273" s="93">
        <v>44578.63717592593</v>
      </c>
      <c r="X273" s="102">
        <v>44578</v>
      </c>
      <c r="Y273" s="97" t="s">
        <v>792</v>
      </c>
      <c r="Z273" s="95" t="str">
        <f>HYPERLINK("https://twitter.com/suomineitonen/status/1483096154711674890")</f>
        <v>https://twitter.com/suomineitonen/status/1483096154711674890</v>
      </c>
      <c r="AA273" s="90"/>
      <c r="AB273" s="90"/>
      <c r="AC273" s="97" t="s">
        <v>1033</v>
      </c>
      <c r="AD273" s="90"/>
      <c r="AE273" s="90" t="b">
        <v>0</v>
      </c>
      <c r="AF273" s="90">
        <v>0</v>
      </c>
      <c r="AG273" s="97" t="s">
        <v>1087</v>
      </c>
      <c r="AH273" s="90" t="b">
        <v>0</v>
      </c>
      <c r="AI273" s="90" t="s">
        <v>1127</v>
      </c>
      <c r="AJ273" s="90"/>
      <c r="AK273" s="97" t="s">
        <v>1087</v>
      </c>
      <c r="AL273" s="90" t="b">
        <v>0</v>
      </c>
      <c r="AM273" s="90">
        <v>31</v>
      </c>
      <c r="AN273" s="97" t="s">
        <v>1051</v>
      </c>
      <c r="AO273" s="97" t="s">
        <v>1134</v>
      </c>
      <c r="AP273" s="90" t="b">
        <v>0</v>
      </c>
      <c r="AQ273" s="97" t="s">
        <v>1051</v>
      </c>
      <c r="AR273" s="90" t="s">
        <v>178</v>
      </c>
      <c r="AS273" s="90">
        <v>0</v>
      </c>
      <c r="AT273" s="90">
        <v>0</v>
      </c>
      <c r="AU273" s="90"/>
      <c r="AV273" s="90"/>
      <c r="AW273" s="90"/>
      <c r="AX273" s="90"/>
      <c r="AY273" s="90"/>
      <c r="AZ273" s="90"/>
      <c r="BA273" s="90"/>
      <c r="BB273" s="90"/>
      <c r="BC273">
        <v>1</v>
      </c>
      <c r="BD273" s="89" t="str">
        <f>REPLACE(INDEX(GroupVertices[Group],MATCH(Edges[[#This Row],[Vertex 1]],GroupVertices[Vertex],0)),1,1,"")</f>
        <v>4</v>
      </c>
      <c r="BE273" s="89" t="str">
        <f>REPLACE(INDEX(GroupVertices[Group],MATCH(Edges[[#This Row],[Vertex 2]],GroupVertices[Vertex],0)),1,1,"")</f>
        <v>4</v>
      </c>
      <c r="BF273" s="49">
        <v>0</v>
      </c>
      <c r="BG273" s="50">
        <v>0</v>
      </c>
      <c r="BH273" s="49">
        <v>0</v>
      </c>
      <c r="BI273" s="50">
        <v>0</v>
      </c>
      <c r="BJ273" s="49">
        <v>0</v>
      </c>
      <c r="BK273" s="50">
        <v>0</v>
      </c>
      <c r="BL273" s="49">
        <v>24</v>
      </c>
      <c r="BM273" s="50">
        <v>100</v>
      </c>
      <c r="BN273" s="49">
        <v>24</v>
      </c>
    </row>
    <row r="274" spans="1:66" ht="15">
      <c r="A274" s="65" t="s">
        <v>394</v>
      </c>
      <c r="B274" s="65" t="s">
        <v>403</v>
      </c>
      <c r="C274" s="66" t="s">
        <v>4405</v>
      </c>
      <c r="D274" s="67">
        <v>1</v>
      </c>
      <c r="E274" s="68" t="s">
        <v>132</v>
      </c>
      <c r="F274" s="69">
        <v>32</v>
      </c>
      <c r="G274" s="66" t="s">
        <v>51</v>
      </c>
      <c r="H274" s="70"/>
      <c r="I274" s="71"/>
      <c r="J274" s="71"/>
      <c r="K274" s="35" t="s">
        <v>65</v>
      </c>
      <c r="L274" s="79">
        <v>274</v>
      </c>
      <c r="M274" s="79"/>
      <c r="N274" s="73"/>
      <c r="O274" s="90" t="s">
        <v>447</v>
      </c>
      <c r="P274" s="93">
        <v>44578.638819444444</v>
      </c>
      <c r="Q274" s="90" t="s">
        <v>533</v>
      </c>
      <c r="R274" s="90"/>
      <c r="S274" s="90"/>
      <c r="T274" s="97" t="s">
        <v>570</v>
      </c>
      <c r="U274" s="90"/>
      <c r="V274" s="95" t="str">
        <f>HYPERLINK("https://pbs.twimg.com/profile_images/1377007170957545472/TpETwO3N_normal.jpg")</f>
        <v>https://pbs.twimg.com/profile_images/1377007170957545472/TpETwO3N_normal.jpg</v>
      </c>
      <c r="W274" s="93">
        <v>44578.638819444444</v>
      </c>
      <c r="X274" s="102">
        <v>44578</v>
      </c>
      <c r="Y274" s="97" t="s">
        <v>793</v>
      </c>
      <c r="Z274" s="95" t="str">
        <f>HYPERLINK("https://twitter.com/mforsberg__/status/1483096748285431808")</f>
        <v>https://twitter.com/mforsberg__/status/1483096748285431808</v>
      </c>
      <c r="AA274" s="90"/>
      <c r="AB274" s="90"/>
      <c r="AC274" s="97" t="s">
        <v>1034</v>
      </c>
      <c r="AD274" s="90"/>
      <c r="AE274" s="90" t="b">
        <v>0</v>
      </c>
      <c r="AF274" s="90">
        <v>0</v>
      </c>
      <c r="AG274" s="97" t="s">
        <v>1087</v>
      </c>
      <c r="AH274" s="90" t="b">
        <v>0</v>
      </c>
      <c r="AI274" s="90" t="s">
        <v>1127</v>
      </c>
      <c r="AJ274" s="90"/>
      <c r="AK274" s="97" t="s">
        <v>1087</v>
      </c>
      <c r="AL274" s="90" t="b">
        <v>0</v>
      </c>
      <c r="AM274" s="90">
        <v>31</v>
      </c>
      <c r="AN274" s="97" t="s">
        <v>1051</v>
      </c>
      <c r="AO274" s="97" t="s">
        <v>1133</v>
      </c>
      <c r="AP274" s="90" t="b">
        <v>0</v>
      </c>
      <c r="AQ274" s="97" t="s">
        <v>1051</v>
      </c>
      <c r="AR274" s="90" t="s">
        <v>178</v>
      </c>
      <c r="AS274" s="90">
        <v>0</v>
      </c>
      <c r="AT274" s="90">
        <v>0</v>
      </c>
      <c r="AU274" s="90"/>
      <c r="AV274" s="90"/>
      <c r="AW274" s="90"/>
      <c r="AX274" s="90"/>
      <c r="AY274" s="90"/>
      <c r="AZ274" s="90"/>
      <c r="BA274" s="90"/>
      <c r="BB274" s="90"/>
      <c r="BC274">
        <v>1</v>
      </c>
      <c r="BD274" s="89" t="str">
        <f>REPLACE(INDEX(GroupVertices[Group],MATCH(Edges[[#This Row],[Vertex 1]],GroupVertices[Vertex],0)),1,1,"")</f>
        <v>4</v>
      </c>
      <c r="BE274" s="89" t="str">
        <f>REPLACE(INDEX(GroupVertices[Group],MATCH(Edges[[#This Row],[Vertex 2]],GroupVertices[Vertex],0)),1,1,"")</f>
        <v>4</v>
      </c>
      <c r="BF274" s="49">
        <v>0</v>
      </c>
      <c r="BG274" s="50">
        <v>0</v>
      </c>
      <c r="BH274" s="49">
        <v>0</v>
      </c>
      <c r="BI274" s="50">
        <v>0</v>
      </c>
      <c r="BJ274" s="49">
        <v>0</v>
      </c>
      <c r="BK274" s="50">
        <v>0</v>
      </c>
      <c r="BL274" s="49">
        <v>24</v>
      </c>
      <c r="BM274" s="50">
        <v>100</v>
      </c>
      <c r="BN274" s="49">
        <v>24</v>
      </c>
    </row>
    <row r="275" spans="1:66" ht="15">
      <c r="A275" s="65" t="s">
        <v>395</v>
      </c>
      <c r="B275" s="65" t="s">
        <v>403</v>
      </c>
      <c r="C275" s="66" t="s">
        <v>4405</v>
      </c>
      <c r="D275" s="67">
        <v>1</v>
      </c>
      <c r="E275" s="68" t="s">
        <v>132</v>
      </c>
      <c r="F275" s="69">
        <v>32</v>
      </c>
      <c r="G275" s="66" t="s">
        <v>51</v>
      </c>
      <c r="H275" s="70"/>
      <c r="I275" s="71"/>
      <c r="J275" s="71"/>
      <c r="K275" s="35" t="s">
        <v>65</v>
      </c>
      <c r="L275" s="79">
        <v>275</v>
      </c>
      <c r="M275" s="79"/>
      <c r="N275" s="73"/>
      <c r="O275" s="90" t="s">
        <v>447</v>
      </c>
      <c r="P275" s="93">
        <v>44578.639699074076</v>
      </c>
      <c r="Q275" s="90" t="s">
        <v>533</v>
      </c>
      <c r="R275" s="90"/>
      <c r="S275" s="90"/>
      <c r="T275" s="97" t="s">
        <v>570</v>
      </c>
      <c r="U275" s="90"/>
      <c r="V275" s="95" t="str">
        <f>HYPERLINK("https://pbs.twimg.com/profile_images/1466325158562607106/fft1bf9d_normal.jpg")</f>
        <v>https://pbs.twimg.com/profile_images/1466325158562607106/fft1bf9d_normal.jpg</v>
      </c>
      <c r="W275" s="93">
        <v>44578.639699074076</v>
      </c>
      <c r="X275" s="102">
        <v>44578</v>
      </c>
      <c r="Y275" s="97" t="s">
        <v>794</v>
      </c>
      <c r="Z275" s="95" t="str">
        <f>HYPERLINK("https://twitter.com/stiigat/status/1483097070542143501")</f>
        <v>https://twitter.com/stiigat/status/1483097070542143501</v>
      </c>
      <c r="AA275" s="90"/>
      <c r="AB275" s="90"/>
      <c r="AC275" s="97" t="s">
        <v>1035</v>
      </c>
      <c r="AD275" s="90"/>
      <c r="AE275" s="90" t="b">
        <v>0</v>
      </c>
      <c r="AF275" s="90">
        <v>0</v>
      </c>
      <c r="AG275" s="97" t="s">
        <v>1087</v>
      </c>
      <c r="AH275" s="90" t="b">
        <v>0</v>
      </c>
      <c r="AI275" s="90" t="s">
        <v>1127</v>
      </c>
      <c r="AJ275" s="90"/>
      <c r="AK275" s="97" t="s">
        <v>1087</v>
      </c>
      <c r="AL275" s="90" t="b">
        <v>0</v>
      </c>
      <c r="AM275" s="90">
        <v>31</v>
      </c>
      <c r="AN275" s="97" t="s">
        <v>1051</v>
      </c>
      <c r="AO275" s="97" t="s">
        <v>1132</v>
      </c>
      <c r="AP275" s="90" t="b">
        <v>0</v>
      </c>
      <c r="AQ275" s="97" t="s">
        <v>1051</v>
      </c>
      <c r="AR275" s="90" t="s">
        <v>178</v>
      </c>
      <c r="AS275" s="90">
        <v>0</v>
      </c>
      <c r="AT275" s="90">
        <v>0</v>
      </c>
      <c r="AU275" s="90"/>
      <c r="AV275" s="90"/>
      <c r="AW275" s="90"/>
      <c r="AX275" s="90"/>
      <c r="AY275" s="90"/>
      <c r="AZ275" s="90"/>
      <c r="BA275" s="90"/>
      <c r="BB275" s="90"/>
      <c r="BC275">
        <v>1</v>
      </c>
      <c r="BD275" s="89" t="str">
        <f>REPLACE(INDEX(GroupVertices[Group],MATCH(Edges[[#This Row],[Vertex 1]],GroupVertices[Vertex],0)),1,1,"")</f>
        <v>4</v>
      </c>
      <c r="BE275" s="89" t="str">
        <f>REPLACE(INDEX(GroupVertices[Group],MATCH(Edges[[#This Row],[Vertex 2]],GroupVertices[Vertex],0)),1,1,"")</f>
        <v>4</v>
      </c>
      <c r="BF275" s="49">
        <v>0</v>
      </c>
      <c r="BG275" s="50">
        <v>0</v>
      </c>
      <c r="BH275" s="49">
        <v>0</v>
      </c>
      <c r="BI275" s="50">
        <v>0</v>
      </c>
      <c r="BJ275" s="49">
        <v>0</v>
      </c>
      <c r="BK275" s="50">
        <v>0</v>
      </c>
      <c r="BL275" s="49">
        <v>24</v>
      </c>
      <c r="BM275" s="50">
        <v>100</v>
      </c>
      <c r="BN275" s="49">
        <v>24</v>
      </c>
    </row>
    <row r="276" spans="1:66" ht="15">
      <c r="A276" s="65" t="s">
        <v>396</v>
      </c>
      <c r="B276" s="65" t="s">
        <v>403</v>
      </c>
      <c r="C276" s="66" t="s">
        <v>4405</v>
      </c>
      <c r="D276" s="67">
        <v>1</v>
      </c>
      <c r="E276" s="68" t="s">
        <v>132</v>
      </c>
      <c r="F276" s="69">
        <v>32</v>
      </c>
      <c r="G276" s="66" t="s">
        <v>51</v>
      </c>
      <c r="H276" s="70"/>
      <c r="I276" s="71"/>
      <c r="J276" s="71"/>
      <c r="K276" s="35" t="s">
        <v>65</v>
      </c>
      <c r="L276" s="79">
        <v>276</v>
      </c>
      <c r="M276" s="79"/>
      <c r="N276" s="73"/>
      <c r="O276" s="90" t="s">
        <v>447</v>
      </c>
      <c r="P276" s="93">
        <v>44578.6481712963</v>
      </c>
      <c r="Q276" s="90" t="s">
        <v>533</v>
      </c>
      <c r="R276" s="90"/>
      <c r="S276" s="90"/>
      <c r="T276" s="97" t="s">
        <v>570</v>
      </c>
      <c r="U276" s="90"/>
      <c r="V276" s="95" t="str">
        <f>HYPERLINK("https://pbs.twimg.com/profile_images/1450039784873893888/Q-4HZOkt_normal.jpg")</f>
        <v>https://pbs.twimg.com/profile_images/1450039784873893888/Q-4HZOkt_normal.jpg</v>
      </c>
      <c r="W276" s="93">
        <v>44578.6481712963</v>
      </c>
      <c r="X276" s="102">
        <v>44578</v>
      </c>
      <c r="Y276" s="97" t="s">
        <v>795</v>
      </c>
      <c r="Z276" s="95" t="str">
        <f>HYPERLINK("https://twitter.com/marjo_liukkonen/status/1483100141003411465")</f>
        <v>https://twitter.com/marjo_liukkonen/status/1483100141003411465</v>
      </c>
      <c r="AA276" s="90"/>
      <c r="AB276" s="90"/>
      <c r="AC276" s="97" t="s">
        <v>1036</v>
      </c>
      <c r="AD276" s="90"/>
      <c r="AE276" s="90" t="b">
        <v>0</v>
      </c>
      <c r="AF276" s="90">
        <v>0</v>
      </c>
      <c r="AG276" s="97" t="s">
        <v>1087</v>
      </c>
      <c r="AH276" s="90" t="b">
        <v>0</v>
      </c>
      <c r="AI276" s="90" t="s">
        <v>1127</v>
      </c>
      <c r="AJ276" s="90"/>
      <c r="AK276" s="97" t="s">
        <v>1087</v>
      </c>
      <c r="AL276" s="90" t="b">
        <v>0</v>
      </c>
      <c r="AM276" s="90">
        <v>31</v>
      </c>
      <c r="AN276" s="97" t="s">
        <v>1051</v>
      </c>
      <c r="AO276" s="97" t="s">
        <v>1134</v>
      </c>
      <c r="AP276" s="90" t="b">
        <v>0</v>
      </c>
      <c r="AQ276" s="97" t="s">
        <v>1051</v>
      </c>
      <c r="AR276" s="90" t="s">
        <v>178</v>
      </c>
      <c r="AS276" s="90">
        <v>0</v>
      </c>
      <c r="AT276" s="90">
        <v>0</v>
      </c>
      <c r="AU276" s="90"/>
      <c r="AV276" s="90"/>
      <c r="AW276" s="90"/>
      <c r="AX276" s="90"/>
      <c r="AY276" s="90"/>
      <c r="AZ276" s="90"/>
      <c r="BA276" s="90"/>
      <c r="BB276" s="90"/>
      <c r="BC276">
        <v>1</v>
      </c>
      <c r="BD276" s="89" t="str">
        <f>REPLACE(INDEX(GroupVertices[Group],MATCH(Edges[[#This Row],[Vertex 1]],GroupVertices[Vertex],0)),1,1,"")</f>
        <v>4</v>
      </c>
      <c r="BE276" s="89" t="str">
        <f>REPLACE(INDEX(GroupVertices[Group],MATCH(Edges[[#This Row],[Vertex 2]],GroupVertices[Vertex],0)),1,1,"")</f>
        <v>4</v>
      </c>
      <c r="BF276" s="49">
        <v>0</v>
      </c>
      <c r="BG276" s="50">
        <v>0</v>
      </c>
      <c r="BH276" s="49">
        <v>0</v>
      </c>
      <c r="BI276" s="50">
        <v>0</v>
      </c>
      <c r="BJ276" s="49">
        <v>0</v>
      </c>
      <c r="BK276" s="50">
        <v>0</v>
      </c>
      <c r="BL276" s="49">
        <v>24</v>
      </c>
      <c r="BM276" s="50">
        <v>100</v>
      </c>
      <c r="BN276" s="49">
        <v>24</v>
      </c>
    </row>
    <row r="277" spans="1:66" ht="15">
      <c r="A277" s="65" t="s">
        <v>397</v>
      </c>
      <c r="B277" s="65" t="s">
        <v>397</v>
      </c>
      <c r="C277" s="66" t="s">
        <v>4405</v>
      </c>
      <c r="D277" s="67">
        <v>1</v>
      </c>
      <c r="E277" s="68" t="s">
        <v>132</v>
      </c>
      <c r="F277" s="69">
        <v>32</v>
      </c>
      <c r="G277" s="66" t="s">
        <v>51</v>
      </c>
      <c r="H277" s="70"/>
      <c r="I277" s="71"/>
      <c r="J277" s="71"/>
      <c r="K277" s="35" t="s">
        <v>65</v>
      </c>
      <c r="L277" s="79">
        <v>277</v>
      </c>
      <c r="M277" s="79"/>
      <c r="N277" s="73"/>
      <c r="O277" s="90" t="s">
        <v>178</v>
      </c>
      <c r="P277" s="93">
        <v>44578.65045138889</v>
      </c>
      <c r="Q277" s="90" t="s">
        <v>544</v>
      </c>
      <c r="R277" s="90"/>
      <c r="S277" s="90"/>
      <c r="T277" s="90"/>
      <c r="U277" s="90"/>
      <c r="V277" s="95" t="str">
        <f>HYPERLINK("https://pbs.twimg.com/profile_images/1470706519113150464/lIUG7ZuW_normal.jpg")</f>
        <v>https://pbs.twimg.com/profile_images/1470706519113150464/lIUG7ZuW_normal.jpg</v>
      </c>
      <c r="W277" s="93">
        <v>44578.65045138889</v>
      </c>
      <c r="X277" s="102">
        <v>44578</v>
      </c>
      <c r="Y277" s="97" t="s">
        <v>796</v>
      </c>
      <c r="Z277" s="95" t="str">
        <f>HYPERLINK("https://twitter.com/anileki/status/1483100964055928840")</f>
        <v>https://twitter.com/anileki/status/1483100964055928840</v>
      </c>
      <c r="AA277" s="90"/>
      <c r="AB277" s="90"/>
      <c r="AC277" s="97" t="s">
        <v>1037</v>
      </c>
      <c r="AD277" s="90"/>
      <c r="AE277" s="90" t="b">
        <v>0</v>
      </c>
      <c r="AF277" s="90">
        <v>0</v>
      </c>
      <c r="AG277" s="97" t="s">
        <v>1087</v>
      </c>
      <c r="AH277" s="90" t="b">
        <v>0</v>
      </c>
      <c r="AI277" s="90" t="s">
        <v>1127</v>
      </c>
      <c r="AJ277" s="90"/>
      <c r="AK277" s="97" t="s">
        <v>1087</v>
      </c>
      <c r="AL277" s="90" t="b">
        <v>0</v>
      </c>
      <c r="AM277" s="90">
        <v>0</v>
      </c>
      <c r="AN277" s="97" t="s">
        <v>1087</v>
      </c>
      <c r="AO277" s="97" t="s">
        <v>1132</v>
      </c>
      <c r="AP277" s="90" t="b">
        <v>0</v>
      </c>
      <c r="AQ277" s="97" t="s">
        <v>1037</v>
      </c>
      <c r="AR277" s="90" t="s">
        <v>178</v>
      </c>
      <c r="AS277" s="90">
        <v>0</v>
      </c>
      <c r="AT277" s="90">
        <v>0</v>
      </c>
      <c r="AU277" s="90"/>
      <c r="AV277" s="90"/>
      <c r="AW277" s="90"/>
      <c r="AX277" s="90"/>
      <c r="AY277" s="90"/>
      <c r="AZ277" s="90"/>
      <c r="BA277" s="90"/>
      <c r="BB277" s="90"/>
      <c r="BC277">
        <v>1</v>
      </c>
      <c r="BD277" s="89" t="str">
        <f>REPLACE(INDEX(GroupVertices[Group],MATCH(Edges[[#This Row],[Vertex 1]],GroupVertices[Vertex],0)),1,1,"")</f>
        <v>7</v>
      </c>
      <c r="BE277" s="89" t="str">
        <f>REPLACE(INDEX(GroupVertices[Group],MATCH(Edges[[#This Row],[Vertex 2]],GroupVertices[Vertex],0)),1,1,"")</f>
        <v>7</v>
      </c>
      <c r="BF277" s="49">
        <v>0</v>
      </c>
      <c r="BG277" s="50">
        <v>0</v>
      </c>
      <c r="BH277" s="49">
        <v>0</v>
      </c>
      <c r="BI277" s="50">
        <v>0</v>
      </c>
      <c r="BJ277" s="49">
        <v>0</v>
      </c>
      <c r="BK277" s="50">
        <v>0</v>
      </c>
      <c r="BL277" s="49">
        <v>6</v>
      </c>
      <c r="BM277" s="50">
        <v>100</v>
      </c>
      <c r="BN277" s="49">
        <v>6</v>
      </c>
    </row>
    <row r="278" spans="1:66" ht="15">
      <c r="A278" s="65" t="s">
        <v>398</v>
      </c>
      <c r="B278" s="65" t="s">
        <v>346</v>
      </c>
      <c r="C278" s="66" t="s">
        <v>4405</v>
      </c>
      <c r="D278" s="67">
        <v>1</v>
      </c>
      <c r="E278" s="68" t="s">
        <v>132</v>
      </c>
      <c r="F278" s="69">
        <v>32</v>
      </c>
      <c r="G278" s="66" t="s">
        <v>51</v>
      </c>
      <c r="H278" s="70"/>
      <c r="I278" s="71"/>
      <c r="J278" s="71"/>
      <c r="K278" s="35" t="s">
        <v>65</v>
      </c>
      <c r="L278" s="79">
        <v>278</v>
      </c>
      <c r="M278" s="79"/>
      <c r="N278" s="73"/>
      <c r="O278" s="90" t="s">
        <v>448</v>
      </c>
      <c r="P278" s="93">
        <v>44576.65587962963</v>
      </c>
      <c r="Q278" s="90" t="s">
        <v>545</v>
      </c>
      <c r="R278" s="90"/>
      <c r="S278" s="90"/>
      <c r="T278" s="90"/>
      <c r="U278" s="90"/>
      <c r="V278" s="95" t="str">
        <f>HYPERLINK("https://pbs.twimg.com/profile_images/1384318223164878848/nlJ4Kzz9_normal.jpg")</f>
        <v>https://pbs.twimg.com/profile_images/1384318223164878848/nlJ4Kzz9_normal.jpg</v>
      </c>
      <c r="W278" s="93">
        <v>44576.65587962963</v>
      </c>
      <c r="X278" s="102">
        <v>44576</v>
      </c>
      <c r="Y278" s="97" t="s">
        <v>797</v>
      </c>
      <c r="Z278" s="95" t="str">
        <f>HYPERLINK("https://twitter.com/lauri_paavola/status/1482378156145262598")</f>
        <v>https://twitter.com/lauri_paavola/status/1482378156145262598</v>
      </c>
      <c r="AA278" s="90"/>
      <c r="AB278" s="90"/>
      <c r="AC278" s="97" t="s">
        <v>1038</v>
      </c>
      <c r="AD278" s="97" t="s">
        <v>1059</v>
      </c>
      <c r="AE278" s="90" t="b">
        <v>0</v>
      </c>
      <c r="AF278" s="90">
        <v>65</v>
      </c>
      <c r="AG278" s="97" t="s">
        <v>1097</v>
      </c>
      <c r="AH278" s="90" t="b">
        <v>0</v>
      </c>
      <c r="AI278" s="90" t="s">
        <v>1127</v>
      </c>
      <c r="AJ278" s="90"/>
      <c r="AK278" s="97" t="s">
        <v>1087</v>
      </c>
      <c r="AL278" s="90" t="b">
        <v>0</v>
      </c>
      <c r="AM278" s="90">
        <v>1</v>
      </c>
      <c r="AN278" s="97" t="s">
        <v>1087</v>
      </c>
      <c r="AO278" s="97" t="s">
        <v>1132</v>
      </c>
      <c r="AP278" s="90" t="b">
        <v>0</v>
      </c>
      <c r="AQ278" s="97" t="s">
        <v>1059</v>
      </c>
      <c r="AR278" s="90" t="s">
        <v>178</v>
      </c>
      <c r="AS278" s="90">
        <v>0</v>
      </c>
      <c r="AT278" s="90">
        <v>0</v>
      </c>
      <c r="AU278" s="90"/>
      <c r="AV278" s="90"/>
      <c r="AW278" s="90"/>
      <c r="AX278" s="90"/>
      <c r="AY278" s="90"/>
      <c r="AZ278" s="90"/>
      <c r="BA278" s="90"/>
      <c r="BB278" s="90"/>
      <c r="BC278">
        <v>1</v>
      </c>
      <c r="BD278" s="89" t="str">
        <f>REPLACE(INDEX(GroupVertices[Group],MATCH(Edges[[#This Row],[Vertex 1]],GroupVertices[Vertex],0)),1,1,"")</f>
        <v>5</v>
      </c>
      <c r="BE278" s="89" t="str">
        <f>REPLACE(INDEX(GroupVertices[Group],MATCH(Edges[[#This Row],[Vertex 2]],GroupVertices[Vertex],0)),1,1,"")</f>
        <v>5</v>
      </c>
      <c r="BF278" s="49">
        <v>0</v>
      </c>
      <c r="BG278" s="50">
        <v>0</v>
      </c>
      <c r="BH278" s="49">
        <v>0</v>
      </c>
      <c r="BI278" s="50">
        <v>0</v>
      </c>
      <c r="BJ278" s="49">
        <v>0</v>
      </c>
      <c r="BK278" s="50">
        <v>0</v>
      </c>
      <c r="BL278" s="49">
        <v>17</v>
      </c>
      <c r="BM278" s="50">
        <v>100</v>
      </c>
      <c r="BN278" s="49">
        <v>17</v>
      </c>
    </row>
    <row r="279" spans="1:66" ht="15">
      <c r="A279" s="65" t="s">
        <v>399</v>
      </c>
      <c r="B279" s="65" t="s">
        <v>398</v>
      </c>
      <c r="C279" s="66" t="s">
        <v>4405</v>
      </c>
      <c r="D279" s="67">
        <v>1</v>
      </c>
      <c r="E279" s="68" t="s">
        <v>132</v>
      </c>
      <c r="F279" s="69">
        <v>32</v>
      </c>
      <c r="G279" s="66" t="s">
        <v>51</v>
      </c>
      <c r="H279" s="70"/>
      <c r="I279" s="71"/>
      <c r="J279" s="71"/>
      <c r="K279" s="35" t="s">
        <v>65</v>
      </c>
      <c r="L279" s="79">
        <v>279</v>
      </c>
      <c r="M279" s="79"/>
      <c r="N279" s="73"/>
      <c r="O279" s="90" t="s">
        <v>447</v>
      </c>
      <c r="P279" s="93">
        <v>44576.676145833335</v>
      </c>
      <c r="Q279" s="90" t="s">
        <v>545</v>
      </c>
      <c r="R279" s="90"/>
      <c r="S279" s="90"/>
      <c r="T279" s="90"/>
      <c r="U279" s="90"/>
      <c r="V279" s="95" t="str">
        <f>HYPERLINK("https://pbs.twimg.com/profile_images/1183318674272337920/kwB5npnN_normal.jpg")</f>
        <v>https://pbs.twimg.com/profile_images/1183318674272337920/kwB5npnN_normal.jpg</v>
      </c>
      <c r="W279" s="93">
        <v>44576.676145833335</v>
      </c>
      <c r="X279" s="102">
        <v>44576</v>
      </c>
      <c r="Y279" s="97" t="s">
        <v>798</v>
      </c>
      <c r="Z279" s="95" t="str">
        <f>HYPERLINK("https://twitter.com/jyrki_k/status/1482385499692093441")</f>
        <v>https://twitter.com/jyrki_k/status/1482385499692093441</v>
      </c>
      <c r="AA279" s="90"/>
      <c r="AB279" s="90"/>
      <c r="AC279" s="97" t="s">
        <v>1039</v>
      </c>
      <c r="AD279" s="90"/>
      <c r="AE279" s="90" t="b">
        <v>0</v>
      </c>
      <c r="AF279" s="90">
        <v>0</v>
      </c>
      <c r="AG279" s="97" t="s">
        <v>1087</v>
      </c>
      <c r="AH279" s="90" t="b">
        <v>0</v>
      </c>
      <c r="AI279" s="90" t="s">
        <v>1127</v>
      </c>
      <c r="AJ279" s="90"/>
      <c r="AK279" s="97" t="s">
        <v>1087</v>
      </c>
      <c r="AL279" s="90" t="b">
        <v>0</v>
      </c>
      <c r="AM279" s="90">
        <v>1</v>
      </c>
      <c r="AN279" s="97" t="s">
        <v>1038</v>
      </c>
      <c r="AO279" s="97" t="s">
        <v>1132</v>
      </c>
      <c r="AP279" s="90" t="b">
        <v>0</v>
      </c>
      <c r="AQ279" s="97" t="s">
        <v>1038</v>
      </c>
      <c r="AR279" s="90" t="s">
        <v>178</v>
      </c>
      <c r="AS279" s="90">
        <v>0</v>
      </c>
      <c r="AT279" s="90">
        <v>0</v>
      </c>
      <c r="AU279" s="90"/>
      <c r="AV279" s="90"/>
      <c r="AW279" s="90"/>
      <c r="AX279" s="90"/>
      <c r="AY279" s="90"/>
      <c r="AZ279" s="90"/>
      <c r="BA279" s="90"/>
      <c r="BB279" s="90"/>
      <c r="BC279">
        <v>1</v>
      </c>
      <c r="BD279" s="89" t="str">
        <f>REPLACE(INDEX(GroupVertices[Group],MATCH(Edges[[#This Row],[Vertex 1]],GroupVertices[Vertex],0)),1,1,"")</f>
        <v>5</v>
      </c>
      <c r="BE279" s="89" t="str">
        <f>REPLACE(INDEX(GroupVertices[Group],MATCH(Edges[[#This Row],[Vertex 2]],GroupVertices[Vertex],0)),1,1,"")</f>
        <v>5</v>
      </c>
      <c r="BF279" s="49"/>
      <c r="BG279" s="50"/>
      <c r="BH279" s="49"/>
      <c r="BI279" s="50"/>
      <c r="BJ279" s="49"/>
      <c r="BK279" s="50"/>
      <c r="BL279" s="49"/>
      <c r="BM279" s="50"/>
      <c r="BN279" s="49"/>
    </row>
    <row r="280" spans="1:66" ht="15">
      <c r="A280" s="65" t="s">
        <v>399</v>
      </c>
      <c r="B280" s="65" t="s">
        <v>346</v>
      </c>
      <c r="C280" s="66" t="s">
        <v>4405</v>
      </c>
      <c r="D280" s="67">
        <v>1</v>
      </c>
      <c r="E280" s="68" t="s">
        <v>132</v>
      </c>
      <c r="F280" s="69">
        <v>32</v>
      </c>
      <c r="G280" s="66" t="s">
        <v>51</v>
      </c>
      <c r="H280" s="70"/>
      <c r="I280" s="71"/>
      <c r="J280" s="71"/>
      <c r="K280" s="35" t="s">
        <v>65</v>
      </c>
      <c r="L280" s="79">
        <v>280</v>
      </c>
      <c r="M280" s="79"/>
      <c r="N280" s="73"/>
      <c r="O280" s="90" t="s">
        <v>448</v>
      </c>
      <c r="P280" s="93">
        <v>44576.676145833335</v>
      </c>
      <c r="Q280" s="90" t="s">
        <v>545</v>
      </c>
      <c r="R280" s="90"/>
      <c r="S280" s="90"/>
      <c r="T280" s="90"/>
      <c r="U280" s="90"/>
      <c r="V280" s="95" t="str">
        <f>HYPERLINK("https://pbs.twimg.com/profile_images/1183318674272337920/kwB5npnN_normal.jpg")</f>
        <v>https://pbs.twimg.com/profile_images/1183318674272337920/kwB5npnN_normal.jpg</v>
      </c>
      <c r="W280" s="93">
        <v>44576.676145833335</v>
      </c>
      <c r="X280" s="102">
        <v>44576</v>
      </c>
      <c r="Y280" s="97" t="s">
        <v>798</v>
      </c>
      <c r="Z280" s="95" t="str">
        <f>HYPERLINK("https://twitter.com/jyrki_k/status/1482385499692093441")</f>
        <v>https://twitter.com/jyrki_k/status/1482385499692093441</v>
      </c>
      <c r="AA280" s="90"/>
      <c r="AB280" s="90"/>
      <c r="AC280" s="97" t="s">
        <v>1039</v>
      </c>
      <c r="AD280" s="90"/>
      <c r="AE280" s="90" t="b">
        <v>0</v>
      </c>
      <c r="AF280" s="90">
        <v>0</v>
      </c>
      <c r="AG280" s="97" t="s">
        <v>1087</v>
      </c>
      <c r="AH280" s="90" t="b">
        <v>0</v>
      </c>
      <c r="AI280" s="90" t="s">
        <v>1127</v>
      </c>
      <c r="AJ280" s="90"/>
      <c r="AK280" s="97" t="s">
        <v>1087</v>
      </c>
      <c r="AL280" s="90" t="b">
        <v>0</v>
      </c>
      <c r="AM280" s="90">
        <v>1</v>
      </c>
      <c r="AN280" s="97" t="s">
        <v>1038</v>
      </c>
      <c r="AO280" s="97" t="s">
        <v>1132</v>
      </c>
      <c r="AP280" s="90" t="b">
        <v>0</v>
      </c>
      <c r="AQ280" s="97" t="s">
        <v>1038</v>
      </c>
      <c r="AR280" s="90" t="s">
        <v>178</v>
      </c>
      <c r="AS280" s="90">
        <v>0</v>
      </c>
      <c r="AT280" s="90">
        <v>0</v>
      </c>
      <c r="AU280" s="90"/>
      <c r="AV280" s="90"/>
      <c r="AW280" s="90"/>
      <c r="AX280" s="90"/>
      <c r="AY280" s="90"/>
      <c r="AZ280" s="90"/>
      <c r="BA280" s="90"/>
      <c r="BB280" s="90"/>
      <c r="BC280">
        <v>1</v>
      </c>
      <c r="BD280" s="89" t="str">
        <f>REPLACE(INDEX(GroupVertices[Group],MATCH(Edges[[#This Row],[Vertex 1]],GroupVertices[Vertex],0)),1,1,"")</f>
        <v>5</v>
      </c>
      <c r="BE280" s="89" t="str">
        <f>REPLACE(INDEX(GroupVertices[Group],MATCH(Edges[[#This Row],[Vertex 2]],GroupVertices[Vertex],0)),1,1,"")</f>
        <v>5</v>
      </c>
      <c r="BF280" s="49">
        <v>0</v>
      </c>
      <c r="BG280" s="50">
        <v>0</v>
      </c>
      <c r="BH280" s="49">
        <v>0</v>
      </c>
      <c r="BI280" s="50">
        <v>0</v>
      </c>
      <c r="BJ280" s="49">
        <v>0</v>
      </c>
      <c r="BK280" s="50">
        <v>0</v>
      </c>
      <c r="BL280" s="49">
        <v>17</v>
      </c>
      <c r="BM280" s="50">
        <v>100</v>
      </c>
      <c r="BN280" s="49">
        <v>17</v>
      </c>
    </row>
    <row r="281" spans="1:66" ht="15">
      <c r="A281" s="65" t="s">
        <v>341</v>
      </c>
      <c r="B281" s="65" t="s">
        <v>341</v>
      </c>
      <c r="C281" s="66" t="s">
        <v>4406</v>
      </c>
      <c r="D281" s="67">
        <v>1</v>
      </c>
      <c r="E281" s="68" t="s">
        <v>132</v>
      </c>
      <c r="F281" s="69">
        <v>32</v>
      </c>
      <c r="G281" s="66" t="s">
        <v>51</v>
      </c>
      <c r="H281" s="70"/>
      <c r="I281" s="71"/>
      <c r="J281" s="71"/>
      <c r="K281" s="35" t="s">
        <v>65</v>
      </c>
      <c r="L281" s="79">
        <v>281</v>
      </c>
      <c r="M281" s="79"/>
      <c r="N281" s="73"/>
      <c r="O281" s="90" t="s">
        <v>178</v>
      </c>
      <c r="P281" s="93">
        <v>44577.68715277778</v>
      </c>
      <c r="Q281" s="90" t="s">
        <v>514</v>
      </c>
      <c r="R281" s="90"/>
      <c r="S281" s="90"/>
      <c r="T281" s="90"/>
      <c r="U281" s="95" t="str">
        <f>HYPERLINK("https://pbs.twimg.com/media/FJPK-YrWUAYi1BM.jpg")</f>
        <v>https://pbs.twimg.com/media/FJPK-YrWUAYi1BM.jpg</v>
      </c>
      <c r="V281" s="95" t="str">
        <f>HYPERLINK("https://pbs.twimg.com/media/FJPK-YrWUAYi1BM.jpg")</f>
        <v>https://pbs.twimg.com/media/FJPK-YrWUAYi1BM.jpg</v>
      </c>
      <c r="W281" s="93">
        <v>44577.68715277778</v>
      </c>
      <c r="X281" s="102">
        <v>44577</v>
      </c>
      <c r="Y281" s="97" t="s">
        <v>799</v>
      </c>
      <c r="Z281" s="95" t="str">
        <f>HYPERLINK("https://twitter.com/cptheorist/status/1482751877792075780")</f>
        <v>https://twitter.com/cptheorist/status/1482751877792075780</v>
      </c>
      <c r="AA281" s="90"/>
      <c r="AB281" s="90"/>
      <c r="AC281" s="97" t="s">
        <v>1040</v>
      </c>
      <c r="AD281" s="90"/>
      <c r="AE281" s="90" t="b">
        <v>0</v>
      </c>
      <c r="AF281" s="90">
        <v>361</v>
      </c>
      <c r="AG281" s="97" t="s">
        <v>1087</v>
      </c>
      <c r="AH281" s="90" t="b">
        <v>0</v>
      </c>
      <c r="AI281" s="90" t="s">
        <v>1127</v>
      </c>
      <c r="AJ281" s="90"/>
      <c r="AK281" s="97" t="s">
        <v>1087</v>
      </c>
      <c r="AL281" s="90" t="b">
        <v>0</v>
      </c>
      <c r="AM281" s="90">
        <v>36</v>
      </c>
      <c r="AN281" s="97" t="s">
        <v>1087</v>
      </c>
      <c r="AO281" s="97" t="s">
        <v>1133</v>
      </c>
      <c r="AP281" s="90" t="b">
        <v>0</v>
      </c>
      <c r="AQ281" s="97" t="s">
        <v>1040</v>
      </c>
      <c r="AR281" s="90" t="s">
        <v>178</v>
      </c>
      <c r="AS281" s="90">
        <v>0</v>
      </c>
      <c r="AT281" s="90">
        <v>0</v>
      </c>
      <c r="AU281" s="90"/>
      <c r="AV281" s="90"/>
      <c r="AW281" s="90"/>
      <c r="AX281" s="90"/>
      <c r="AY281" s="90"/>
      <c r="AZ281" s="90"/>
      <c r="BA281" s="90"/>
      <c r="BB281" s="90"/>
      <c r="BC281">
        <v>2</v>
      </c>
      <c r="BD281" s="89" t="str">
        <f>REPLACE(INDEX(GroupVertices[Group],MATCH(Edges[[#This Row],[Vertex 1]],GroupVertices[Vertex],0)),1,1,"")</f>
        <v>1</v>
      </c>
      <c r="BE281" s="89" t="str">
        <f>REPLACE(INDEX(GroupVertices[Group],MATCH(Edges[[#This Row],[Vertex 2]],GroupVertices[Vertex],0)),1,1,"")</f>
        <v>1</v>
      </c>
      <c r="BF281" s="49">
        <v>0</v>
      </c>
      <c r="BG281" s="50">
        <v>0</v>
      </c>
      <c r="BH281" s="49">
        <v>0</v>
      </c>
      <c r="BI281" s="50">
        <v>0</v>
      </c>
      <c r="BJ281" s="49">
        <v>0</v>
      </c>
      <c r="BK281" s="50">
        <v>0</v>
      </c>
      <c r="BL281" s="49">
        <v>4</v>
      </c>
      <c r="BM281" s="50">
        <v>100</v>
      </c>
      <c r="BN281" s="49">
        <v>4</v>
      </c>
    </row>
    <row r="282" spans="1:66" ht="15">
      <c r="A282" s="65" t="s">
        <v>341</v>
      </c>
      <c r="B282" s="65" t="s">
        <v>341</v>
      </c>
      <c r="C282" s="66" t="s">
        <v>4406</v>
      </c>
      <c r="D282" s="67">
        <v>1</v>
      </c>
      <c r="E282" s="68" t="s">
        <v>132</v>
      </c>
      <c r="F282" s="69">
        <v>32</v>
      </c>
      <c r="G282" s="66" t="s">
        <v>51</v>
      </c>
      <c r="H282" s="70"/>
      <c r="I282" s="71"/>
      <c r="J282" s="71"/>
      <c r="K282" s="35" t="s">
        <v>65</v>
      </c>
      <c r="L282" s="79">
        <v>282</v>
      </c>
      <c r="M282" s="79"/>
      <c r="N282" s="73"/>
      <c r="O282" s="90" t="s">
        <v>178</v>
      </c>
      <c r="P282" s="93">
        <v>44577.71399305556</v>
      </c>
      <c r="Q282" s="90" t="s">
        <v>520</v>
      </c>
      <c r="R282" s="90"/>
      <c r="S282" s="90"/>
      <c r="T282" s="90"/>
      <c r="U282" s="90"/>
      <c r="V282" s="95" t="str">
        <f>HYPERLINK("https://pbs.twimg.com/profile_images/1430266859425869830/4zb9xNoh_normal.jpg")</f>
        <v>https://pbs.twimg.com/profile_images/1430266859425869830/4zb9xNoh_normal.jpg</v>
      </c>
      <c r="W282" s="93">
        <v>44577.71399305556</v>
      </c>
      <c r="X282" s="102">
        <v>44577</v>
      </c>
      <c r="Y282" s="97" t="s">
        <v>800</v>
      </c>
      <c r="Z282" s="95" t="str">
        <f>HYPERLINK("https://twitter.com/cptheorist/status/1482761602738839555")</f>
        <v>https://twitter.com/cptheorist/status/1482761602738839555</v>
      </c>
      <c r="AA282" s="90"/>
      <c r="AB282" s="90"/>
      <c r="AC282" s="97" t="s">
        <v>1041</v>
      </c>
      <c r="AD282" s="90"/>
      <c r="AE282" s="90" t="b">
        <v>0</v>
      </c>
      <c r="AF282" s="90">
        <v>514</v>
      </c>
      <c r="AG282" s="97" t="s">
        <v>1087</v>
      </c>
      <c r="AH282" s="90" t="b">
        <v>0</v>
      </c>
      <c r="AI282" s="90" t="s">
        <v>1127</v>
      </c>
      <c r="AJ282" s="90"/>
      <c r="AK282" s="97" t="s">
        <v>1087</v>
      </c>
      <c r="AL282" s="90" t="b">
        <v>0</v>
      </c>
      <c r="AM282" s="90">
        <v>24</v>
      </c>
      <c r="AN282" s="97" t="s">
        <v>1087</v>
      </c>
      <c r="AO282" s="97" t="s">
        <v>1133</v>
      </c>
      <c r="AP282" s="90" t="b">
        <v>0</v>
      </c>
      <c r="AQ282" s="97" t="s">
        <v>1041</v>
      </c>
      <c r="AR282" s="90" t="s">
        <v>178</v>
      </c>
      <c r="AS282" s="90">
        <v>0</v>
      </c>
      <c r="AT282" s="90">
        <v>0</v>
      </c>
      <c r="AU282" s="90"/>
      <c r="AV282" s="90"/>
      <c r="AW282" s="90"/>
      <c r="AX282" s="90"/>
      <c r="AY282" s="90"/>
      <c r="AZ282" s="90"/>
      <c r="BA282" s="90"/>
      <c r="BB282" s="90"/>
      <c r="BC282">
        <v>2</v>
      </c>
      <c r="BD282" s="89" t="str">
        <f>REPLACE(INDEX(GroupVertices[Group],MATCH(Edges[[#This Row],[Vertex 1]],GroupVertices[Vertex],0)),1,1,"")</f>
        <v>1</v>
      </c>
      <c r="BE282" s="89" t="str">
        <f>REPLACE(INDEX(GroupVertices[Group],MATCH(Edges[[#This Row],[Vertex 2]],GroupVertices[Vertex],0)),1,1,"")</f>
        <v>1</v>
      </c>
      <c r="BF282" s="49">
        <v>0</v>
      </c>
      <c r="BG282" s="50">
        <v>0</v>
      </c>
      <c r="BH282" s="49">
        <v>0</v>
      </c>
      <c r="BI282" s="50">
        <v>0</v>
      </c>
      <c r="BJ282" s="49">
        <v>0</v>
      </c>
      <c r="BK282" s="50">
        <v>0</v>
      </c>
      <c r="BL282" s="49">
        <v>16</v>
      </c>
      <c r="BM282" s="50">
        <v>100</v>
      </c>
      <c r="BN282" s="49">
        <v>16</v>
      </c>
    </row>
    <row r="283" spans="1:66" ht="15">
      <c r="A283" s="65" t="s">
        <v>399</v>
      </c>
      <c r="B283" s="65" t="s">
        <v>341</v>
      </c>
      <c r="C283" s="66" t="s">
        <v>4405</v>
      </c>
      <c r="D283" s="67">
        <v>1</v>
      </c>
      <c r="E283" s="68" t="s">
        <v>132</v>
      </c>
      <c r="F283" s="69">
        <v>32</v>
      </c>
      <c r="G283" s="66" t="s">
        <v>51</v>
      </c>
      <c r="H283" s="70"/>
      <c r="I283" s="71"/>
      <c r="J283" s="71"/>
      <c r="K283" s="35" t="s">
        <v>65</v>
      </c>
      <c r="L283" s="79">
        <v>283</v>
      </c>
      <c r="M283" s="79"/>
      <c r="N283" s="73"/>
      <c r="O283" s="90" t="s">
        <v>447</v>
      </c>
      <c r="P283" s="93">
        <v>44577.725324074076</v>
      </c>
      <c r="Q283" s="90" t="s">
        <v>514</v>
      </c>
      <c r="R283" s="90"/>
      <c r="S283" s="90"/>
      <c r="T283" s="90"/>
      <c r="U283" s="95" t="str">
        <f>HYPERLINK("https://pbs.twimg.com/media/FJPK-YrWUAYi1BM.jpg")</f>
        <v>https://pbs.twimg.com/media/FJPK-YrWUAYi1BM.jpg</v>
      </c>
      <c r="V283" s="95" t="str">
        <f>HYPERLINK("https://pbs.twimg.com/media/FJPK-YrWUAYi1BM.jpg")</f>
        <v>https://pbs.twimg.com/media/FJPK-YrWUAYi1BM.jpg</v>
      </c>
      <c r="W283" s="93">
        <v>44577.725324074076</v>
      </c>
      <c r="X283" s="102">
        <v>44577</v>
      </c>
      <c r="Y283" s="97" t="s">
        <v>801</v>
      </c>
      <c r="Z283" s="95" t="str">
        <f>HYPERLINK("https://twitter.com/jyrki_k/status/1482765711189716995")</f>
        <v>https://twitter.com/jyrki_k/status/1482765711189716995</v>
      </c>
      <c r="AA283" s="90"/>
      <c r="AB283" s="90"/>
      <c r="AC283" s="97" t="s">
        <v>1042</v>
      </c>
      <c r="AD283" s="90"/>
      <c r="AE283" s="90" t="b">
        <v>0</v>
      </c>
      <c r="AF283" s="90">
        <v>0</v>
      </c>
      <c r="AG283" s="97" t="s">
        <v>1087</v>
      </c>
      <c r="AH283" s="90" t="b">
        <v>0</v>
      </c>
      <c r="AI283" s="90" t="s">
        <v>1127</v>
      </c>
      <c r="AJ283" s="90"/>
      <c r="AK283" s="97" t="s">
        <v>1087</v>
      </c>
      <c r="AL283" s="90" t="b">
        <v>0</v>
      </c>
      <c r="AM283" s="90">
        <v>36</v>
      </c>
      <c r="AN283" s="97" t="s">
        <v>1040</v>
      </c>
      <c r="AO283" s="97" t="s">
        <v>1132</v>
      </c>
      <c r="AP283" s="90" t="b">
        <v>0</v>
      </c>
      <c r="AQ283" s="97" t="s">
        <v>1040</v>
      </c>
      <c r="AR283" s="90" t="s">
        <v>178</v>
      </c>
      <c r="AS283" s="90">
        <v>0</v>
      </c>
      <c r="AT283" s="90">
        <v>0</v>
      </c>
      <c r="AU283" s="90"/>
      <c r="AV283" s="90"/>
      <c r="AW283" s="90"/>
      <c r="AX283" s="90"/>
      <c r="AY283" s="90"/>
      <c r="AZ283" s="90"/>
      <c r="BA283" s="90"/>
      <c r="BB283" s="90"/>
      <c r="BC283">
        <v>1</v>
      </c>
      <c r="BD283" s="89" t="str">
        <f>REPLACE(INDEX(GroupVertices[Group],MATCH(Edges[[#This Row],[Vertex 1]],GroupVertices[Vertex],0)),1,1,"")</f>
        <v>5</v>
      </c>
      <c r="BE283" s="89" t="str">
        <f>REPLACE(INDEX(GroupVertices[Group],MATCH(Edges[[#This Row],[Vertex 2]],GroupVertices[Vertex],0)),1,1,"")</f>
        <v>1</v>
      </c>
      <c r="BF283" s="49">
        <v>0</v>
      </c>
      <c r="BG283" s="50">
        <v>0</v>
      </c>
      <c r="BH283" s="49">
        <v>0</v>
      </c>
      <c r="BI283" s="50">
        <v>0</v>
      </c>
      <c r="BJ283" s="49">
        <v>0</v>
      </c>
      <c r="BK283" s="50">
        <v>0</v>
      </c>
      <c r="BL283" s="49">
        <v>4</v>
      </c>
      <c r="BM283" s="50">
        <v>100</v>
      </c>
      <c r="BN283" s="49">
        <v>4</v>
      </c>
    </row>
    <row r="284" spans="1:66" ht="15">
      <c r="A284" s="65" t="s">
        <v>400</v>
      </c>
      <c r="B284" s="65" t="s">
        <v>400</v>
      </c>
      <c r="C284" s="66" t="s">
        <v>4405</v>
      </c>
      <c r="D284" s="67">
        <v>1</v>
      </c>
      <c r="E284" s="68" t="s">
        <v>132</v>
      </c>
      <c r="F284" s="69">
        <v>32</v>
      </c>
      <c r="G284" s="66" t="s">
        <v>51</v>
      </c>
      <c r="H284" s="70"/>
      <c r="I284" s="71"/>
      <c r="J284" s="71"/>
      <c r="K284" s="35" t="s">
        <v>65</v>
      </c>
      <c r="L284" s="79">
        <v>284</v>
      </c>
      <c r="M284" s="79"/>
      <c r="N284" s="73"/>
      <c r="O284" s="90" t="s">
        <v>178</v>
      </c>
      <c r="P284" s="93">
        <v>44577.802303240744</v>
      </c>
      <c r="Q284" s="90" t="s">
        <v>523</v>
      </c>
      <c r="R284" s="95" t="str">
        <f>HYPERLINK("https://www.tripadvisor.com/Restaurant_Review-g189934-d21338840-Reviews-Bardot-Helsinki_Uusimaa.html")</f>
        <v>https://www.tripadvisor.com/Restaurant_Review-g189934-d21338840-Reviews-Bardot-Helsinki_Uusimaa.html</v>
      </c>
      <c r="S284" s="90" t="s">
        <v>554</v>
      </c>
      <c r="T284" s="90"/>
      <c r="U284" s="90"/>
      <c r="V284" s="95" t="str">
        <f>HYPERLINK("https://pbs.twimg.com/profile_images/1404425276373843975/S6ybxlOE_normal.jpg")</f>
        <v>https://pbs.twimg.com/profile_images/1404425276373843975/S6ybxlOE_normal.jpg</v>
      </c>
      <c r="W284" s="93">
        <v>44577.802303240744</v>
      </c>
      <c r="X284" s="102">
        <v>44577</v>
      </c>
      <c r="Y284" s="97" t="s">
        <v>802</v>
      </c>
      <c r="Z284" s="95" t="str">
        <f>HYPERLINK("https://twitter.com/swanoftuonela/status/1482793606746460162")</f>
        <v>https://twitter.com/swanoftuonela/status/1482793606746460162</v>
      </c>
      <c r="AA284" s="90"/>
      <c r="AB284" s="90"/>
      <c r="AC284" s="97" t="s">
        <v>1043</v>
      </c>
      <c r="AD284" s="90"/>
      <c r="AE284" s="90" t="b">
        <v>0</v>
      </c>
      <c r="AF284" s="90">
        <v>91</v>
      </c>
      <c r="AG284" s="97" t="s">
        <v>1087</v>
      </c>
      <c r="AH284" s="90" t="b">
        <v>0</v>
      </c>
      <c r="AI284" s="90" t="s">
        <v>1127</v>
      </c>
      <c r="AJ284" s="90"/>
      <c r="AK284" s="97" t="s">
        <v>1087</v>
      </c>
      <c r="AL284" s="90" t="b">
        <v>0</v>
      </c>
      <c r="AM284" s="90">
        <v>15</v>
      </c>
      <c r="AN284" s="97" t="s">
        <v>1087</v>
      </c>
      <c r="AO284" s="97" t="s">
        <v>1132</v>
      </c>
      <c r="AP284" s="90" t="b">
        <v>0</v>
      </c>
      <c r="AQ284" s="97" t="s">
        <v>1043</v>
      </c>
      <c r="AR284" s="90" t="s">
        <v>178</v>
      </c>
      <c r="AS284" s="90">
        <v>0</v>
      </c>
      <c r="AT284" s="90">
        <v>0</v>
      </c>
      <c r="AU284" s="90"/>
      <c r="AV284" s="90"/>
      <c r="AW284" s="90"/>
      <c r="AX284" s="90"/>
      <c r="AY284" s="90"/>
      <c r="AZ284" s="90"/>
      <c r="BA284" s="90"/>
      <c r="BB284" s="90"/>
      <c r="BC284">
        <v>1</v>
      </c>
      <c r="BD284" s="89" t="str">
        <f>REPLACE(INDEX(GroupVertices[Group],MATCH(Edges[[#This Row],[Vertex 1]],GroupVertices[Vertex],0)),1,1,"")</f>
        <v>5</v>
      </c>
      <c r="BE284" s="89" t="str">
        <f>REPLACE(INDEX(GroupVertices[Group],MATCH(Edges[[#This Row],[Vertex 2]],GroupVertices[Vertex],0)),1,1,"")</f>
        <v>5</v>
      </c>
      <c r="BF284" s="49">
        <v>0</v>
      </c>
      <c r="BG284" s="50">
        <v>0</v>
      </c>
      <c r="BH284" s="49">
        <v>0</v>
      </c>
      <c r="BI284" s="50">
        <v>0</v>
      </c>
      <c r="BJ284" s="49">
        <v>0</v>
      </c>
      <c r="BK284" s="50">
        <v>0</v>
      </c>
      <c r="BL284" s="49">
        <v>13</v>
      </c>
      <c r="BM284" s="50">
        <v>100</v>
      </c>
      <c r="BN284" s="49">
        <v>13</v>
      </c>
    </row>
    <row r="285" spans="1:66" ht="15">
      <c r="A285" s="65" t="s">
        <v>401</v>
      </c>
      <c r="B285" s="65" t="s">
        <v>400</v>
      </c>
      <c r="C285" s="66" t="s">
        <v>4405</v>
      </c>
      <c r="D285" s="67">
        <v>1</v>
      </c>
      <c r="E285" s="68" t="s">
        <v>132</v>
      </c>
      <c r="F285" s="69">
        <v>32</v>
      </c>
      <c r="G285" s="66" t="s">
        <v>51</v>
      </c>
      <c r="H285" s="70"/>
      <c r="I285" s="71"/>
      <c r="J285" s="71"/>
      <c r="K285" s="35" t="s">
        <v>65</v>
      </c>
      <c r="L285" s="79">
        <v>285</v>
      </c>
      <c r="M285" s="79"/>
      <c r="N285" s="73"/>
      <c r="O285" s="90" t="s">
        <v>447</v>
      </c>
      <c r="P285" s="93">
        <v>44577.81658564815</v>
      </c>
      <c r="Q285" s="90" t="s">
        <v>523</v>
      </c>
      <c r="R285" s="95" t="str">
        <f>HYPERLINK("https://www.tripadvisor.com/Restaurant_Review-g189934-d21338840-Reviews-Bardot-Helsinki_Uusimaa.html")</f>
        <v>https://www.tripadvisor.com/Restaurant_Review-g189934-d21338840-Reviews-Bardot-Helsinki_Uusimaa.html</v>
      </c>
      <c r="S285" s="90" t="s">
        <v>554</v>
      </c>
      <c r="T285" s="90"/>
      <c r="U285" s="90"/>
      <c r="V285" s="95" t="str">
        <f>HYPERLINK("https://pbs.twimg.com/profile_images/1448922744775643151/3CirHjKK_normal.jpg")</f>
        <v>https://pbs.twimg.com/profile_images/1448922744775643151/3CirHjKK_normal.jpg</v>
      </c>
      <c r="W285" s="93">
        <v>44577.81658564815</v>
      </c>
      <c r="X285" s="102">
        <v>44577</v>
      </c>
      <c r="Y285" s="97" t="s">
        <v>803</v>
      </c>
      <c r="Z285" s="95" t="str">
        <f>HYPERLINK("https://twitter.com/rottaerkki/status/1482798781498380291")</f>
        <v>https://twitter.com/rottaerkki/status/1482798781498380291</v>
      </c>
      <c r="AA285" s="90"/>
      <c r="AB285" s="90"/>
      <c r="AC285" s="97" t="s">
        <v>1044</v>
      </c>
      <c r="AD285" s="90"/>
      <c r="AE285" s="90" t="b">
        <v>0</v>
      </c>
      <c r="AF285" s="90">
        <v>0</v>
      </c>
      <c r="AG285" s="97" t="s">
        <v>1087</v>
      </c>
      <c r="AH285" s="90" t="b">
        <v>0</v>
      </c>
      <c r="AI285" s="90" t="s">
        <v>1127</v>
      </c>
      <c r="AJ285" s="90"/>
      <c r="AK285" s="97" t="s">
        <v>1087</v>
      </c>
      <c r="AL285" s="90" t="b">
        <v>0</v>
      </c>
      <c r="AM285" s="90">
        <v>15</v>
      </c>
      <c r="AN285" s="97" t="s">
        <v>1043</v>
      </c>
      <c r="AO285" s="97" t="s">
        <v>1132</v>
      </c>
      <c r="AP285" s="90" t="b">
        <v>0</v>
      </c>
      <c r="AQ285" s="97" t="s">
        <v>1043</v>
      </c>
      <c r="AR285" s="90" t="s">
        <v>178</v>
      </c>
      <c r="AS285" s="90">
        <v>0</v>
      </c>
      <c r="AT285" s="90">
        <v>0</v>
      </c>
      <c r="AU285" s="90"/>
      <c r="AV285" s="90"/>
      <c r="AW285" s="90"/>
      <c r="AX285" s="90"/>
      <c r="AY285" s="90"/>
      <c r="AZ285" s="90"/>
      <c r="BA285" s="90"/>
      <c r="BB285" s="90"/>
      <c r="BC285">
        <v>1</v>
      </c>
      <c r="BD285" s="89" t="str">
        <f>REPLACE(INDEX(GroupVertices[Group],MATCH(Edges[[#This Row],[Vertex 1]],GroupVertices[Vertex],0)),1,1,"")</f>
        <v>5</v>
      </c>
      <c r="BE285" s="89" t="str">
        <f>REPLACE(INDEX(GroupVertices[Group],MATCH(Edges[[#This Row],[Vertex 2]],GroupVertices[Vertex],0)),1,1,"")</f>
        <v>5</v>
      </c>
      <c r="BF285" s="49">
        <v>0</v>
      </c>
      <c r="BG285" s="50">
        <v>0</v>
      </c>
      <c r="BH285" s="49">
        <v>0</v>
      </c>
      <c r="BI285" s="50">
        <v>0</v>
      </c>
      <c r="BJ285" s="49">
        <v>0</v>
      </c>
      <c r="BK285" s="50">
        <v>0</v>
      </c>
      <c r="BL285" s="49">
        <v>13</v>
      </c>
      <c r="BM285" s="50">
        <v>100</v>
      </c>
      <c r="BN285" s="49">
        <v>13</v>
      </c>
    </row>
    <row r="286" spans="1:66" ht="15">
      <c r="A286" s="65" t="s">
        <v>399</v>
      </c>
      <c r="B286" s="65" t="s">
        <v>400</v>
      </c>
      <c r="C286" s="66" t="s">
        <v>4405</v>
      </c>
      <c r="D286" s="67">
        <v>1</v>
      </c>
      <c r="E286" s="68" t="s">
        <v>132</v>
      </c>
      <c r="F286" s="69">
        <v>32</v>
      </c>
      <c r="G286" s="66" t="s">
        <v>51</v>
      </c>
      <c r="H286" s="70"/>
      <c r="I286" s="71"/>
      <c r="J286" s="71"/>
      <c r="K286" s="35" t="s">
        <v>65</v>
      </c>
      <c r="L286" s="79">
        <v>286</v>
      </c>
      <c r="M286" s="79"/>
      <c r="N286" s="73"/>
      <c r="O286" s="90" t="s">
        <v>447</v>
      </c>
      <c r="P286" s="93">
        <v>44577.811574074076</v>
      </c>
      <c r="Q286" s="90" t="s">
        <v>523</v>
      </c>
      <c r="R286" s="95" t="str">
        <f>HYPERLINK("https://www.tripadvisor.com/Restaurant_Review-g189934-d21338840-Reviews-Bardot-Helsinki_Uusimaa.html")</f>
        <v>https://www.tripadvisor.com/Restaurant_Review-g189934-d21338840-Reviews-Bardot-Helsinki_Uusimaa.html</v>
      </c>
      <c r="S286" s="90" t="s">
        <v>554</v>
      </c>
      <c r="T286" s="90"/>
      <c r="U286" s="90"/>
      <c r="V286" s="95" t="str">
        <f>HYPERLINK("https://pbs.twimg.com/profile_images/1183318674272337920/kwB5npnN_normal.jpg")</f>
        <v>https://pbs.twimg.com/profile_images/1183318674272337920/kwB5npnN_normal.jpg</v>
      </c>
      <c r="W286" s="93">
        <v>44577.811574074076</v>
      </c>
      <c r="X286" s="102">
        <v>44577</v>
      </c>
      <c r="Y286" s="97" t="s">
        <v>804</v>
      </c>
      <c r="Z286" s="95" t="str">
        <f>HYPERLINK("https://twitter.com/jyrki_k/status/1482796964580409348")</f>
        <v>https://twitter.com/jyrki_k/status/1482796964580409348</v>
      </c>
      <c r="AA286" s="90"/>
      <c r="AB286" s="90"/>
      <c r="AC286" s="97" t="s">
        <v>1045</v>
      </c>
      <c r="AD286" s="90"/>
      <c r="AE286" s="90" t="b">
        <v>0</v>
      </c>
      <c r="AF286" s="90">
        <v>0</v>
      </c>
      <c r="AG286" s="97" t="s">
        <v>1087</v>
      </c>
      <c r="AH286" s="90" t="b">
        <v>0</v>
      </c>
      <c r="AI286" s="90" t="s">
        <v>1127</v>
      </c>
      <c r="AJ286" s="90"/>
      <c r="AK286" s="97" t="s">
        <v>1087</v>
      </c>
      <c r="AL286" s="90" t="b">
        <v>0</v>
      </c>
      <c r="AM286" s="90">
        <v>15</v>
      </c>
      <c r="AN286" s="97" t="s">
        <v>1043</v>
      </c>
      <c r="AO286" s="97" t="s">
        <v>1132</v>
      </c>
      <c r="AP286" s="90" t="b">
        <v>0</v>
      </c>
      <c r="AQ286" s="97" t="s">
        <v>1043</v>
      </c>
      <c r="AR286" s="90" t="s">
        <v>178</v>
      </c>
      <c r="AS286" s="90">
        <v>0</v>
      </c>
      <c r="AT286" s="90">
        <v>0</v>
      </c>
      <c r="AU286" s="90"/>
      <c r="AV286" s="90"/>
      <c r="AW286" s="90"/>
      <c r="AX286" s="90"/>
      <c r="AY286" s="90"/>
      <c r="AZ286" s="90"/>
      <c r="BA286" s="90"/>
      <c r="BB286" s="90"/>
      <c r="BC286">
        <v>1</v>
      </c>
      <c r="BD286" s="89" t="str">
        <f>REPLACE(INDEX(GroupVertices[Group],MATCH(Edges[[#This Row],[Vertex 1]],GroupVertices[Vertex],0)),1,1,"")</f>
        <v>5</v>
      </c>
      <c r="BE286" s="89" t="str">
        <f>REPLACE(INDEX(GroupVertices[Group],MATCH(Edges[[#This Row],[Vertex 2]],GroupVertices[Vertex],0)),1,1,"")</f>
        <v>5</v>
      </c>
      <c r="BF286" s="49">
        <v>0</v>
      </c>
      <c r="BG286" s="50">
        <v>0</v>
      </c>
      <c r="BH286" s="49">
        <v>0</v>
      </c>
      <c r="BI286" s="50">
        <v>0</v>
      </c>
      <c r="BJ286" s="49">
        <v>0</v>
      </c>
      <c r="BK286" s="50">
        <v>0</v>
      </c>
      <c r="BL286" s="49">
        <v>13</v>
      </c>
      <c r="BM286" s="50">
        <v>100</v>
      </c>
      <c r="BN286" s="49">
        <v>13</v>
      </c>
    </row>
    <row r="287" spans="1:66" ht="15">
      <c r="A287" s="65" t="s">
        <v>401</v>
      </c>
      <c r="B287" s="65" t="s">
        <v>401</v>
      </c>
      <c r="C287" s="66" t="s">
        <v>4405</v>
      </c>
      <c r="D287" s="67">
        <v>1</v>
      </c>
      <c r="E287" s="68" t="s">
        <v>132</v>
      </c>
      <c r="F287" s="69">
        <v>32</v>
      </c>
      <c r="G287" s="66" t="s">
        <v>51</v>
      </c>
      <c r="H287" s="70"/>
      <c r="I287" s="71"/>
      <c r="J287" s="71"/>
      <c r="K287" s="35" t="s">
        <v>65</v>
      </c>
      <c r="L287" s="79">
        <v>287</v>
      </c>
      <c r="M287" s="79"/>
      <c r="N287" s="73"/>
      <c r="O287" s="90" t="s">
        <v>178</v>
      </c>
      <c r="P287" s="93">
        <v>44577.85622685185</v>
      </c>
      <c r="Q287" s="90" t="s">
        <v>546</v>
      </c>
      <c r="R287" s="90"/>
      <c r="S287" s="90"/>
      <c r="T287" s="90"/>
      <c r="U287" s="90"/>
      <c r="V287" s="95" t="str">
        <f>HYPERLINK("https://pbs.twimg.com/profile_images/1448922744775643151/3CirHjKK_normal.jpg")</f>
        <v>https://pbs.twimg.com/profile_images/1448922744775643151/3CirHjKK_normal.jpg</v>
      </c>
      <c r="W287" s="93">
        <v>44577.85622685185</v>
      </c>
      <c r="X287" s="102">
        <v>44577</v>
      </c>
      <c r="Y287" s="97" t="s">
        <v>805</v>
      </c>
      <c r="Z287" s="95" t="str">
        <f>HYPERLINK("https://twitter.com/rottaerkki/status/1482813147228647431")</f>
        <v>https://twitter.com/rottaerkki/status/1482813147228647431</v>
      </c>
      <c r="AA287" s="90"/>
      <c r="AB287" s="90"/>
      <c r="AC287" s="97" t="s">
        <v>1046</v>
      </c>
      <c r="AD287" s="90"/>
      <c r="AE287" s="90" t="b">
        <v>0</v>
      </c>
      <c r="AF287" s="90">
        <v>35</v>
      </c>
      <c r="AG287" s="97" t="s">
        <v>1087</v>
      </c>
      <c r="AH287" s="90" t="b">
        <v>0</v>
      </c>
      <c r="AI287" s="90" t="s">
        <v>1129</v>
      </c>
      <c r="AJ287" s="90"/>
      <c r="AK287" s="97" t="s">
        <v>1087</v>
      </c>
      <c r="AL287" s="90" t="b">
        <v>0</v>
      </c>
      <c r="AM287" s="90">
        <v>2</v>
      </c>
      <c r="AN287" s="97" t="s">
        <v>1087</v>
      </c>
      <c r="AO287" s="97" t="s">
        <v>1132</v>
      </c>
      <c r="AP287" s="90" t="b">
        <v>0</v>
      </c>
      <c r="AQ287" s="97" t="s">
        <v>1046</v>
      </c>
      <c r="AR287" s="90" t="s">
        <v>178</v>
      </c>
      <c r="AS287" s="90">
        <v>0</v>
      </c>
      <c r="AT287" s="90">
        <v>0</v>
      </c>
      <c r="AU287" s="90"/>
      <c r="AV287" s="90"/>
      <c r="AW287" s="90"/>
      <c r="AX287" s="90"/>
      <c r="AY287" s="90"/>
      <c r="AZ287" s="90"/>
      <c r="BA287" s="90"/>
      <c r="BB287" s="90"/>
      <c r="BC287">
        <v>1</v>
      </c>
      <c r="BD287" s="89" t="str">
        <f>REPLACE(INDEX(GroupVertices[Group],MATCH(Edges[[#This Row],[Vertex 1]],GroupVertices[Vertex],0)),1,1,"")</f>
        <v>5</v>
      </c>
      <c r="BE287" s="89" t="str">
        <f>REPLACE(INDEX(GroupVertices[Group],MATCH(Edges[[#This Row],[Vertex 2]],GroupVertices[Vertex],0)),1,1,"")</f>
        <v>5</v>
      </c>
      <c r="BF287" s="49">
        <v>0</v>
      </c>
      <c r="BG287" s="50">
        <v>0</v>
      </c>
      <c r="BH287" s="49">
        <v>0</v>
      </c>
      <c r="BI287" s="50">
        <v>0</v>
      </c>
      <c r="BJ287" s="49">
        <v>0</v>
      </c>
      <c r="BK287" s="50">
        <v>0</v>
      </c>
      <c r="BL287" s="49">
        <v>3</v>
      </c>
      <c r="BM287" s="50">
        <v>100</v>
      </c>
      <c r="BN287" s="49">
        <v>3</v>
      </c>
    </row>
    <row r="288" spans="1:66" ht="15">
      <c r="A288" s="65" t="s">
        <v>399</v>
      </c>
      <c r="B288" s="65" t="s">
        <v>401</v>
      </c>
      <c r="C288" s="66" t="s">
        <v>4405</v>
      </c>
      <c r="D288" s="67">
        <v>1</v>
      </c>
      <c r="E288" s="68" t="s">
        <v>132</v>
      </c>
      <c r="F288" s="69">
        <v>32</v>
      </c>
      <c r="G288" s="66" t="s">
        <v>51</v>
      </c>
      <c r="H288" s="70"/>
      <c r="I288" s="71"/>
      <c r="J288" s="71"/>
      <c r="K288" s="35" t="s">
        <v>65</v>
      </c>
      <c r="L288" s="79">
        <v>288</v>
      </c>
      <c r="M288" s="79"/>
      <c r="N288" s="73"/>
      <c r="O288" s="90" t="s">
        <v>447</v>
      </c>
      <c r="P288" s="93">
        <v>44578.47787037037</v>
      </c>
      <c r="Q288" s="90" t="s">
        <v>546</v>
      </c>
      <c r="R288" s="90"/>
      <c r="S288" s="90"/>
      <c r="T288" s="90"/>
      <c r="U288" s="90"/>
      <c r="V288" s="95" t="str">
        <f>HYPERLINK("https://pbs.twimg.com/profile_images/1183318674272337920/kwB5npnN_normal.jpg")</f>
        <v>https://pbs.twimg.com/profile_images/1183318674272337920/kwB5npnN_normal.jpg</v>
      </c>
      <c r="W288" s="93">
        <v>44578.47787037037</v>
      </c>
      <c r="X288" s="102">
        <v>44578</v>
      </c>
      <c r="Y288" s="97" t="s">
        <v>806</v>
      </c>
      <c r="Z288" s="95" t="str">
        <f>HYPERLINK("https://twitter.com/jyrki_k/status/1483038424080736257")</f>
        <v>https://twitter.com/jyrki_k/status/1483038424080736257</v>
      </c>
      <c r="AA288" s="90"/>
      <c r="AB288" s="90"/>
      <c r="AC288" s="97" t="s">
        <v>1047</v>
      </c>
      <c r="AD288" s="90"/>
      <c r="AE288" s="90" t="b">
        <v>0</v>
      </c>
      <c r="AF288" s="90">
        <v>0</v>
      </c>
      <c r="AG288" s="97" t="s">
        <v>1087</v>
      </c>
      <c r="AH288" s="90" t="b">
        <v>0</v>
      </c>
      <c r="AI288" s="90" t="s">
        <v>1129</v>
      </c>
      <c r="AJ288" s="90"/>
      <c r="AK288" s="97" t="s">
        <v>1087</v>
      </c>
      <c r="AL288" s="90" t="b">
        <v>0</v>
      </c>
      <c r="AM288" s="90">
        <v>2</v>
      </c>
      <c r="AN288" s="97" t="s">
        <v>1046</v>
      </c>
      <c r="AO288" s="97" t="s">
        <v>1132</v>
      </c>
      <c r="AP288" s="90" t="b">
        <v>0</v>
      </c>
      <c r="AQ288" s="97" t="s">
        <v>1046</v>
      </c>
      <c r="AR288" s="90" t="s">
        <v>178</v>
      </c>
      <c r="AS288" s="90">
        <v>0</v>
      </c>
      <c r="AT288" s="90">
        <v>0</v>
      </c>
      <c r="AU288" s="90"/>
      <c r="AV288" s="90"/>
      <c r="AW288" s="90"/>
      <c r="AX288" s="90"/>
      <c r="AY288" s="90"/>
      <c r="AZ288" s="90"/>
      <c r="BA288" s="90"/>
      <c r="BB288" s="90"/>
      <c r="BC288">
        <v>1</v>
      </c>
      <c r="BD288" s="89" t="str">
        <f>REPLACE(INDEX(GroupVertices[Group],MATCH(Edges[[#This Row],[Vertex 1]],GroupVertices[Vertex],0)),1,1,"")</f>
        <v>5</v>
      </c>
      <c r="BE288" s="89" t="str">
        <f>REPLACE(INDEX(GroupVertices[Group],MATCH(Edges[[#This Row],[Vertex 2]],GroupVertices[Vertex],0)),1,1,"")</f>
        <v>5</v>
      </c>
      <c r="BF288" s="49">
        <v>0</v>
      </c>
      <c r="BG288" s="50">
        <v>0</v>
      </c>
      <c r="BH288" s="49">
        <v>0</v>
      </c>
      <c r="BI288" s="50">
        <v>0</v>
      </c>
      <c r="BJ288" s="49">
        <v>0</v>
      </c>
      <c r="BK288" s="50">
        <v>0</v>
      </c>
      <c r="BL288" s="49">
        <v>3</v>
      </c>
      <c r="BM288" s="50">
        <v>100</v>
      </c>
      <c r="BN288" s="49">
        <v>3</v>
      </c>
    </row>
    <row r="289" spans="1:66" ht="15">
      <c r="A289" s="65" t="s">
        <v>399</v>
      </c>
      <c r="B289" s="65" t="s">
        <v>403</v>
      </c>
      <c r="C289" s="66" t="s">
        <v>4405</v>
      </c>
      <c r="D289" s="67">
        <v>1</v>
      </c>
      <c r="E289" s="68" t="s">
        <v>132</v>
      </c>
      <c r="F289" s="69">
        <v>32</v>
      </c>
      <c r="G289" s="66" t="s">
        <v>51</v>
      </c>
      <c r="H289" s="70"/>
      <c r="I289" s="71"/>
      <c r="J289" s="71"/>
      <c r="K289" s="35" t="s">
        <v>65</v>
      </c>
      <c r="L289" s="79">
        <v>289</v>
      </c>
      <c r="M289" s="79"/>
      <c r="N289" s="73"/>
      <c r="O289" s="90" t="s">
        <v>447</v>
      </c>
      <c r="P289" s="93">
        <v>44578.65520833333</v>
      </c>
      <c r="Q289" s="90" t="s">
        <v>533</v>
      </c>
      <c r="R289" s="90"/>
      <c r="S289" s="90"/>
      <c r="T289" s="97" t="s">
        <v>570</v>
      </c>
      <c r="U289" s="90"/>
      <c r="V289" s="95" t="str">
        <f>HYPERLINK("https://pbs.twimg.com/profile_images/1183318674272337920/kwB5npnN_normal.jpg")</f>
        <v>https://pbs.twimg.com/profile_images/1183318674272337920/kwB5npnN_normal.jpg</v>
      </c>
      <c r="W289" s="93">
        <v>44578.65520833333</v>
      </c>
      <c r="X289" s="102">
        <v>44578</v>
      </c>
      <c r="Y289" s="97" t="s">
        <v>807</v>
      </c>
      <c r="Z289" s="95" t="str">
        <f>HYPERLINK("https://twitter.com/jyrki_k/status/1483102691085664257")</f>
        <v>https://twitter.com/jyrki_k/status/1483102691085664257</v>
      </c>
      <c r="AA289" s="90"/>
      <c r="AB289" s="90"/>
      <c r="AC289" s="97" t="s">
        <v>1048</v>
      </c>
      <c r="AD289" s="90"/>
      <c r="AE289" s="90" t="b">
        <v>0</v>
      </c>
      <c r="AF289" s="90">
        <v>0</v>
      </c>
      <c r="AG289" s="97" t="s">
        <v>1087</v>
      </c>
      <c r="AH289" s="90" t="b">
        <v>0</v>
      </c>
      <c r="AI289" s="90" t="s">
        <v>1127</v>
      </c>
      <c r="AJ289" s="90"/>
      <c r="AK289" s="97" t="s">
        <v>1087</v>
      </c>
      <c r="AL289" s="90" t="b">
        <v>0</v>
      </c>
      <c r="AM289" s="90">
        <v>31</v>
      </c>
      <c r="AN289" s="97" t="s">
        <v>1051</v>
      </c>
      <c r="AO289" s="97" t="s">
        <v>1132</v>
      </c>
      <c r="AP289" s="90" t="b">
        <v>0</v>
      </c>
      <c r="AQ289" s="97" t="s">
        <v>1051</v>
      </c>
      <c r="AR289" s="90" t="s">
        <v>178</v>
      </c>
      <c r="AS289" s="90">
        <v>0</v>
      </c>
      <c r="AT289" s="90">
        <v>0</v>
      </c>
      <c r="AU289" s="90"/>
      <c r="AV289" s="90"/>
      <c r="AW289" s="90"/>
      <c r="AX289" s="90"/>
      <c r="AY289" s="90"/>
      <c r="AZ289" s="90"/>
      <c r="BA289" s="90"/>
      <c r="BB289" s="90"/>
      <c r="BC289">
        <v>1</v>
      </c>
      <c r="BD289" s="89" t="str">
        <f>REPLACE(INDEX(GroupVertices[Group],MATCH(Edges[[#This Row],[Vertex 1]],GroupVertices[Vertex],0)),1,1,"")</f>
        <v>5</v>
      </c>
      <c r="BE289" s="89" t="str">
        <f>REPLACE(INDEX(GroupVertices[Group],MATCH(Edges[[#This Row],[Vertex 2]],GroupVertices[Vertex],0)),1,1,"")</f>
        <v>4</v>
      </c>
      <c r="BF289" s="49">
        <v>0</v>
      </c>
      <c r="BG289" s="50">
        <v>0</v>
      </c>
      <c r="BH289" s="49">
        <v>0</v>
      </c>
      <c r="BI289" s="50">
        <v>0</v>
      </c>
      <c r="BJ289" s="49">
        <v>0</v>
      </c>
      <c r="BK289" s="50">
        <v>0</v>
      </c>
      <c r="BL289" s="49">
        <v>24</v>
      </c>
      <c r="BM289" s="50">
        <v>100</v>
      </c>
      <c r="BN289" s="49">
        <v>24</v>
      </c>
    </row>
    <row r="290" spans="1:66" ht="15">
      <c r="A290" s="65" t="s">
        <v>402</v>
      </c>
      <c r="B290" s="65" t="s">
        <v>403</v>
      </c>
      <c r="C290" s="66" t="s">
        <v>4405</v>
      </c>
      <c r="D290" s="67">
        <v>1</v>
      </c>
      <c r="E290" s="68" t="s">
        <v>132</v>
      </c>
      <c r="F290" s="69">
        <v>32</v>
      </c>
      <c r="G290" s="66" t="s">
        <v>51</v>
      </c>
      <c r="H290" s="70"/>
      <c r="I290" s="71"/>
      <c r="J290" s="71"/>
      <c r="K290" s="35" t="s">
        <v>65</v>
      </c>
      <c r="L290" s="79">
        <v>290</v>
      </c>
      <c r="M290" s="79"/>
      <c r="N290" s="73"/>
      <c r="O290" s="90" t="s">
        <v>447</v>
      </c>
      <c r="P290" s="93">
        <v>44578.65577546296</v>
      </c>
      <c r="Q290" s="90" t="s">
        <v>533</v>
      </c>
      <c r="R290" s="90"/>
      <c r="S290" s="90"/>
      <c r="T290" s="97" t="s">
        <v>570</v>
      </c>
      <c r="U290" s="90"/>
      <c r="V290" s="95" t="str">
        <f>HYPERLINK("https://pbs.twimg.com/profile_images/1456300690851180549/J43DW9l-_normal.jpg")</f>
        <v>https://pbs.twimg.com/profile_images/1456300690851180549/J43DW9l-_normal.jpg</v>
      </c>
      <c r="W290" s="93">
        <v>44578.65577546296</v>
      </c>
      <c r="X290" s="102">
        <v>44578</v>
      </c>
      <c r="Y290" s="97" t="s">
        <v>808</v>
      </c>
      <c r="Z290" s="95" t="str">
        <f>HYPERLINK("https://twitter.com/mirkhe/status/1483102895759319043")</f>
        <v>https://twitter.com/mirkhe/status/1483102895759319043</v>
      </c>
      <c r="AA290" s="90"/>
      <c r="AB290" s="90"/>
      <c r="AC290" s="97" t="s">
        <v>1049</v>
      </c>
      <c r="AD290" s="90"/>
      <c r="AE290" s="90" t="b">
        <v>0</v>
      </c>
      <c r="AF290" s="90">
        <v>0</v>
      </c>
      <c r="AG290" s="97" t="s">
        <v>1087</v>
      </c>
      <c r="AH290" s="90" t="b">
        <v>0</v>
      </c>
      <c r="AI290" s="90" t="s">
        <v>1127</v>
      </c>
      <c r="AJ290" s="90"/>
      <c r="AK290" s="97" t="s">
        <v>1087</v>
      </c>
      <c r="AL290" s="90" t="b">
        <v>0</v>
      </c>
      <c r="AM290" s="90">
        <v>31</v>
      </c>
      <c r="AN290" s="97" t="s">
        <v>1051</v>
      </c>
      <c r="AO290" s="97" t="s">
        <v>1134</v>
      </c>
      <c r="AP290" s="90" t="b">
        <v>0</v>
      </c>
      <c r="AQ290" s="97" t="s">
        <v>1051</v>
      </c>
      <c r="AR290" s="90" t="s">
        <v>178</v>
      </c>
      <c r="AS290" s="90">
        <v>0</v>
      </c>
      <c r="AT290" s="90">
        <v>0</v>
      </c>
      <c r="AU290" s="90"/>
      <c r="AV290" s="90"/>
      <c r="AW290" s="90"/>
      <c r="AX290" s="90"/>
      <c r="AY290" s="90"/>
      <c r="AZ290" s="90"/>
      <c r="BA290" s="90"/>
      <c r="BB290" s="90"/>
      <c r="BC290">
        <v>1</v>
      </c>
      <c r="BD290" s="89" t="str">
        <f>REPLACE(INDEX(GroupVertices[Group],MATCH(Edges[[#This Row],[Vertex 1]],GroupVertices[Vertex],0)),1,1,"")</f>
        <v>4</v>
      </c>
      <c r="BE290" s="89" t="str">
        <f>REPLACE(INDEX(GroupVertices[Group],MATCH(Edges[[#This Row],[Vertex 2]],GroupVertices[Vertex],0)),1,1,"")</f>
        <v>4</v>
      </c>
      <c r="BF290" s="49">
        <v>0</v>
      </c>
      <c r="BG290" s="50">
        <v>0</v>
      </c>
      <c r="BH290" s="49">
        <v>0</v>
      </c>
      <c r="BI290" s="50">
        <v>0</v>
      </c>
      <c r="BJ290" s="49">
        <v>0</v>
      </c>
      <c r="BK290" s="50">
        <v>0</v>
      </c>
      <c r="BL290" s="49">
        <v>24</v>
      </c>
      <c r="BM290" s="50">
        <v>100</v>
      </c>
      <c r="BN290" s="49">
        <v>24</v>
      </c>
    </row>
    <row r="291" spans="1:66" ht="15">
      <c r="A291" s="65" t="s">
        <v>403</v>
      </c>
      <c r="B291" s="65" t="s">
        <v>403</v>
      </c>
      <c r="C291" s="66" t="s">
        <v>4406</v>
      </c>
      <c r="D291" s="67">
        <v>1</v>
      </c>
      <c r="E291" s="68" t="s">
        <v>132</v>
      </c>
      <c r="F291" s="69">
        <v>32</v>
      </c>
      <c r="G291" s="66" t="s">
        <v>51</v>
      </c>
      <c r="H291" s="70"/>
      <c r="I291" s="71"/>
      <c r="J291" s="71"/>
      <c r="K291" s="35" t="s">
        <v>65</v>
      </c>
      <c r="L291" s="79">
        <v>291</v>
      </c>
      <c r="M291" s="79"/>
      <c r="N291" s="73"/>
      <c r="O291" s="90" t="s">
        <v>178</v>
      </c>
      <c r="P291" s="93">
        <v>44577.43040509259</v>
      </c>
      <c r="Q291" s="90" t="s">
        <v>547</v>
      </c>
      <c r="R291" s="95" t="str">
        <f>HYPERLINK("https://www.iltalehti.fi/viihdeuutiset/a/2747483a-238e-45e8-9a81-cc9b338d1225")</f>
        <v>https://www.iltalehti.fi/viihdeuutiset/a/2747483a-238e-45e8-9a81-cc9b338d1225</v>
      </c>
      <c r="S291" s="90" t="s">
        <v>549</v>
      </c>
      <c r="T291" s="97" t="s">
        <v>571</v>
      </c>
      <c r="U291" s="90"/>
      <c r="V291" s="95" t="str">
        <f>HYPERLINK("https://pbs.twimg.com/profile_images/1461811194264756232/6gz9OD5U_normal.jpg")</f>
        <v>https://pbs.twimg.com/profile_images/1461811194264756232/6gz9OD5U_normal.jpg</v>
      </c>
      <c r="W291" s="93">
        <v>44577.43040509259</v>
      </c>
      <c r="X291" s="102">
        <v>44577</v>
      </c>
      <c r="Y291" s="97" t="s">
        <v>809</v>
      </c>
      <c r="Z291" s="95" t="str">
        <f>HYPERLINK("https://twitter.com/tuija_niskanen/status/1482658835944857600")</f>
        <v>https://twitter.com/tuija_niskanen/status/1482658835944857600</v>
      </c>
      <c r="AA291" s="90"/>
      <c r="AB291" s="90"/>
      <c r="AC291" s="97" t="s">
        <v>1050</v>
      </c>
      <c r="AD291" s="90"/>
      <c r="AE291" s="90" t="b">
        <v>0</v>
      </c>
      <c r="AF291" s="90">
        <v>25</v>
      </c>
      <c r="AG291" s="97" t="s">
        <v>1087</v>
      </c>
      <c r="AH291" s="90" t="b">
        <v>0</v>
      </c>
      <c r="AI291" s="90" t="s">
        <v>1127</v>
      </c>
      <c r="AJ291" s="90"/>
      <c r="AK291" s="97" t="s">
        <v>1087</v>
      </c>
      <c r="AL291" s="90" t="b">
        <v>0</v>
      </c>
      <c r="AM291" s="90">
        <v>0</v>
      </c>
      <c r="AN291" s="97" t="s">
        <v>1087</v>
      </c>
      <c r="AO291" s="97" t="s">
        <v>1134</v>
      </c>
      <c r="AP291" s="90" t="b">
        <v>0</v>
      </c>
      <c r="AQ291" s="97" t="s">
        <v>1050</v>
      </c>
      <c r="AR291" s="90" t="s">
        <v>178</v>
      </c>
      <c r="AS291" s="90">
        <v>0</v>
      </c>
      <c r="AT291" s="90">
        <v>0</v>
      </c>
      <c r="AU291" s="90"/>
      <c r="AV291" s="90"/>
      <c r="AW291" s="90"/>
      <c r="AX291" s="90"/>
      <c r="AY291" s="90"/>
      <c r="AZ291" s="90"/>
      <c r="BA291" s="90"/>
      <c r="BB291" s="90"/>
      <c r="BC291">
        <v>2</v>
      </c>
      <c r="BD291" s="89" t="str">
        <f>REPLACE(INDEX(GroupVertices[Group],MATCH(Edges[[#This Row],[Vertex 1]],GroupVertices[Vertex],0)),1,1,"")</f>
        <v>4</v>
      </c>
      <c r="BE291" s="89" t="str">
        <f>REPLACE(INDEX(GroupVertices[Group],MATCH(Edges[[#This Row],[Vertex 2]],GroupVertices[Vertex],0)),1,1,"")</f>
        <v>4</v>
      </c>
      <c r="BF291" s="49">
        <v>0</v>
      </c>
      <c r="BG291" s="50">
        <v>0</v>
      </c>
      <c r="BH291" s="49">
        <v>0</v>
      </c>
      <c r="BI291" s="50">
        <v>0</v>
      </c>
      <c r="BJ291" s="49">
        <v>0</v>
      </c>
      <c r="BK291" s="50">
        <v>0</v>
      </c>
      <c r="BL291" s="49">
        <v>27</v>
      </c>
      <c r="BM291" s="50">
        <v>100</v>
      </c>
      <c r="BN291" s="49">
        <v>27</v>
      </c>
    </row>
    <row r="292" spans="1:66" ht="15">
      <c r="A292" s="65" t="s">
        <v>403</v>
      </c>
      <c r="B292" s="65" t="s">
        <v>403</v>
      </c>
      <c r="C292" s="66" t="s">
        <v>4406</v>
      </c>
      <c r="D292" s="67">
        <v>1</v>
      </c>
      <c r="E292" s="68" t="s">
        <v>132</v>
      </c>
      <c r="F292" s="69">
        <v>32</v>
      </c>
      <c r="G292" s="66" t="s">
        <v>51</v>
      </c>
      <c r="H292" s="70"/>
      <c r="I292" s="71"/>
      <c r="J292" s="71"/>
      <c r="K292" s="35" t="s">
        <v>65</v>
      </c>
      <c r="L292" s="79">
        <v>292</v>
      </c>
      <c r="M292" s="79"/>
      <c r="N292" s="73"/>
      <c r="O292" s="90" t="s">
        <v>178</v>
      </c>
      <c r="P292" s="93">
        <v>44578.451527777775</v>
      </c>
      <c r="Q292" s="90" t="s">
        <v>533</v>
      </c>
      <c r="R292" s="90"/>
      <c r="S292" s="90"/>
      <c r="T292" s="97" t="s">
        <v>570</v>
      </c>
      <c r="U292" s="90"/>
      <c r="V292" s="95" t="str">
        <f>HYPERLINK("https://pbs.twimg.com/profile_images/1461811194264756232/6gz9OD5U_normal.jpg")</f>
        <v>https://pbs.twimg.com/profile_images/1461811194264756232/6gz9OD5U_normal.jpg</v>
      </c>
      <c r="W292" s="93">
        <v>44578.451527777775</v>
      </c>
      <c r="X292" s="102">
        <v>44578</v>
      </c>
      <c r="Y292" s="97" t="s">
        <v>810</v>
      </c>
      <c r="Z292" s="95" t="str">
        <f>HYPERLINK("https://twitter.com/tuija_niskanen/status/1483028876150415363")</f>
        <v>https://twitter.com/tuija_niskanen/status/1483028876150415363</v>
      </c>
      <c r="AA292" s="90"/>
      <c r="AB292" s="90"/>
      <c r="AC292" s="97" t="s">
        <v>1051</v>
      </c>
      <c r="AD292" s="90"/>
      <c r="AE292" s="90" t="b">
        <v>0</v>
      </c>
      <c r="AF292" s="90">
        <v>266</v>
      </c>
      <c r="AG292" s="97" t="s">
        <v>1087</v>
      </c>
      <c r="AH292" s="90" t="b">
        <v>0</v>
      </c>
      <c r="AI292" s="90" t="s">
        <v>1127</v>
      </c>
      <c r="AJ292" s="90"/>
      <c r="AK292" s="97" t="s">
        <v>1087</v>
      </c>
      <c r="AL292" s="90" t="b">
        <v>0</v>
      </c>
      <c r="AM292" s="90">
        <v>31</v>
      </c>
      <c r="AN292" s="97" t="s">
        <v>1087</v>
      </c>
      <c r="AO292" s="97" t="s">
        <v>1132</v>
      </c>
      <c r="AP292" s="90" t="b">
        <v>0</v>
      </c>
      <c r="AQ292" s="97" t="s">
        <v>1051</v>
      </c>
      <c r="AR292" s="90" t="s">
        <v>178</v>
      </c>
      <c r="AS292" s="90">
        <v>0</v>
      </c>
      <c r="AT292" s="90">
        <v>0</v>
      </c>
      <c r="AU292" s="90"/>
      <c r="AV292" s="90"/>
      <c r="AW292" s="90"/>
      <c r="AX292" s="90"/>
      <c r="AY292" s="90"/>
      <c r="AZ292" s="90"/>
      <c r="BA292" s="90"/>
      <c r="BB292" s="90"/>
      <c r="BC292">
        <v>2</v>
      </c>
      <c r="BD292" s="89" t="str">
        <f>REPLACE(INDEX(GroupVertices[Group],MATCH(Edges[[#This Row],[Vertex 1]],GroupVertices[Vertex],0)),1,1,"")</f>
        <v>4</v>
      </c>
      <c r="BE292" s="89" t="str">
        <f>REPLACE(INDEX(GroupVertices[Group],MATCH(Edges[[#This Row],[Vertex 2]],GroupVertices[Vertex],0)),1,1,"")</f>
        <v>4</v>
      </c>
      <c r="BF292" s="49">
        <v>0</v>
      </c>
      <c r="BG292" s="50">
        <v>0</v>
      </c>
      <c r="BH292" s="49">
        <v>0</v>
      </c>
      <c r="BI292" s="50">
        <v>0</v>
      </c>
      <c r="BJ292" s="49">
        <v>0</v>
      </c>
      <c r="BK292" s="50">
        <v>0</v>
      </c>
      <c r="BL292" s="49">
        <v>24</v>
      </c>
      <c r="BM292" s="50">
        <v>100</v>
      </c>
      <c r="BN292" s="49">
        <v>24</v>
      </c>
    </row>
    <row r="293" spans="1:66" ht="15">
      <c r="A293" s="80" t="s">
        <v>404</v>
      </c>
      <c r="B293" s="80" t="s">
        <v>403</v>
      </c>
      <c r="C293" s="81" t="s">
        <v>4405</v>
      </c>
      <c r="D293" s="82">
        <v>1</v>
      </c>
      <c r="E293" s="83" t="s">
        <v>132</v>
      </c>
      <c r="F293" s="84">
        <v>32</v>
      </c>
      <c r="G293" s="81" t="s">
        <v>51</v>
      </c>
      <c r="H293" s="85"/>
      <c r="I293" s="86"/>
      <c r="J293" s="86"/>
      <c r="K293" s="35" t="s">
        <v>65</v>
      </c>
      <c r="L293" s="87">
        <v>293</v>
      </c>
      <c r="M293" s="87"/>
      <c r="N293" s="88"/>
      <c r="O293" s="91" t="s">
        <v>447</v>
      </c>
      <c r="P293" s="94">
        <v>44578.663668981484</v>
      </c>
      <c r="Q293" s="91" t="s">
        <v>533</v>
      </c>
      <c r="R293" s="91"/>
      <c r="S293" s="91"/>
      <c r="T293" s="98" t="s">
        <v>570</v>
      </c>
      <c r="U293" s="91"/>
      <c r="V293" s="100" t="str">
        <f>HYPERLINK("https://pbs.twimg.com/profile_images/735338439936233473/CJzVTYOH_normal.jpg")</f>
        <v>https://pbs.twimg.com/profile_images/735338439936233473/CJzVTYOH_normal.jpg</v>
      </c>
      <c r="W293" s="94">
        <v>44578.663668981484</v>
      </c>
      <c r="X293" s="103">
        <v>44578</v>
      </c>
      <c r="Y293" s="98" t="s">
        <v>811</v>
      </c>
      <c r="Z293" s="100" t="str">
        <f>HYPERLINK("https://twitter.com/cliljerot/status/1483105753321938944")</f>
        <v>https://twitter.com/cliljerot/status/1483105753321938944</v>
      </c>
      <c r="AA293" s="91"/>
      <c r="AB293" s="91"/>
      <c r="AC293" s="98" t="s">
        <v>1052</v>
      </c>
      <c r="AD293" s="91"/>
      <c r="AE293" s="91" t="b">
        <v>0</v>
      </c>
      <c r="AF293" s="91">
        <v>0</v>
      </c>
      <c r="AG293" s="98" t="s">
        <v>1087</v>
      </c>
      <c r="AH293" s="91" t="b">
        <v>0</v>
      </c>
      <c r="AI293" s="91" t="s">
        <v>1127</v>
      </c>
      <c r="AJ293" s="91"/>
      <c r="AK293" s="98" t="s">
        <v>1087</v>
      </c>
      <c r="AL293" s="91" t="b">
        <v>0</v>
      </c>
      <c r="AM293" s="91">
        <v>31</v>
      </c>
      <c r="AN293" s="98" t="s">
        <v>1051</v>
      </c>
      <c r="AO293" s="98" t="s">
        <v>1132</v>
      </c>
      <c r="AP293" s="91" t="b">
        <v>0</v>
      </c>
      <c r="AQ293" s="98" t="s">
        <v>1051</v>
      </c>
      <c r="AR293" s="91" t="s">
        <v>178</v>
      </c>
      <c r="AS293" s="91">
        <v>0</v>
      </c>
      <c r="AT293" s="91">
        <v>0</v>
      </c>
      <c r="AU293" s="91"/>
      <c r="AV293" s="91"/>
      <c r="AW293" s="91"/>
      <c r="AX293" s="91"/>
      <c r="AY293" s="91"/>
      <c r="AZ293" s="91"/>
      <c r="BA293" s="91"/>
      <c r="BB293" s="91"/>
      <c r="BC293">
        <v>1</v>
      </c>
      <c r="BD293" s="89" t="str">
        <f>REPLACE(INDEX(GroupVertices[Group],MATCH(Edges[[#This Row],[Vertex 1]],GroupVertices[Vertex],0)),1,1,"")</f>
        <v>4</v>
      </c>
      <c r="BE293" s="89" t="str">
        <f>REPLACE(INDEX(GroupVertices[Group],MATCH(Edges[[#This Row],[Vertex 2]],GroupVertices[Vertex],0)),1,1,"")</f>
        <v>4</v>
      </c>
      <c r="BF293" s="49">
        <v>0</v>
      </c>
      <c r="BG293" s="50">
        <v>0</v>
      </c>
      <c r="BH293" s="49">
        <v>0</v>
      </c>
      <c r="BI293" s="50">
        <v>0</v>
      </c>
      <c r="BJ293" s="49">
        <v>0</v>
      </c>
      <c r="BK293" s="50">
        <v>0</v>
      </c>
      <c r="BL293" s="49">
        <v>24</v>
      </c>
      <c r="BM293" s="50">
        <v>100</v>
      </c>
      <c r="BN29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F055-AD40-4A72-9C3A-EDE6EF739C79}">
  <dimension ref="A1:C428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2359</v>
      </c>
      <c r="B1" s="13" t="s">
        <v>2097</v>
      </c>
      <c r="C1" s="13" t="s">
        <v>190</v>
      </c>
    </row>
    <row r="2" spans="1:3" ht="15">
      <c r="A2" s="89" t="s">
        <v>404</v>
      </c>
      <c r="B2" s="89" t="s">
        <v>2360</v>
      </c>
      <c r="C2" s="96" t="s">
        <v>1052</v>
      </c>
    </row>
    <row r="3" spans="1:3" ht="15">
      <c r="A3" s="90" t="s">
        <v>404</v>
      </c>
      <c r="B3" s="89" t="s">
        <v>2140</v>
      </c>
      <c r="C3" s="96" t="s">
        <v>1052</v>
      </c>
    </row>
    <row r="4" spans="1:3" ht="15">
      <c r="A4" s="90" t="s">
        <v>404</v>
      </c>
      <c r="B4" s="89" t="s">
        <v>2124</v>
      </c>
      <c r="C4" s="96" t="s">
        <v>1052</v>
      </c>
    </row>
    <row r="5" spans="1:3" ht="15">
      <c r="A5" s="90" t="s">
        <v>404</v>
      </c>
      <c r="B5" s="89" t="s">
        <v>2132</v>
      </c>
      <c r="C5" s="96" t="s">
        <v>1052</v>
      </c>
    </row>
    <row r="6" spans="1:3" ht="15">
      <c r="A6" s="90" t="s">
        <v>404</v>
      </c>
      <c r="B6" s="89" t="s">
        <v>2361</v>
      </c>
      <c r="C6" s="96" t="s">
        <v>1052</v>
      </c>
    </row>
    <row r="7" spans="1:3" ht="15">
      <c r="A7" s="90" t="s">
        <v>404</v>
      </c>
      <c r="B7" s="89" t="s">
        <v>2141</v>
      </c>
      <c r="C7" s="96" t="s">
        <v>1052</v>
      </c>
    </row>
    <row r="8" spans="1:3" ht="15">
      <c r="A8" s="90" t="s">
        <v>404</v>
      </c>
      <c r="B8" s="89" t="s">
        <v>2362</v>
      </c>
      <c r="C8" s="96" t="s">
        <v>1052</v>
      </c>
    </row>
    <row r="9" spans="1:3" ht="15">
      <c r="A9" s="90" t="s">
        <v>404</v>
      </c>
      <c r="B9" s="89" t="s">
        <v>2142</v>
      </c>
      <c r="C9" s="96" t="s">
        <v>1052</v>
      </c>
    </row>
    <row r="10" spans="1:3" ht="15">
      <c r="A10" s="90" t="s">
        <v>404</v>
      </c>
      <c r="B10" s="89" t="s">
        <v>2363</v>
      </c>
      <c r="C10" s="96" t="s">
        <v>1052</v>
      </c>
    </row>
    <row r="11" spans="1:3" ht="15">
      <c r="A11" s="90" t="s">
        <v>404</v>
      </c>
      <c r="B11" s="89" t="s">
        <v>2143</v>
      </c>
      <c r="C11" s="96" t="s">
        <v>1052</v>
      </c>
    </row>
    <row r="12" spans="1:3" ht="15">
      <c r="A12" s="90" t="s">
        <v>404</v>
      </c>
      <c r="B12" s="89" t="s">
        <v>2144</v>
      </c>
      <c r="C12" s="96" t="s">
        <v>1052</v>
      </c>
    </row>
    <row r="13" spans="1:3" ht="15">
      <c r="A13" s="90" t="s">
        <v>404</v>
      </c>
      <c r="B13" s="89" t="s">
        <v>2364</v>
      </c>
      <c r="C13" s="96" t="s">
        <v>1052</v>
      </c>
    </row>
    <row r="14" spans="1:3" ht="15">
      <c r="A14" s="90" t="s">
        <v>404</v>
      </c>
      <c r="B14" s="89" t="s">
        <v>2133</v>
      </c>
      <c r="C14" s="96" t="s">
        <v>1052</v>
      </c>
    </row>
    <row r="15" spans="1:3" ht="15">
      <c r="A15" s="90" t="s">
        <v>404</v>
      </c>
      <c r="B15" s="89" t="s">
        <v>2134</v>
      </c>
      <c r="C15" s="96" t="s">
        <v>1052</v>
      </c>
    </row>
    <row r="16" spans="1:3" ht="15">
      <c r="A16" s="90" t="s">
        <v>404</v>
      </c>
      <c r="B16" s="89" t="s">
        <v>2135</v>
      </c>
      <c r="C16" s="96" t="s">
        <v>1052</v>
      </c>
    </row>
    <row r="17" spans="1:3" ht="15">
      <c r="A17" s="90" t="s">
        <v>404</v>
      </c>
      <c r="B17" s="89" t="s">
        <v>2136</v>
      </c>
      <c r="C17" s="96" t="s">
        <v>1052</v>
      </c>
    </row>
    <row r="18" spans="1:3" ht="15">
      <c r="A18" s="90" t="s">
        <v>404</v>
      </c>
      <c r="B18" s="89" t="s">
        <v>2137</v>
      </c>
      <c r="C18" s="96" t="s">
        <v>1052</v>
      </c>
    </row>
    <row r="19" spans="1:3" ht="15">
      <c r="A19" s="90" t="s">
        <v>404</v>
      </c>
      <c r="B19" s="89" t="s">
        <v>2365</v>
      </c>
      <c r="C19" s="96" t="s">
        <v>1052</v>
      </c>
    </row>
    <row r="20" spans="1:3" ht="15">
      <c r="A20" s="90" t="s">
        <v>404</v>
      </c>
      <c r="B20" s="89" t="s">
        <v>2366</v>
      </c>
      <c r="C20" s="96" t="s">
        <v>1052</v>
      </c>
    </row>
    <row r="21" spans="1:3" ht="15">
      <c r="A21" s="90" t="s">
        <v>404</v>
      </c>
      <c r="B21" s="89">
        <v>16</v>
      </c>
      <c r="C21" s="96" t="s">
        <v>1052</v>
      </c>
    </row>
    <row r="22" spans="1:3" ht="15">
      <c r="A22" s="90" t="s">
        <v>404</v>
      </c>
      <c r="B22" s="89">
        <v>1</v>
      </c>
      <c r="C22" s="96" t="s">
        <v>1052</v>
      </c>
    </row>
    <row r="23" spans="1:3" ht="15">
      <c r="A23" s="90" t="s">
        <v>404</v>
      </c>
      <c r="B23" s="89">
        <v>22</v>
      </c>
      <c r="C23" s="96" t="s">
        <v>1052</v>
      </c>
    </row>
    <row r="24" spans="1:3" ht="15">
      <c r="A24" s="90" t="s">
        <v>404</v>
      </c>
      <c r="B24" s="89" t="s">
        <v>560</v>
      </c>
      <c r="C24" s="96" t="s">
        <v>1052</v>
      </c>
    </row>
    <row r="25" spans="1:3" ht="15">
      <c r="A25" s="90" t="s">
        <v>404</v>
      </c>
      <c r="B25" s="89" t="s">
        <v>2367</v>
      </c>
      <c r="C25" s="96" t="s">
        <v>1052</v>
      </c>
    </row>
    <row r="26" spans="1:3" ht="15">
      <c r="A26" s="90" t="s">
        <v>402</v>
      </c>
      <c r="B26" s="89" t="s">
        <v>2360</v>
      </c>
      <c r="C26" s="96" t="s">
        <v>1049</v>
      </c>
    </row>
    <row r="27" spans="1:3" ht="15">
      <c r="A27" s="90" t="s">
        <v>402</v>
      </c>
      <c r="B27" s="89" t="s">
        <v>2140</v>
      </c>
      <c r="C27" s="96" t="s">
        <v>1049</v>
      </c>
    </row>
    <row r="28" spans="1:3" ht="15">
      <c r="A28" s="90" t="s">
        <v>402</v>
      </c>
      <c r="B28" s="89" t="s">
        <v>2124</v>
      </c>
      <c r="C28" s="96" t="s">
        <v>1049</v>
      </c>
    </row>
    <row r="29" spans="1:3" ht="15">
      <c r="A29" s="90" t="s">
        <v>402</v>
      </c>
      <c r="B29" s="89" t="s">
        <v>2132</v>
      </c>
      <c r="C29" s="96" t="s">
        <v>1049</v>
      </c>
    </row>
    <row r="30" spans="1:3" ht="15">
      <c r="A30" s="90" t="s">
        <v>402</v>
      </c>
      <c r="B30" s="89" t="s">
        <v>2361</v>
      </c>
      <c r="C30" s="96" t="s">
        <v>1049</v>
      </c>
    </row>
    <row r="31" spans="1:3" ht="15">
      <c r="A31" s="90" t="s">
        <v>402</v>
      </c>
      <c r="B31" s="89" t="s">
        <v>2141</v>
      </c>
      <c r="C31" s="96" t="s">
        <v>1049</v>
      </c>
    </row>
    <row r="32" spans="1:3" ht="15">
      <c r="A32" s="90" t="s">
        <v>402</v>
      </c>
      <c r="B32" s="89" t="s">
        <v>2362</v>
      </c>
      <c r="C32" s="96" t="s">
        <v>1049</v>
      </c>
    </row>
    <row r="33" spans="1:3" ht="15">
      <c r="A33" s="90" t="s">
        <v>402</v>
      </c>
      <c r="B33" s="89" t="s">
        <v>2142</v>
      </c>
      <c r="C33" s="96" t="s">
        <v>1049</v>
      </c>
    </row>
    <row r="34" spans="1:3" ht="15">
      <c r="A34" s="90" t="s">
        <v>402</v>
      </c>
      <c r="B34" s="89" t="s">
        <v>2363</v>
      </c>
      <c r="C34" s="96" t="s">
        <v>1049</v>
      </c>
    </row>
    <row r="35" spans="1:3" ht="15">
      <c r="A35" s="90" t="s">
        <v>402</v>
      </c>
      <c r="B35" s="89" t="s">
        <v>2143</v>
      </c>
      <c r="C35" s="96" t="s">
        <v>1049</v>
      </c>
    </row>
    <row r="36" spans="1:3" ht="15">
      <c r="A36" s="90" t="s">
        <v>402</v>
      </c>
      <c r="B36" s="89" t="s">
        <v>2144</v>
      </c>
      <c r="C36" s="96" t="s">
        <v>1049</v>
      </c>
    </row>
    <row r="37" spans="1:3" ht="15">
      <c r="A37" s="90" t="s">
        <v>402</v>
      </c>
      <c r="B37" s="89" t="s">
        <v>2364</v>
      </c>
      <c r="C37" s="96" t="s">
        <v>1049</v>
      </c>
    </row>
    <row r="38" spans="1:3" ht="15">
      <c r="A38" s="90" t="s">
        <v>402</v>
      </c>
      <c r="B38" s="89" t="s">
        <v>2133</v>
      </c>
      <c r="C38" s="96" t="s">
        <v>1049</v>
      </c>
    </row>
    <row r="39" spans="1:3" ht="15">
      <c r="A39" s="90" t="s">
        <v>402</v>
      </c>
      <c r="B39" s="89" t="s">
        <v>2134</v>
      </c>
      <c r="C39" s="96" t="s">
        <v>1049</v>
      </c>
    </row>
    <row r="40" spans="1:3" ht="15">
      <c r="A40" s="90" t="s">
        <v>402</v>
      </c>
      <c r="B40" s="89" t="s">
        <v>2135</v>
      </c>
      <c r="C40" s="96" t="s">
        <v>1049</v>
      </c>
    </row>
    <row r="41" spans="1:3" ht="15">
      <c r="A41" s="90" t="s">
        <v>402</v>
      </c>
      <c r="B41" s="89" t="s">
        <v>2136</v>
      </c>
      <c r="C41" s="96" t="s">
        <v>1049</v>
      </c>
    </row>
    <row r="42" spans="1:3" ht="15">
      <c r="A42" s="90" t="s">
        <v>402</v>
      </c>
      <c r="B42" s="89" t="s">
        <v>2137</v>
      </c>
      <c r="C42" s="96" t="s">
        <v>1049</v>
      </c>
    </row>
    <row r="43" spans="1:3" ht="15">
      <c r="A43" s="90" t="s">
        <v>402</v>
      </c>
      <c r="B43" s="89" t="s">
        <v>2365</v>
      </c>
      <c r="C43" s="96" t="s">
        <v>1049</v>
      </c>
    </row>
    <row r="44" spans="1:3" ht="15">
      <c r="A44" s="90" t="s">
        <v>402</v>
      </c>
      <c r="B44" s="89" t="s">
        <v>2366</v>
      </c>
      <c r="C44" s="96" t="s">
        <v>1049</v>
      </c>
    </row>
    <row r="45" spans="1:3" ht="15">
      <c r="A45" s="90" t="s">
        <v>402</v>
      </c>
      <c r="B45" s="89">
        <v>16</v>
      </c>
      <c r="C45" s="96" t="s">
        <v>1049</v>
      </c>
    </row>
    <row r="46" spans="1:3" ht="15">
      <c r="A46" s="90" t="s">
        <v>402</v>
      </c>
      <c r="B46" s="89">
        <v>1</v>
      </c>
      <c r="C46" s="96" t="s">
        <v>1049</v>
      </c>
    </row>
    <row r="47" spans="1:3" ht="15">
      <c r="A47" s="90" t="s">
        <v>402</v>
      </c>
      <c r="B47" s="89">
        <v>22</v>
      </c>
      <c r="C47" s="96" t="s">
        <v>1049</v>
      </c>
    </row>
    <row r="48" spans="1:3" ht="15">
      <c r="A48" s="90" t="s">
        <v>402</v>
      </c>
      <c r="B48" s="89" t="s">
        <v>560</v>
      </c>
      <c r="C48" s="96" t="s">
        <v>1049</v>
      </c>
    </row>
    <row r="49" spans="1:3" ht="15">
      <c r="A49" s="90" t="s">
        <v>402</v>
      </c>
      <c r="B49" s="89" t="s">
        <v>2367</v>
      </c>
      <c r="C49" s="96" t="s">
        <v>1049</v>
      </c>
    </row>
    <row r="50" spans="1:3" ht="15">
      <c r="A50" s="90" t="s">
        <v>399</v>
      </c>
      <c r="B50" s="89" t="s">
        <v>2368</v>
      </c>
      <c r="C50" s="96" t="s">
        <v>1047</v>
      </c>
    </row>
    <row r="51" spans="1:3" ht="15">
      <c r="A51" s="90" t="s">
        <v>399</v>
      </c>
      <c r="B51" s="89" t="s">
        <v>2369</v>
      </c>
      <c r="C51" s="96" t="s">
        <v>1047</v>
      </c>
    </row>
    <row r="52" spans="1:3" ht="15">
      <c r="A52" s="90" t="s">
        <v>399</v>
      </c>
      <c r="B52" s="89" t="s">
        <v>2370</v>
      </c>
      <c r="C52" s="96" t="s">
        <v>1047</v>
      </c>
    </row>
    <row r="53" spans="1:3" ht="15">
      <c r="A53" s="90" t="s">
        <v>401</v>
      </c>
      <c r="B53" s="89" t="s">
        <v>2368</v>
      </c>
      <c r="C53" s="96" t="s">
        <v>1046</v>
      </c>
    </row>
    <row r="54" spans="1:3" ht="15">
      <c r="A54" s="90" t="s">
        <v>401</v>
      </c>
      <c r="B54" s="89" t="s">
        <v>2369</v>
      </c>
      <c r="C54" s="96" t="s">
        <v>1046</v>
      </c>
    </row>
    <row r="55" spans="1:3" ht="15">
      <c r="A55" s="90" t="s">
        <v>401</v>
      </c>
      <c r="B55" s="89" t="s">
        <v>2370</v>
      </c>
      <c r="C55" s="96" t="s">
        <v>1046</v>
      </c>
    </row>
    <row r="56" spans="1:3" ht="15">
      <c r="A56" s="90" t="s">
        <v>401</v>
      </c>
      <c r="B56" s="89" t="s">
        <v>2369</v>
      </c>
      <c r="C56" s="96" t="s">
        <v>1044</v>
      </c>
    </row>
    <row r="57" spans="1:3" ht="15">
      <c r="A57" s="90" t="s">
        <v>401</v>
      </c>
      <c r="B57" s="89" t="s">
        <v>2370</v>
      </c>
      <c r="C57" s="96" t="s">
        <v>1044</v>
      </c>
    </row>
    <row r="58" spans="1:3" ht="15">
      <c r="A58" s="90" t="s">
        <v>401</v>
      </c>
      <c r="B58" s="89" t="s">
        <v>2371</v>
      </c>
      <c r="C58" s="96" t="s">
        <v>1044</v>
      </c>
    </row>
    <row r="59" spans="1:3" ht="15">
      <c r="A59" s="90" t="s">
        <v>401</v>
      </c>
      <c r="B59" s="89" t="s">
        <v>2372</v>
      </c>
      <c r="C59" s="96" t="s">
        <v>1044</v>
      </c>
    </row>
    <row r="60" spans="1:3" ht="15">
      <c r="A60" s="90" t="s">
        <v>401</v>
      </c>
      <c r="B60" s="89" t="s">
        <v>2176</v>
      </c>
      <c r="C60" s="96" t="s">
        <v>1044</v>
      </c>
    </row>
    <row r="61" spans="1:3" ht="15">
      <c r="A61" s="90" t="s">
        <v>401</v>
      </c>
      <c r="B61" s="89" t="s">
        <v>2175</v>
      </c>
      <c r="C61" s="96" t="s">
        <v>1044</v>
      </c>
    </row>
    <row r="62" spans="1:3" ht="15">
      <c r="A62" s="90" t="s">
        <v>401</v>
      </c>
      <c r="B62" s="89" t="s">
        <v>2157</v>
      </c>
      <c r="C62" s="96" t="s">
        <v>1044</v>
      </c>
    </row>
    <row r="63" spans="1:3" ht="15">
      <c r="A63" s="90" t="s">
        <v>401</v>
      </c>
      <c r="B63" s="89" t="s">
        <v>2373</v>
      </c>
      <c r="C63" s="96" t="s">
        <v>1044</v>
      </c>
    </row>
    <row r="64" spans="1:3" ht="15">
      <c r="A64" s="90" t="s">
        <v>401</v>
      </c>
      <c r="B64" s="89" t="s">
        <v>2178</v>
      </c>
      <c r="C64" s="96" t="s">
        <v>1044</v>
      </c>
    </row>
    <row r="65" spans="1:3" ht="15">
      <c r="A65" s="90" t="s">
        <v>401</v>
      </c>
      <c r="B65" s="89" t="s">
        <v>2374</v>
      </c>
      <c r="C65" s="96" t="s">
        <v>1044</v>
      </c>
    </row>
    <row r="66" spans="1:3" ht="15">
      <c r="A66" s="90" t="s">
        <v>401</v>
      </c>
      <c r="B66" s="89" t="s">
        <v>2375</v>
      </c>
      <c r="C66" s="96" t="s">
        <v>1044</v>
      </c>
    </row>
    <row r="67" spans="1:3" ht="15">
      <c r="A67" s="90" t="s">
        <v>401</v>
      </c>
      <c r="B67" s="89" t="s">
        <v>2376</v>
      </c>
      <c r="C67" s="96" t="s">
        <v>1044</v>
      </c>
    </row>
    <row r="68" spans="1:3" ht="15">
      <c r="A68" s="90" t="s">
        <v>401</v>
      </c>
      <c r="B68" s="89" t="s">
        <v>2377</v>
      </c>
      <c r="C68" s="96" t="s">
        <v>1044</v>
      </c>
    </row>
    <row r="69" spans="1:3" ht="15">
      <c r="A69" s="90" t="s">
        <v>399</v>
      </c>
      <c r="B69" s="89" t="s">
        <v>2360</v>
      </c>
      <c r="C69" s="96" t="s">
        <v>1048</v>
      </c>
    </row>
    <row r="70" spans="1:3" ht="15">
      <c r="A70" s="90" t="s">
        <v>399</v>
      </c>
      <c r="B70" s="89" t="s">
        <v>2140</v>
      </c>
      <c r="C70" s="96" t="s">
        <v>1048</v>
      </c>
    </row>
    <row r="71" spans="1:3" ht="15">
      <c r="A71" s="90" t="s">
        <v>399</v>
      </c>
      <c r="B71" s="89" t="s">
        <v>2124</v>
      </c>
      <c r="C71" s="96" t="s">
        <v>1048</v>
      </c>
    </row>
    <row r="72" spans="1:3" ht="15">
      <c r="A72" s="90" t="s">
        <v>399</v>
      </c>
      <c r="B72" s="89" t="s">
        <v>2132</v>
      </c>
      <c r="C72" s="96" t="s">
        <v>1048</v>
      </c>
    </row>
    <row r="73" spans="1:3" ht="15">
      <c r="A73" s="90" t="s">
        <v>399</v>
      </c>
      <c r="B73" s="89" t="s">
        <v>2361</v>
      </c>
      <c r="C73" s="96" t="s">
        <v>1048</v>
      </c>
    </row>
    <row r="74" spans="1:3" ht="15">
      <c r="A74" s="90" t="s">
        <v>399</v>
      </c>
      <c r="B74" s="89" t="s">
        <v>2141</v>
      </c>
      <c r="C74" s="96" t="s">
        <v>1048</v>
      </c>
    </row>
    <row r="75" spans="1:3" ht="15">
      <c r="A75" s="90" t="s">
        <v>399</v>
      </c>
      <c r="B75" s="89" t="s">
        <v>2362</v>
      </c>
      <c r="C75" s="96" t="s">
        <v>1048</v>
      </c>
    </row>
    <row r="76" spans="1:3" ht="15">
      <c r="A76" s="90" t="s">
        <v>399</v>
      </c>
      <c r="B76" s="89" t="s">
        <v>2142</v>
      </c>
      <c r="C76" s="96" t="s">
        <v>1048</v>
      </c>
    </row>
    <row r="77" spans="1:3" ht="15">
      <c r="A77" s="90" t="s">
        <v>399</v>
      </c>
      <c r="B77" s="89" t="s">
        <v>2363</v>
      </c>
      <c r="C77" s="96" t="s">
        <v>1048</v>
      </c>
    </row>
    <row r="78" spans="1:3" ht="15">
      <c r="A78" s="90" t="s">
        <v>399</v>
      </c>
      <c r="B78" s="89" t="s">
        <v>2143</v>
      </c>
      <c r="C78" s="96" t="s">
        <v>1048</v>
      </c>
    </row>
    <row r="79" spans="1:3" ht="15">
      <c r="A79" s="90" t="s">
        <v>399</v>
      </c>
      <c r="B79" s="89" t="s">
        <v>2144</v>
      </c>
      <c r="C79" s="96" t="s">
        <v>1048</v>
      </c>
    </row>
    <row r="80" spans="1:3" ht="15">
      <c r="A80" s="90" t="s">
        <v>399</v>
      </c>
      <c r="B80" s="89" t="s">
        <v>2364</v>
      </c>
      <c r="C80" s="96" t="s">
        <v>1048</v>
      </c>
    </row>
    <row r="81" spans="1:3" ht="15">
      <c r="A81" s="90" t="s">
        <v>399</v>
      </c>
      <c r="B81" s="89" t="s">
        <v>2133</v>
      </c>
      <c r="C81" s="96" t="s">
        <v>1048</v>
      </c>
    </row>
    <row r="82" spans="1:3" ht="15">
      <c r="A82" s="90" t="s">
        <v>399</v>
      </c>
      <c r="B82" s="89" t="s">
        <v>2134</v>
      </c>
      <c r="C82" s="96" t="s">
        <v>1048</v>
      </c>
    </row>
    <row r="83" spans="1:3" ht="15">
      <c r="A83" s="90" t="s">
        <v>399</v>
      </c>
      <c r="B83" s="89" t="s">
        <v>2135</v>
      </c>
      <c r="C83" s="96" t="s">
        <v>1048</v>
      </c>
    </row>
    <row r="84" spans="1:3" ht="15">
      <c r="A84" s="90" t="s">
        <v>399</v>
      </c>
      <c r="B84" s="89" t="s">
        <v>2136</v>
      </c>
      <c r="C84" s="96" t="s">
        <v>1048</v>
      </c>
    </row>
    <row r="85" spans="1:3" ht="15">
      <c r="A85" s="90" t="s">
        <v>399</v>
      </c>
      <c r="B85" s="89" t="s">
        <v>2137</v>
      </c>
      <c r="C85" s="96" t="s">
        <v>1048</v>
      </c>
    </row>
    <row r="86" spans="1:3" ht="15">
      <c r="A86" s="90" t="s">
        <v>399</v>
      </c>
      <c r="B86" s="89" t="s">
        <v>2365</v>
      </c>
      <c r="C86" s="96" t="s">
        <v>1048</v>
      </c>
    </row>
    <row r="87" spans="1:3" ht="15">
      <c r="A87" s="90" t="s">
        <v>399</v>
      </c>
      <c r="B87" s="89" t="s">
        <v>2366</v>
      </c>
      <c r="C87" s="96" t="s">
        <v>1048</v>
      </c>
    </row>
    <row r="88" spans="1:3" ht="15">
      <c r="A88" s="90" t="s">
        <v>399</v>
      </c>
      <c r="B88" s="89">
        <v>16</v>
      </c>
      <c r="C88" s="96" t="s">
        <v>1048</v>
      </c>
    </row>
    <row r="89" spans="1:3" ht="15">
      <c r="A89" s="90" t="s">
        <v>399</v>
      </c>
      <c r="B89" s="89">
        <v>1</v>
      </c>
      <c r="C89" s="96" t="s">
        <v>1048</v>
      </c>
    </row>
    <row r="90" spans="1:3" ht="15">
      <c r="A90" s="90" t="s">
        <v>399</v>
      </c>
      <c r="B90" s="89">
        <v>22</v>
      </c>
      <c r="C90" s="96" t="s">
        <v>1048</v>
      </c>
    </row>
    <row r="91" spans="1:3" ht="15">
      <c r="A91" s="90" t="s">
        <v>399</v>
      </c>
      <c r="B91" s="89" t="s">
        <v>560</v>
      </c>
      <c r="C91" s="96" t="s">
        <v>1048</v>
      </c>
    </row>
    <row r="92" spans="1:3" ht="15">
      <c r="A92" s="90" t="s">
        <v>399</v>
      </c>
      <c r="B92" s="89" t="s">
        <v>2367</v>
      </c>
      <c r="C92" s="96" t="s">
        <v>1048</v>
      </c>
    </row>
    <row r="93" spans="1:3" ht="15">
      <c r="A93" s="90" t="s">
        <v>399</v>
      </c>
      <c r="B93" s="89" t="s">
        <v>2369</v>
      </c>
      <c r="C93" s="96" t="s">
        <v>1045</v>
      </c>
    </row>
    <row r="94" spans="1:3" ht="15">
      <c r="A94" s="90" t="s">
        <v>399</v>
      </c>
      <c r="B94" s="89" t="s">
        <v>2370</v>
      </c>
      <c r="C94" s="96" t="s">
        <v>1045</v>
      </c>
    </row>
    <row r="95" spans="1:3" ht="15">
      <c r="A95" s="90" t="s">
        <v>399</v>
      </c>
      <c r="B95" s="89" t="s">
        <v>2371</v>
      </c>
      <c r="C95" s="96" t="s">
        <v>1045</v>
      </c>
    </row>
    <row r="96" spans="1:3" ht="15">
      <c r="A96" s="90" t="s">
        <v>399</v>
      </c>
      <c r="B96" s="89" t="s">
        <v>2372</v>
      </c>
      <c r="C96" s="96" t="s">
        <v>1045</v>
      </c>
    </row>
    <row r="97" spans="1:3" ht="15">
      <c r="A97" s="90" t="s">
        <v>399</v>
      </c>
      <c r="B97" s="89" t="s">
        <v>2176</v>
      </c>
      <c r="C97" s="96" t="s">
        <v>1045</v>
      </c>
    </row>
    <row r="98" spans="1:3" ht="15">
      <c r="A98" s="90" t="s">
        <v>399</v>
      </c>
      <c r="B98" s="89" t="s">
        <v>2175</v>
      </c>
      <c r="C98" s="96" t="s">
        <v>1045</v>
      </c>
    </row>
    <row r="99" spans="1:3" ht="15">
      <c r="A99" s="90" t="s">
        <v>399</v>
      </c>
      <c r="B99" s="89" t="s">
        <v>2157</v>
      </c>
      <c r="C99" s="96" t="s">
        <v>1045</v>
      </c>
    </row>
    <row r="100" spans="1:3" ht="15">
      <c r="A100" s="90" t="s">
        <v>399</v>
      </c>
      <c r="B100" s="89" t="s">
        <v>2373</v>
      </c>
      <c r="C100" s="96" t="s">
        <v>1045</v>
      </c>
    </row>
    <row r="101" spans="1:3" ht="15">
      <c r="A101" s="90" t="s">
        <v>399</v>
      </c>
      <c r="B101" s="89" t="s">
        <v>2178</v>
      </c>
      <c r="C101" s="96" t="s">
        <v>1045</v>
      </c>
    </row>
    <row r="102" spans="1:3" ht="15">
      <c r="A102" s="90" t="s">
        <v>399</v>
      </c>
      <c r="B102" s="89" t="s">
        <v>2374</v>
      </c>
      <c r="C102" s="96" t="s">
        <v>1045</v>
      </c>
    </row>
    <row r="103" spans="1:3" ht="15">
      <c r="A103" s="90" t="s">
        <v>399</v>
      </c>
      <c r="B103" s="89" t="s">
        <v>2375</v>
      </c>
      <c r="C103" s="96" t="s">
        <v>1045</v>
      </c>
    </row>
    <row r="104" spans="1:3" ht="15">
      <c r="A104" s="90" t="s">
        <v>399</v>
      </c>
      <c r="B104" s="89" t="s">
        <v>2376</v>
      </c>
      <c r="C104" s="96" t="s">
        <v>1045</v>
      </c>
    </row>
    <row r="105" spans="1:3" ht="15">
      <c r="A105" s="90" t="s">
        <v>399</v>
      </c>
      <c r="B105" s="89" t="s">
        <v>2377</v>
      </c>
      <c r="C105" s="96" t="s">
        <v>1045</v>
      </c>
    </row>
    <row r="106" spans="1:3" ht="15">
      <c r="A106" s="90" t="s">
        <v>399</v>
      </c>
      <c r="B106" s="89" t="s">
        <v>2369</v>
      </c>
      <c r="C106" s="96" t="s">
        <v>1042</v>
      </c>
    </row>
    <row r="107" spans="1:3" ht="15">
      <c r="A107" s="90" t="s">
        <v>399</v>
      </c>
      <c r="B107" s="89" t="s">
        <v>2370</v>
      </c>
      <c r="C107" s="96" t="s">
        <v>1042</v>
      </c>
    </row>
    <row r="108" spans="1:3" ht="15">
      <c r="A108" s="90" t="s">
        <v>399</v>
      </c>
      <c r="B108" s="89" t="s">
        <v>2112</v>
      </c>
      <c r="C108" s="96" t="s">
        <v>1042</v>
      </c>
    </row>
    <row r="109" spans="1:3" ht="15">
      <c r="A109" s="90" t="s">
        <v>399</v>
      </c>
      <c r="B109" s="89" t="s">
        <v>2113</v>
      </c>
      <c r="C109" s="96" t="s">
        <v>1042</v>
      </c>
    </row>
    <row r="110" spans="1:3" ht="15">
      <c r="A110" s="90" t="s">
        <v>399</v>
      </c>
      <c r="B110" s="89" t="s">
        <v>2378</v>
      </c>
      <c r="C110" s="96" t="s">
        <v>1039</v>
      </c>
    </row>
    <row r="111" spans="1:3" ht="15">
      <c r="A111" s="90" t="s">
        <v>399</v>
      </c>
      <c r="B111" s="89" t="s">
        <v>2369</v>
      </c>
      <c r="C111" s="96" t="s">
        <v>1039</v>
      </c>
    </row>
    <row r="112" spans="1:3" ht="15">
      <c r="A112" s="90" t="s">
        <v>399</v>
      </c>
      <c r="B112" s="89" t="s">
        <v>2370</v>
      </c>
      <c r="C112" s="96" t="s">
        <v>1039</v>
      </c>
    </row>
    <row r="113" spans="1:3" ht="15">
      <c r="A113" s="90" t="s">
        <v>399</v>
      </c>
      <c r="B113" s="89" t="s">
        <v>2190</v>
      </c>
      <c r="C113" s="96" t="s">
        <v>1039</v>
      </c>
    </row>
    <row r="114" spans="1:3" ht="15">
      <c r="A114" s="90" t="s">
        <v>399</v>
      </c>
      <c r="B114" s="89" t="s">
        <v>2379</v>
      </c>
      <c r="C114" s="96" t="s">
        <v>1039</v>
      </c>
    </row>
    <row r="115" spans="1:3" ht="15">
      <c r="A115" s="90" t="s">
        <v>399</v>
      </c>
      <c r="B115" s="89" t="s">
        <v>2380</v>
      </c>
      <c r="C115" s="96" t="s">
        <v>1039</v>
      </c>
    </row>
    <row r="116" spans="1:3" ht="15">
      <c r="A116" s="90" t="s">
        <v>399</v>
      </c>
      <c r="B116" s="89" t="s">
        <v>2240</v>
      </c>
      <c r="C116" s="96" t="s">
        <v>1039</v>
      </c>
    </row>
    <row r="117" spans="1:3" ht="15">
      <c r="A117" s="90" t="s">
        <v>399</v>
      </c>
      <c r="B117" s="89" t="s">
        <v>2381</v>
      </c>
      <c r="C117" s="96" t="s">
        <v>1039</v>
      </c>
    </row>
    <row r="118" spans="1:3" ht="15">
      <c r="A118" s="90" t="s">
        <v>399</v>
      </c>
      <c r="B118" s="89" t="s">
        <v>2382</v>
      </c>
      <c r="C118" s="96" t="s">
        <v>1039</v>
      </c>
    </row>
    <row r="119" spans="1:3" ht="15">
      <c r="A119" s="90" t="s">
        <v>399</v>
      </c>
      <c r="B119" s="89" t="s">
        <v>2383</v>
      </c>
      <c r="C119" s="96" t="s">
        <v>1039</v>
      </c>
    </row>
    <row r="120" spans="1:3" ht="15">
      <c r="A120" s="90" t="s">
        <v>399</v>
      </c>
      <c r="B120" s="89" t="s">
        <v>2384</v>
      </c>
      <c r="C120" s="96" t="s">
        <v>1039</v>
      </c>
    </row>
    <row r="121" spans="1:3" ht="15">
      <c r="A121" s="90" t="s">
        <v>399</v>
      </c>
      <c r="B121" s="89" t="s">
        <v>2385</v>
      </c>
      <c r="C121" s="96" t="s">
        <v>1039</v>
      </c>
    </row>
    <row r="122" spans="1:3" ht="15">
      <c r="A122" s="90" t="s">
        <v>399</v>
      </c>
      <c r="B122" s="89" t="s">
        <v>2241</v>
      </c>
      <c r="C122" s="96" t="s">
        <v>1039</v>
      </c>
    </row>
    <row r="123" spans="1:3" ht="15">
      <c r="A123" s="90" t="s">
        <v>399</v>
      </c>
      <c r="B123" s="89" t="s">
        <v>2386</v>
      </c>
      <c r="C123" s="96" t="s">
        <v>1039</v>
      </c>
    </row>
    <row r="124" spans="1:3" ht="15">
      <c r="A124" s="90" t="s">
        <v>399</v>
      </c>
      <c r="B124" s="89" t="s">
        <v>2242</v>
      </c>
      <c r="C124" s="96" t="s">
        <v>1039</v>
      </c>
    </row>
    <row r="125" spans="1:3" ht="15">
      <c r="A125" s="90" t="s">
        <v>399</v>
      </c>
      <c r="B125" s="89" t="s">
        <v>2243</v>
      </c>
      <c r="C125" s="96" t="s">
        <v>1039</v>
      </c>
    </row>
    <row r="126" spans="1:3" ht="15">
      <c r="A126" s="90" t="s">
        <v>399</v>
      </c>
      <c r="B126" s="89" t="s">
        <v>2244</v>
      </c>
      <c r="C126" s="96" t="s">
        <v>1039</v>
      </c>
    </row>
    <row r="127" spans="1:3" ht="15">
      <c r="A127" s="90" t="s">
        <v>398</v>
      </c>
      <c r="B127" s="89" t="s">
        <v>2378</v>
      </c>
      <c r="C127" s="96" t="s">
        <v>1038</v>
      </c>
    </row>
    <row r="128" spans="1:3" ht="15">
      <c r="A128" s="90" t="s">
        <v>398</v>
      </c>
      <c r="B128" s="89" t="s">
        <v>2369</v>
      </c>
      <c r="C128" s="96" t="s">
        <v>1038</v>
      </c>
    </row>
    <row r="129" spans="1:3" ht="15">
      <c r="A129" s="90" t="s">
        <v>398</v>
      </c>
      <c r="B129" s="89" t="s">
        <v>2370</v>
      </c>
      <c r="C129" s="96" t="s">
        <v>1038</v>
      </c>
    </row>
    <row r="130" spans="1:3" ht="15">
      <c r="A130" s="90" t="s">
        <v>398</v>
      </c>
      <c r="B130" s="89" t="s">
        <v>2190</v>
      </c>
      <c r="C130" s="96" t="s">
        <v>1038</v>
      </c>
    </row>
    <row r="131" spans="1:3" ht="15">
      <c r="A131" s="90" t="s">
        <v>398</v>
      </c>
      <c r="B131" s="89" t="s">
        <v>2379</v>
      </c>
      <c r="C131" s="96" t="s">
        <v>1038</v>
      </c>
    </row>
    <row r="132" spans="1:3" ht="15">
      <c r="A132" s="90" t="s">
        <v>398</v>
      </c>
      <c r="B132" s="89" t="s">
        <v>2380</v>
      </c>
      <c r="C132" s="96" t="s">
        <v>1038</v>
      </c>
    </row>
    <row r="133" spans="1:3" ht="15">
      <c r="A133" s="90" t="s">
        <v>398</v>
      </c>
      <c r="B133" s="89" t="s">
        <v>2240</v>
      </c>
      <c r="C133" s="96" t="s">
        <v>1038</v>
      </c>
    </row>
    <row r="134" spans="1:3" ht="15">
      <c r="A134" s="90" t="s">
        <v>398</v>
      </c>
      <c r="B134" s="89" t="s">
        <v>2381</v>
      </c>
      <c r="C134" s="96" t="s">
        <v>1038</v>
      </c>
    </row>
    <row r="135" spans="1:3" ht="15">
      <c r="A135" s="90" t="s">
        <v>398</v>
      </c>
      <c r="B135" s="89" t="s">
        <v>2382</v>
      </c>
      <c r="C135" s="96" t="s">
        <v>1038</v>
      </c>
    </row>
    <row r="136" spans="1:3" ht="15">
      <c r="A136" s="90" t="s">
        <v>398</v>
      </c>
      <c r="B136" s="89" t="s">
        <v>2383</v>
      </c>
      <c r="C136" s="96" t="s">
        <v>1038</v>
      </c>
    </row>
    <row r="137" spans="1:3" ht="15">
      <c r="A137" s="90" t="s">
        <v>398</v>
      </c>
      <c r="B137" s="89" t="s">
        <v>2384</v>
      </c>
      <c r="C137" s="96" t="s">
        <v>1038</v>
      </c>
    </row>
    <row r="138" spans="1:3" ht="15">
      <c r="A138" s="90" t="s">
        <v>398</v>
      </c>
      <c r="B138" s="89" t="s">
        <v>2385</v>
      </c>
      <c r="C138" s="96" t="s">
        <v>1038</v>
      </c>
    </row>
    <row r="139" spans="1:3" ht="15">
      <c r="A139" s="90" t="s">
        <v>398</v>
      </c>
      <c r="B139" s="89" t="s">
        <v>2241</v>
      </c>
      <c r="C139" s="96" t="s">
        <v>1038</v>
      </c>
    </row>
    <row r="140" spans="1:3" ht="15">
      <c r="A140" s="90" t="s">
        <v>398</v>
      </c>
      <c r="B140" s="89" t="s">
        <v>2386</v>
      </c>
      <c r="C140" s="96" t="s">
        <v>1038</v>
      </c>
    </row>
    <row r="141" spans="1:3" ht="15">
      <c r="A141" s="90" t="s">
        <v>398</v>
      </c>
      <c r="B141" s="89" t="s">
        <v>2242</v>
      </c>
      <c r="C141" s="96" t="s">
        <v>1038</v>
      </c>
    </row>
    <row r="142" spans="1:3" ht="15">
      <c r="A142" s="90" t="s">
        <v>398</v>
      </c>
      <c r="B142" s="89" t="s">
        <v>2243</v>
      </c>
      <c r="C142" s="96" t="s">
        <v>1038</v>
      </c>
    </row>
    <row r="143" spans="1:3" ht="15">
      <c r="A143" s="90" t="s">
        <v>398</v>
      </c>
      <c r="B143" s="89" t="s">
        <v>2244</v>
      </c>
      <c r="C143" s="96" t="s">
        <v>1038</v>
      </c>
    </row>
    <row r="144" spans="1:3" ht="15">
      <c r="A144" s="90" t="s">
        <v>397</v>
      </c>
      <c r="B144" s="89" t="s">
        <v>2387</v>
      </c>
      <c r="C144" s="96" t="s">
        <v>1037</v>
      </c>
    </row>
    <row r="145" spans="1:3" ht="15">
      <c r="A145" s="90" t="s">
        <v>397</v>
      </c>
      <c r="B145" s="89" t="s">
        <v>2369</v>
      </c>
      <c r="C145" s="96" t="s">
        <v>1037</v>
      </c>
    </row>
    <row r="146" spans="1:3" ht="15">
      <c r="A146" s="90" t="s">
        <v>397</v>
      </c>
      <c r="B146" s="89" t="s">
        <v>2370</v>
      </c>
      <c r="C146" s="96" t="s">
        <v>1037</v>
      </c>
    </row>
    <row r="147" spans="1:3" ht="15">
      <c r="A147" s="90" t="s">
        <v>397</v>
      </c>
      <c r="B147" s="89" t="s">
        <v>2388</v>
      </c>
      <c r="C147" s="96" t="s">
        <v>1037</v>
      </c>
    </row>
    <row r="148" spans="1:3" ht="15">
      <c r="A148" s="90" t="s">
        <v>397</v>
      </c>
      <c r="B148" s="89" t="s">
        <v>2389</v>
      </c>
      <c r="C148" s="96" t="s">
        <v>1037</v>
      </c>
    </row>
    <row r="149" spans="1:3" ht="15">
      <c r="A149" s="90" t="s">
        <v>397</v>
      </c>
      <c r="B149" s="89" t="s">
        <v>2390</v>
      </c>
      <c r="C149" s="96" t="s">
        <v>1037</v>
      </c>
    </row>
    <row r="150" spans="1:3" ht="15">
      <c r="A150" s="90" t="s">
        <v>396</v>
      </c>
      <c r="B150" s="89" t="s">
        <v>2360</v>
      </c>
      <c r="C150" s="96" t="s">
        <v>1036</v>
      </c>
    </row>
    <row r="151" spans="1:3" ht="15">
      <c r="A151" s="90" t="s">
        <v>396</v>
      </c>
      <c r="B151" s="89" t="s">
        <v>2140</v>
      </c>
      <c r="C151" s="96" t="s">
        <v>1036</v>
      </c>
    </row>
    <row r="152" spans="1:3" ht="15">
      <c r="A152" s="90" t="s">
        <v>396</v>
      </c>
      <c r="B152" s="89" t="s">
        <v>2124</v>
      </c>
      <c r="C152" s="96" t="s">
        <v>1036</v>
      </c>
    </row>
    <row r="153" spans="1:3" ht="15">
      <c r="A153" s="90" t="s">
        <v>396</v>
      </c>
      <c r="B153" s="89" t="s">
        <v>2132</v>
      </c>
      <c r="C153" s="96" t="s">
        <v>1036</v>
      </c>
    </row>
    <row r="154" spans="1:3" ht="15">
      <c r="A154" s="90" t="s">
        <v>396</v>
      </c>
      <c r="B154" s="89" t="s">
        <v>2361</v>
      </c>
      <c r="C154" s="96" t="s">
        <v>1036</v>
      </c>
    </row>
    <row r="155" spans="1:3" ht="15">
      <c r="A155" s="90" t="s">
        <v>396</v>
      </c>
      <c r="B155" s="89" t="s">
        <v>2141</v>
      </c>
      <c r="C155" s="96" t="s">
        <v>1036</v>
      </c>
    </row>
    <row r="156" spans="1:3" ht="15">
      <c r="A156" s="90" t="s">
        <v>396</v>
      </c>
      <c r="B156" s="89" t="s">
        <v>2362</v>
      </c>
      <c r="C156" s="96" t="s">
        <v>1036</v>
      </c>
    </row>
    <row r="157" spans="1:3" ht="15">
      <c r="A157" s="90" t="s">
        <v>396</v>
      </c>
      <c r="B157" s="89" t="s">
        <v>2142</v>
      </c>
      <c r="C157" s="96" t="s">
        <v>1036</v>
      </c>
    </row>
    <row r="158" spans="1:3" ht="15">
      <c r="A158" s="90" t="s">
        <v>396</v>
      </c>
      <c r="B158" s="89" t="s">
        <v>2363</v>
      </c>
      <c r="C158" s="96" t="s">
        <v>1036</v>
      </c>
    </row>
    <row r="159" spans="1:3" ht="15">
      <c r="A159" s="90" t="s">
        <v>396</v>
      </c>
      <c r="B159" s="89" t="s">
        <v>2143</v>
      </c>
      <c r="C159" s="96" t="s">
        <v>1036</v>
      </c>
    </row>
    <row r="160" spans="1:3" ht="15">
      <c r="A160" s="90" t="s">
        <v>396</v>
      </c>
      <c r="B160" s="89" t="s">
        <v>2144</v>
      </c>
      <c r="C160" s="96" t="s">
        <v>1036</v>
      </c>
    </row>
    <row r="161" spans="1:3" ht="15">
      <c r="A161" s="90" t="s">
        <v>396</v>
      </c>
      <c r="B161" s="89" t="s">
        <v>2364</v>
      </c>
      <c r="C161" s="96" t="s">
        <v>1036</v>
      </c>
    </row>
    <row r="162" spans="1:3" ht="15">
      <c r="A162" s="90" t="s">
        <v>396</v>
      </c>
      <c r="B162" s="89" t="s">
        <v>2133</v>
      </c>
      <c r="C162" s="96" t="s">
        <v>1036</v>
      </c>
    </row>
    <row r="163" spans="1:3" ht="15">
      <c r="A163" s="90" t="s">
        <v>396</v>
      </c>
      <c r="B163" s="89" t="s">
        <v>2134</v>
      </c>
      <c r="C163" s="96" t="s">
        <v>1036</v>
      </c>
    </row>
    <row r="164" spans="1:3" ht="15">
      <c r="A164" s="90" t="s">
        <v>396</v>
      </c>
      <c r="B164" s="89" t="s">
        <v>2135</v>
      </c>
      <c r="C164" s="96" t="s">
        <v>1036</v>
      </c>
    </row>
    <row r="165" spans="1:3" ht="15">
      <c r="A165" s="90" t="s">
        <v>396</v>
      </c>
      <c r="B165" s="89" t="s">
        <v>2136</v>
      </c>
      <c r="C165" s="96" t="s">
        <v>1036</v>
      </c>
    </row>
    <row r="166" spans="1:3" ht="15">
      <c r="A166" s="90" t="s">
        <v>396</v>
      </c>
      <c r="B166" s="89" t="s">
        <v>2137</v>
      </c>
      <c r="C166" s="96" t="s">
        <v>1036</v>
      </c>
    </row>
    <row r="167" spans="1:3" ht="15">
      <c r="A167" s="90" t="s">
        <v>396</v>
      </c>
      <c r="B167" s="89" t="s">
        <v>2365</v>
      </c>
      <c r="C167" s="96" t="s">
        <v>1036</v>
      </c>
    </row>
    <row r="168" spans="1:3" ht="15">
      <c r="A168" s="90" t="s">
        <v>396</v>
      </c>
      <c r="B168" s="89" t="s">
        <v>2366</v>
      </c>
      <c r="C168" s="96" t="s">
        <v>1036</v>
      </c>
    </row>
    <row r="169" spans="1:3" ht="15">
      <c r="A169" s="90" t="s">
        <v>396</v>
      </c>
      <c r="B169" s="89">
        <v>16</v>
      </c>
      <c r="C169" s="96" t="s">
        <v>1036</v>
      </c>
    </row>
    <row r="170" spans="1:3" ht="15">
      <c r="A170" s="90" t="s">
        <v>396</v>
      </c>
      <c r="B170" s="89">
        <v>1</v>
      </c>
      <c r="C170" s="96" t="s">
        <v>1036</v>
      </c>
    </row>
    <row r="171" spans="1:3" ht="15">
      <c r="A171" s="90" t="s">
        <v>396</v>
      </c>
      <c r="B171" s="89">
        <v>22</v>
      </c>
      <c r="C171" s="96" t="s">
        <v>1036</v>
      </c>
    </row>
    <row r="172" spans="1:3" ht="15">
      <c r="A172" s="90" t="s">
        <v>396</v>
      </c>
      <c r="B172" s="89" t="s">
        <v>560</v>
      </c>
      <c r="C172" s="96" t="s">
        <v>1036</v>
      </c>
    </row>
    <row r="173" spans="1:3" ht="15">
      <c r="A173" s="90" t="s">
        <v>396</v>
      </c>
      <c r="B173" s="89" t="s">
        <v>2367</v>
      </c>
      <c r="C173" s="96" t="s">
        <v>1036</v>
      </c>
    </row>
    <row r="174" spans="1:3" ht="15">
      <c r="A174" s="90" t="s">
        <v>395</v>
      </c>
      <c r="B174" s="89" t="s">
        <v>2360</v>
      </c>
      <c r="C174" s="96" t="s">
        <v>1035</v>
      </c>
    </row>
    <row r="175" spans="1:3" ht="15">
      <c r="A175" s="90" t="s">
        <v>395</v>
      </c>
      <c r="B175" s="89" t="s">
        <v>2140</v>
      </c>
      <c r="C175" s="96" t="s">
        <v>1035</v>
      </c>
    </row>
    <row r="176" spans="1:3" ht="15">
      <c r="A176" s="90" t="s">
        <v>395</v>
      </c>
      <c r="B176" s="89" t="s">
        <v>2124</v>
      </c>
      <c r="C176" s="96" t="s">
        <v>1035</v>
      </c>
    </row>
    <row r="177" spans="1:3" ht="15">
      <c r="A177" s="90" t="s">
        <v>395</v>
      </c>
      <c r="B177" s="89" t="s">
        <v>2132</v>
      </c>
      <c r="C177" s="96" t="s">
        <v>1035</v>
      </c>
    </row>
    <row r="178" spans="1:3" ht="15">
      <c r="A178" s="90" t="s">
        <v>395</v>
      </c>
      <c r="B178" s="89" t="s">
        <v>2361</v>
      </c>
      <c r="C178" s="96" t="s">
        <v>1035</v>
      </c>
    </row>
    <row r="179" spans="1:3" ht="15">
      <c r="A179" s="90" t="s">
        <v>395</v>
      </c>
      <c r="B179" s="89" t="s">
        <v>2141</v>
      </c>
      <c r="C179" s="96" t="s">
        <v>1035</v>
      </c>
    </row>
    <row r="180" spans="1:3" ht="15">
      <c r="A180" s="90" t="s">
        <v>395</v>
      </c>
      <c r="B180" s="89" t="s">
        <v>2362</v>
      </c>
      <c r="C180" s="96" t="s">
        <v>1035</v>
      </c>
    </row>
    <row r="181" spans="1:3" ht="15">
      <c r="A181" s="90" t="s">
        <v>395</v>
      </c>
      <c r="B181" s="89" t="s">
        <v>2142</v>
      </c>
      <c r="C181" s="96" t="s">
        <v>1035</v>
      </c>
    </row>
    <row r="182" spans="1:3" ht="15">
      <c r="A182" s="90" t="s">
        <v>395</v>
      </c>
      <c r="B182" s="89" t="s">
        <v>2363</v>
      </c>
      <c r="C182" s="96" t="s">
        <v>1035</v>
      </c>
    </row>
    <row r="183" spans="1:3" ht="15">
      <c r="A183" s="90" t="s">
        <v>395</v>
      </c>
      <c r="B183" s="89" t="s">
        <v>2143</v>
      </c>
      <c r="C183" s="96" t="s">
        <v>1035</v>
      </c>
    </row>
    <row r="184" spans="1:3" ht="15">
      <c r="A184" s="90" t="s">
        <v>395</v>
      </c>
      <c r="B184" s="89" t="s">
        <v>2144</v>
      </c>
      <c r="C184" s="96" t="s">
        <v>1035</v>
      </c>
    </row>
    <row r="185" spans="1:3" ht="15">
      <c r="A185" s="90" t="s">
        <v>395</v>
      </c>
      <c r="B185" s="89" t="s">
        <v>2364</v>
      </c>
      <c r="C185" s="96" t="s">
        <v>1035</v>
      </c>
    </row>
    <row r="186" spans="1:3" ht="15">
      <c r="A186" s="90" t="s">
        <v>395</v>
      </c>
      <c r="B186" s="89" t="s">
        <v>2133</v>
      </c>
      <c r="C186" s="96" t="s">
        <v>1035</v>
      </c>
    </row>
    <row r="187" spans="1:3" ht="15">
      <c r="A187" s="90" t="s">
        <v>395</v>
      </c>
      <c r="B187" s="89" t="s">
        <v>2134</v>
      </c>
      <c r="C187" s="96" t="s">
        <v>1035</v>
      </c>
    </row>
    <row r="188" spans="1:3" ht="15">
      <c r="A188" s="90" t="s">
        <v>395</v>
      </c>
      <c r="B188" s="89" t="s">
        <v>2135</v>
      </c>
      <c r="C188" s="96" t="s">
        <v>1035</v>
      </c>
    </row>
    <row r="189" spans="1:3" ht="15">
      <c r="A189" s="90" t="s">
        <v>395</v>
      </c>
      <c r="B189" s="89" t="s">
        <v>2136</v>
      </c>
      <c r="C189" s="96" t="s">
        <v>1035</v>
      </c>
    </row>
    <row r="190" spans="1:3" ht="15">
      <c r="A190" s="90" t="s">
        <v>395</v>
      </c>
      <c r="B190" s="89" t="s">
        <v>2137</v>
      </c>
      <c r="C190" s="96" t="s">
        <v>1035</v>
      </c>
    </row>
    <row r="191" spans="1:3" ht="15">
      <c r="A191" s="90" t="s">
        <v>395</v>
      </c>
      <c r="B191" s="89" t="s">
        <v>2365</v>
      </c>
      <c r="C191" s="96" t="s">
        <v>1035</v>
      </c>
    </row>
    <row r="192" spans="1:3" ht="15">
      <c r="A192" s="90" t="s">
        <v>395</v>
      </c>
      <c r="B192" s="89" t="s">
        <v>2366</v>
      </c>
      <c r="C192" s="96" t="s">
        <v>1035</v>
      </c>
    </row>
    <row r="193" spans="1:3" ht="15">
      <c r="A193" s="90" t="s">
        <v>395</v>
      </c>
      <c r="B193" s="89">
        <v>16</v>
      </c>
      <c r="C193" s="96" t="s">
        <v>1035</v>
      </c>
    </row>
    <row r="194" spans="1:3" ht="15">
      <c r="A194" s="90" t="s">
        <v>395</v>
      </c>
      <c r="B194" s="89">
        <v>1</v>
      </c>
      <c r="C194" s="96" t="s">
        <v>1035</v>
      </c>
    </row>
    <row r="195" spans="1:3" ht="15">
      <c r="A195" s="90" t="s">
        <v>395</v>
      </c>
      <c r="B195" s="89">
        <v>22</v>
      </c>
      <c r="C195" s="96" t="s">
        <v>1035</v>
      </c>
    </row>
    <row r="196" spans="1:3" ht="15">
      <c r="A196" s="90" t="s">
        <v>395</v>
      </c>
      <c r="B196" s="89" t="s">
        <v>560</v>
      </c>
      <c r="C196" s="96" t="s">
        <v>1035</v>
      </c>
    </row>
    <row r="197" spans="1:3" ht="15">
      <c r="A197" s="90" t="s">
        <v>395</v>
      </c>
      <c r="B197" s="89" t="s">
        <v>2367</v>
      </c>
      <c r="C197" s="96" t="s">
        <v>1035</v>
      </c>
    </row>
    <row r="198" spans="1:3" ht="15">
      <c r="A198" s="90" t="s">
        <v>394</v>
      </c>
      <c r="B198" s="89" t="s">
        <v>2360</v>
      </c>
      <c r="C198" s="96" t="s">
        <v>1034</v>
      </c>
    </row>
    <row r="199" spans="1:3" ht="15">
      <c r="A199" s="90" t="s">
        <v>394</v>
      </c>
      <c r="B199" s="89" t="s">
        <v>2140</v>
      </c>
      <c r="C199" s="96" t="s">
        <v>1034</v>
      </c>
    </row>
    <row r="200" spans="1:3" ht="15">
      <c r="A200" s="90" t="s">
        <v>394</v>
      </c>
      <c r="B200" s="89" t="s">
        <v>2124</v>
      </c>
      <c r="C200" s="96" t="s">
        <v>1034</v>
      </c>
    </row>
    <row r="201" spans="1:3" ht="15">
      <c r="A201" s="90" t="s">
        <v>394</v>
      </c>
      <c r="B201" s="89" t="s">
        <v>2132</v>
      </c>
      <c r="C201" s="96" t="s">
        <v>1034</v>
      </c>
    </row>
    <row r="202" spans="1:3" ht="15">
      <c r="A202" s="90" t="s">
        <v>394</v>
      </c>
      <c r="B202" s="89" t="s">
        <v>2361</v>
      </c>
      <c r="C202" s="96" t="s">
        <v>1034</v>
      </c>
    </row>
    <row r="203" spans="1:3" ht="15">
      <c r="A203" s="90" t="s">
        <v>394</v>
      </c>
      <c r="B203" s="89" t="s">
        <v>2141</v>
      </c>
      <c r="C203" s="96" t="s">
        <v>1034</v>
      </c>
    </row>
    <row r="204" spans="1:3" ht="15">
      <c r="A204" s="90" t="s">
        <v>394</v>
      </c>
      <c r="B204" s="89" t="s">
        <v>2362</v>
      </c>
      <c r="C204" s="96" t="s">
        <v>1034</v>
      </c>
    </row>
    <row r="205" spans="1:3" ht="15">
      <c r="A205" s="90" t="s">
        <v>394</v>
      </c>
      <c r="B205" s="89" t="s">
        <v>2142</v>
      </c>
      <c r="C205" s="96" t="s">
        <v>1034</v>
      </c>
    </row>
    <row r="206" spans="1:3" ht="15">
      <c r="A206" s="90" t="s">
        <v>394</v>
      </c>
      <c r="B206" s="89" t="s">
        <v>2363</v>
      </c>
      <c r="C206" s="96" t="s">
        <v>1034</v>
      </c>
    </row>
    <row r="207" spans="1:3" ht="15">
      <c r="A207" s="90" t="s">
        <v>394</v>
      </c>
      <c r="B207" s="89" t="s">
        <v>2143</v>
      </c>
      <c r="C207" s="96" t="s">
        <v>1034</v>
      </c>
    </row>
    <row r="208" spans="1:3" ht="15">
      <c r="A208" s="90" t="s">
        <v>394</v>
      </c>
      <c r="B208" s="89" t="s">
        <v>2144</v>
      </c>
      <c r="C208" s="96" t="s">
        <v>1034</v>
      </c>
    </row>
    <row r="209" spans="1:3" ht="15">
      <c r="A209" s="90" t="s">
        <v>394</v>
      </c>
      <c r="B209" s="89" t="s">
        <v>2364</v>
      </c>
      <c r="C209" s="96" t="s">
        <v>1034</v>
      </c>
    </row>
    <row r="210" spans="1:3" ht="15">
      <c r="A210" s="90" t="s">
        <v>394</v>
      </c>
      <c r="B210" s="89" t="s">
        <v>2133</v>
      </c>
      <c r="C210" s="96" t="s">
        <v>1034</v>
      </c>
    </row>
    <row r="211" spans="1:3" ht="15">
      <c r="A211" s="90" t="s">
        <v>394</v>
      </c>
      <c r="B211" s="89" t="s">
        <v>2134</v>
      </c>
      <c r="C211" s="96" t="s">
        <v>1034</v>
      </c>
    </row>
    <row r="212" spans="1:3" ht="15">
      <c r="A212" s="90" t="s">
        <v>394</v>
      </c>
      <c r="B212" s="89" t="s">
        <v>2135</v>
      </c>
      <c r="C212" s="96" t="s">
        <v>1034</v>
      </c>
    </row>
    <row r="213" spans="1:3" ht="15">
      <c r="A213" s="90" t="s">
        <v>394</v>
      </c>
      <c r="B213" s="89" t="s">
        <v>2136</v>
      </c>
      <c r="C213" s="96" t="s">
        <v>1034</v>
      </c>
    </row>
    <row r="214" spans="1:3" ht="15">
      <c r="A214" s="90" t="s">
        <v>394</v>
      </c>
      <c r="B214" s="89" t="s">
        <v>2137</v>
      </c>
      <c r="C214" s="96" t="s">
        <v>1034</v>
      </c>
    </row>
    <row r="215" spans="1:3" ht="15">
      <c r="A215" s="90" t="s">
        <v>394</v>
      </c>
      <c r="B215" s="89" t="s">
        <v>2365</v>
      </c>
      <c r="C215" s="96" t="s">
        <v>1034</v>
      </c>
    </row>
    <row r="216" spans="1:3" ht="15">
      <c r="A216" s="90" t="s">
        <v>394</v>
      </c>
      <c r="B216" s="89" t="s">
        <v>2366</v>
      </c>
      <c r="C216" s="96" t="s">
        <v>1034</v>
      </c>
    </row>
    <row r="217" spans="1:3" ht="15">
      <c r="A217" s="90" t="s">
        <v>394</v>
      </c>
      <c r="B217" s="89">
        <v>16</v>
      </c>
      <c r="C217" s="96" t="s">
        <v>1034</v>
      </c>
    </row>
    <row r="218" spans="1:3" ht="15">
      <c r="A218" s="90" t="s">
        <v>394</v>
      </c>
      <c r="B218" s="89">
        <v>1</v>
      </c>
      <c r="C218" s="96" t="s">
        <v>1034</v>
      </c>
    </row>
    <row r="219" spans="1:3" ht="15">
      <c r="A219" s="90" t="s">
        <v>394</v>
      </c>
      <c r="B219" s="89">
        <v>22</v>
      </c>
      <c r="C219" s="96" t="s">
        <v>1034</v>
      </c>
    </row>
    <row r="220" spans="1:3" ht="15">
      <c r="A220" s="90" t="s">
        <v>394</v>
      </c>
      <c r="B220" s="89" t="s">
        <v>560</v>
      </c>
      <c r="C220" s="96" t="s">
        <v>1034</v>
      </c>
    </row>
    <row r="221" spans="1:3" ht="15">
      <c r="A221" s="90" t="s">
        <v>394</v>
      </c>
      <c r="B221" s="89" t="s">
        <v>2367</v>
      </c>
      <c r="C221" s="96" t="s">
        <v>1034</v>
      </c>
    </row>
    <row r="222" spans="1:3" ht="15">
      <c r="A222" s="90" t="s">
        <v>393</v>
      </c>
      <c r="B222" s="89" t="s">
        <v>2360</v>
      </c>
      <c r="C222" s="96" t="s">
        <v>1033</v>
      </c>
    </row>
    <row r="223" spans="1:3" ht="15">
      <c r="A223" s="90" t="s">
        <v>393</v>
      </c>
      <c r="B223" s="89" t="s">
        <v>2140</v>
      </c>
      <c r="C223" s="96" t="s">
        <v>1033</v>
      </c>
    </row>
    <row r="224" spans="1:3" ht="15">
      <c r="A224" s="90" t="s">
        <v>393</v>
      </c>
      <c r="B224" s="89" t="s">
        <v>2124</v>
      </c>
      <c r="C224" s="96" t="s">
        <v>1033</v>
      </c>
    </row>
    <row r="225" spans="1:3" ht="15">
      <c r="A225" s="90" t="s">
        <v>393</v>
      </c>
      <c r="B225" s="89" t="s">
        <v>2132</v>
      </c>
      <c r="C225" s="96" t="s">
        <v>1033</v>
      </c>
    </row>
    <row r="226" spans="1:3" ht="15">
      <c r="A226" s="90" t="s">
        <v>393</v>
      </c>
      <c r="B226" s="89" t="s">
        <v>2361</v>
      </c>
      <c r="C226" s="96" t="s">
        <v>1033</v>
      </c>
    </row>
    <row r="227" spans="1:3" ht="15">
      <c r="A227" s="90" t="s">
        <v>393</v>
      </c>
      <c r="B227" s="89" t="s">
        <v>2141</v>
      </c>
      <c r="C227" s="96" t="s">
        <v>1033</v>
      </c>
    </row>
    <row r="228" spans="1:3" ht="15">
      <c r="A228" s="90" t="s">
        <v>393</v>
      </c>
      <c r="B228" s="89" t="s">
        <v>2362</v>
      </c>
      <c r="C228" s="96" t="s">
        <v>1033</v>
      </c>
    </row>
    <row r="229" spans="1:3" ht="15">
      <c r="A229" s="90" t="s">
        <v>393</v>
      </c>
      <c r="B229" s="89" t="s">
        <v>2142</v>
      </c>
      <c r="C229" s="96" t="s">
        <v>1033</v>
      </c>
    </row>
    <row r="230" spans="1:3" ht="15">
      <c r="A230" s="90" t="s">
        <v>393</v>
      </c>
      <c r="B230" s="89" t="s">
        <v>2363</v>
      </c>
      <c r="C230" s="96" t="s">
        <v>1033</v>
      </c>
    </row>
    <row r="231" spans="1:3" ht="15">
      <c r="A231" s="90" t="s">
        <v>393</v>
      </c>
      <c r="B231" s="89" t="s">
        <v>2143</v>
      </c>
      <c r="C231" s="96" t="s">
        <v>1033</v>
      </c>
    </row>
    <row r="232" spans="1:3" ht="15">
      <c r="A232" s="90" t="s">
        <v>393</v>
      </c>
      <c r="B232" s="89" t="s">
        <v>2144</v>
      </c>
      <c r="C232" s="96" t="s">
        <v>1033</v>
      </c>
    </row>
    <row r="233" spans="1:3" ht="15">
      <c r="A233" s="90" t="s">
        <v>393</v>
      </c>
      <c r="B233" s="89" t="s">
        <v>2364</v>
      </c>
      <c r="C233" s="96" t="s">
        <v>1033</v>
      </c>
    </row>
    <row r="234" spans="1:3" ht="15">
      <c r="A234" s="90" t="s">
        <v>393</v>
      </c>
      <c r="B234" s="89" t="s">
        <v>2133</v>
      </c>
      <c r="C234" s="96" t="s">
        <v>1033</v>
      </c>
    </row>
    <row r="235" spans="1:3" ht="15">
      <c r="A235" s="90" t="s">
        <v>393</v>
      </c>
      <c r="B235" s="89" t="s">
        <v>2134</v>
      </c>
      <c r="C235" s="96" t="s">
        <v>1033</v>
      </c>
    </row>
    <row r="236" spans="1:3" ht="15">
      <c r="A236" s="90" t="s">
        <v>393</v>
      </c>
      <c r="B236" s="89" t="s">
        <v>2135</v>
      </c>
      <c r="C236" s="96" t="s">
        <v>1033</v>
      </c>
    </row>
    <row r="237" spans="1:3" ht="15">
      <c r="A237" s="90" t="s">
        <v>393</v>
      </c>
      <c r="B237" s="89" t="s">
        <v>2136</v>
      </c>
      <c r="C237" s="96" t="s">
        <v>1033</v>
      </c>
    </row>
    <row r="238" spans="1:3" ht="15">
      <c r="A238" s="90" t="s">
        <v>393</v>
      </c>
      <c r="B238" s="89" t="s">
        <v>2137</v>
      </c>
      <c r="C238" s="96" t="s">
        <v>1033</v>
      </c>
    </row>
    <row r="239" spans="1:3" ht="15">
      <c r="A239" s="90" t="s">
        <v>393</v>
      </c>
      <c r="B239" s="89" t="s">
        <v>2365</v>
      </c>
      <c r="C239" s="96" t="s">
        <v>1033</v>
      </c>
    </row>
    <row r="240" spans="1:3" ht="15">
      <c r="A240" s="90" t="s">
        <v>393</v>
      </c>
      <c r="B240" s="89" t="s">
        <v>2366</v>
      </c>
      <c r="C240" s="96" t="s">
        <v>1033</v>
      </c>
    </row>
    <row r="241" spans="1:3" ht="15">
      <c r="A241" s="90" t="s">
        <v>393</v>
      </c>
      <c r="B241" s="89">
        <v>16</v>
      </c>
      <c r="C241" s="96" t="s">
        <v>1033</v>
      </c>
    </row>
    <row r="242" spans="1:3" ht="15">
      <c r="A242" s="90" t="s">
        <v>393</v>
      </c>
      <c r="B242" s="89">
        <v>1</v>
      </c>
      <c r="C242" s="96" t="s">
        <v>1033</v>
      </c>
    </row>
    <row r="243" spans="1:3" ht="15">
      <c r="A243" s="90" t="s">
        <v>393</v>
      </c>
      <c r="B243" s="89">
        <v>22</v>
      </c>
      <c r="C243" s="96" t="s">
        <v>1033</v>
      </c>
    </row>
    <row r="244" spans="1:3" ht="15">
      <c r="A244" s="90" t="s">
        <v>393</v>
      </c>
      <c r="B244" s="89" t="s">
        <v>560</v>
      </c>
      <c r="C244" s="96" t="s">
        <v>1033</v>
      </c>
    </row>
    <row r="245" spans="1:3" ht="15">
      <c r="A245" s="90" t="s">
        <v>393</v>
      </c>
      <c r="B245" s="89" t="s">
        <v>2367</v>
      </c>
      <c r="C245" s="96" t="s">
        <v>1033</v>
      </c>
    </row>
    <row r="246" spans="1:3" ht="15">
      <c r="A246" s="90" t="s">
        <v>392</v>
      </c>
      <c r="B246" s="89" t="s">
        <v>2360</v>
      </c>
      <c r="C246" s="96" t="s">
        <v>1032</v>
      </c>
    </row>
    <row r="247" spans="1:3" ht="15">
      <c r="A247" s="90" t="s">
        <v>392</v>
      </c>
      <c r="B247" s="89" t="s">
        <v>2140</v>
      </c>
      <c r="C247" s="96" t="s">
        <v>1032</v>
      </c>
    </row>
    <row r="248" spans="1:3" ht="15">
      <c r="A248" s="90" t="s">
        <v>392</v>
      </c>
      <c r="B248" s="89" t="s">
        <v>2124</v>
      </c>
      <c r="C248" s="96" t="s">
        <v>1032</v>
      </c>
    </row>
    <row r="249" spans="1:3" ht="15">
      <c r="A249" s="90" t="s">
        <v>392</v>
      </c>
      <c r="B249" s="89" t="s">
        <v>2132</v>
      </c>
      <c r="C249" s="96" t="s">
        <v>1032</v>
      </c>
    </row>
    <row r="250" spans="1:3" ht="15">
      <c r="A250" s="90" t="s">
        <v>392</v>
      </c>
      <c r="B250" s="89" t="s">
        <v>2361</v>
      </c>
      <c r="C250" s="96" t="s">
        <v>1032</v>
      </c>
    </row>
    <row r="251" spans="1:3" ht="15">
      <c r="A251" s="90" t="s">
        <v>392</v>
      </c>
      <c r="B251" s="89" t="s">
        <v>2141</v>
      </c>
      <c r="C251" s="96" t="s">
        <v>1032</v>
      </c>
    </row>
    <row r="252" spans="1:3" ht="15">
      <c r="A252" s="90" t="s">
        <v>392</v>
      </c>
      <c r="B252" s="89" t="s">
        <v>2362</v>
      </c>
      <c r="C252" s="96" t="s">
        <v>1032</v>
      </c>
    </row>
    <row r="253" spans="1:3" ht="15">
      <c r="A253" s="90" t="s">
        <v>392</v>
      </c>
      <c r="B253" s="89" t="s">
        <v>2142</v>
      </c>
      <c r="C253" s="96" t="s">
        <v>1032</v>
      </c>
    </row>
    <row r="254" spans="1:3" ht="15">
      <c r="A254" s="90" t="s">
        <v>392</v>
      </c>
      <c r="B254" s="89" t="s">
        <v>2363</v>
      </c>
      <c r="C254" s="96" t="s">
        <v>1032</v>
      </c>
    </row>
    <row r="255" spans="1:3" ht="15">
      <c r="A255" s="90" t="s">
        <v>392</v>
      </c>
      <c r="B255" s="89" t="s">
        <v>2143</v>
      </c>
      <c r="C255" s="96" t="s">
        <v>1032</v>
      </c>
    </row>
    <row r="256" spans="1:3" ht="15">
      <c r="A256" s="90" t="s">
        <v>392</v>
      </c>
      <c r="B256" s="89" t="s">
        <v>2144</v>
      </c>
      <c r="C256" s="96" t="s">
        <v>1032</v>
      </c>
    </row>
    <row r="257" spans="1:3" ht="15">
      <c r="A257" s="90" t="s">
        <v>392</v>
      </c>
      <c r="B257" s="89" t="s">
        <v>2364</v>
      </c>
      <c r="C257" s="96" t="s">
        <v>1032</v>
      </c>
    </row>
    <row r="258" spans="1:3" ht="15">
      <c r="A258" s="90" t="s">
        <v>392</v>
      </c>
      <c r="B258" s="89" t="s">
        <v>2133</v>
      </c>
      <c r="C258" s="96" t="s">
        <v>1032</v>
      </c>
    </row>
    <row r="259" spans="1:3" ht="15">
      <c r="A259" s="90" t="s">
        <v>392</v>
      </c>
      <c r="B259" s="89" t="s">
        <v>2134</v>
      </c>
      <c r="C259" s="96" t="s">
        <v>1032</v>
      </c>
    </row>
    <row r="260" spans="1:3" ht="15">
      <c r="A260" s="90" t="s">
        <v>392</v>
      </c>
      <c r="B260" s="89" t="s">
        <v>2135</v>
      </c>
      <c r="C260" s="96" t="s">
        <v>1032</v>
      </c>
    </row>
    <row r="261" spans="1:3" ht="15">
      <c r="A261" s="90" t="s">
        <v>392</v>
      </c>
      <c r="B261" s="89" t="s">
        <v>2136</v>
      </c>
      <c r="C261" s="96" t="s">
        <v>1032</v>
      </c>
    </row>
    <row r="262" spans="1:3" ht="15">
      <c r="A262" s="90" t="s">
        <v>392</v>
      </c>
      <c r="B262" s="89" t="s">
        <v>2137</v>
      </c>
      <c r="C262" s="96" t="s">
        <v>1032</v>
      </c>
    </row>
    <row r="263" spans="1:3" ht="15">
      <c r="A263" s="90" t="s">
        <v>392</v>
      </c>
      <c r="B263" s="89" t="s">
        <v>2365</v>
      </c>
      <c r="C263" s="96" t="s">
        <v>1032</v>
      </c>
    </row>
    <row r="264" spans="1:3" ht="15">
      <c r="A264" s="90" t="s">
        <v>392</v>
      </c>
      <c r="B264" s="89" t="s">
        <v>2366</v>
      </c>
      <c r="C264" s="96" t="s">
        <v>1032</v>
      </c>
    </row>
    <row r="265" spans="1:3" ht="15">
      <c r="A265" s="90" t="s">
        <v>392</v>
      </c>
      <c r="B265" s="89">
        <v>16</v>
      </c>
      <c r="C265" s="96" t="s">
        <v>1032</v>
      </c>
    </row>
    <row r="266" spans="1:3" ht="15">
      <c r="A266" s="90" t="s">
        <v>392</v>
      </c>
      <c r="B266" s="89">
        <v>1</v>
      </c>
      <c r="C266" s="96" t="s">
        <v>1032</v>
      </c>
    </row>
    <row r="267" spans="1:3" ht="15">
      <c r="A267" s="90" t="s">
        <v>392</v>
      </c>
      <c r="B267" s="89">
        <v>22</v>
      </c>
      <c r="C267" s="96" t="s">
        <v>1032</v>
      </c>
    </row>
    <row r="268" spans="1:3" ht="15">
      <c r="A268" s="90" t="s">
        <v>392</v>
      </c>
      <c r="B268" s="89" t="s">
        <v>560</v>
      </c>
      <c r="C268" s="96" t="s">
        <v>1032</v>
      </c>
    </row>
    <row r="269" spans="1:3" ht="15">
      <c r="A269" s="90" t="s">
        <v>392</v>
      </c>
      <c r="B269" s="89" t="s">
        <v>2367</v>
      </c>
      <c r="C269" s="96" t="s">
        <v>1032</v>
      </c>
    </row>
    <row r="270" spans="1:3" ht="15">
      <c r="A270" s="90" t="s">
        <v>391</v>
      </c>
      <c r="B270" s="89" t="s">
        <v>2360</v>
      </c>
      <c r="C270" s="96" t="s">
        <v>1031</v>
      </c>
    </row>
    <row r="271" spans="1:3" ht="15">
      <c r="A271" s="90" t="s">
        <v>391</v>
      </c>
      <c r="B271" s="89" t="s">
        <v>2140</v>
      </c>
      <c r="C271" s="96" t="s">
        <v>1031</v>
      </c>
    </row>
    <row r="272" spans="1:3" ht="15">
      <c r="A272" s="90" t="s">
        <v>391</v>
      </c>
      <c r="B272" s="89" t="s">
        <v>2124</v>
      </c>
      <c r="C272" s="96" t="s">
        <v>1031</v>
      </c>
    </row>
    <row r="273" spans="1:3" ht="15">
      <c r="A273" s="90" t="s">
        <v>391</v>
      </c>
      <c r="B273" s="89" t="s">
        <v>2132</v>
      </c>
      <c r="C273" s="96" t="s">
        <v>1031</v>
      </c>
    </row>
    <row r="274" spans="1:3" ht="15">
      <c r="A274" s="90" t="s">
        <v>391</v>
      </c>
      <c r="B274" s="89" t="s">
        <v>2361</v>
      </c>
      <c r="C274" s="96" t="s">
        <v>1031</v>
      </c>
    </row>
    <row r="275" spans="1:3" ht="15">
      <c r="A275" s="90" t="s">
        <v>391</v>
      </c>
      <c r="B275" s="89" t="s">
        <v>2141</v>
      </c>
      <c r="C275" s="96" t="s">
        <v>1031</v>
      </c>
    </row>
    <row r="276" spans="1:3" ht="15">
      <c r="A276" s="90" t="s">
        <v>391</v>
      </c>
      <c r="B276" s="89" t="s">
        <v>2362</v>
      </c>
      <c r="C276" s="96" t="s">
        <v>1031</v>
      </c>
    </row>
    <row r="277" spans="1:3" ht="15">
      <c r="A277" s="90" t="s">
        <v>391</v>
      </c>
      <c r="B277" s="89" t="s">
        <v>2142</v>
      </c>
      <c r="C277" s="96" t="s">
        <v>1031</v>
      </c>
    </row>
    <row r="278" spans="1:3" ht="15">
      <c r="A278" s="90" t="s">
        <v>391</v>
      </c>
      <c r="B278" s="89" t="s">
        <v>2363</v>
      </c>
      <c r="C278" s="96" t="s">
        <v>1031</v>
      </c>
    </row>
    <row r="279" spans="1:3" ht="15">
      <c r="A279" s="90" t="s">
        <v>391</v>
      </c>
      <c r="B279" s="89" t="s">
        <v>2143</v>
      </c>
      <c r="C279" s="96" t="s">
        <v>1031</v>
      </c>
    </row>
    <row r="280" spans="1:3" ht="15">
      <c r="A280" s="90" t="s">
        <v>391</v>
      </c>
      <c r="B280" s="89" t="s">
        <v>2144</v>
      </c>
      <c r="C280" s="96" t="s">
        <v>1031</v>
      </c>
    </row>
    <row r="281" spans="1:3" ht="15">
      <c r="A281" s="90" t="s">
        <v>391</v>
      </c>
      <c r="B281" s="89" t="s">
        <v>2364</v>
      </c>
      <c r="C281" s="96" t="s">
        <v>1031</v>
      </c>
    </row>
    <row r="282" spans="1:3" ht="15">
      <c r="A282" s="90" t="s">
        <v>391</v>
      </c>
      <c r="B282" s="89" t="s">
        <v>2133</v>
      </c>
      <c r="C282" s="96" t="s">
        <v>1031</v>
      </c>
    </row>
    <row r="283" spans="1:3" ht="15">
      <c r="A283" s="90" t="s">
        <v>391</v>
      </c>
      <c r="B283" s="89" t="s">
        <v>2134</v>
      </c>
      <c r="C283" s="96" t="s">
        <v>1031</v>
      </c>
    </row>
    <row r="284" spans="1:3" ht="15">
      <c r="A284" s="90" t="s">
        <v>391</v>
      </c>
      <c r="B284" s="89" t="s">
        <v>2135</v>
      </c>
      <c r="C284" s="96" t="s">
        <v>1031</v>
      </c>
    </row>
    <row r="285" spans="1:3" ht="15">
      <c r="A285" s="90" t="s">
        <v>391</v>
      </c>
      <c r="B285" s="89" t="s">
        <v>2136</v>
      </c>
      <c r="C285" s="96" t="s">
        <v>1031</v>
      </c>
    </row>
    <row r="286" spans="1:3" ht="15">
      <c r="A286" s="90" t="s">
        <v>391</v>
      </c>
      <c r="B286" s="89" t="s">
        <v>2137</v>
      </c>
      <c r="C286" s="96" t="s">
        <v>1031</v>
      </c>
    </row>
    <row r="287" spans="1:3" ht="15">
      <c r="A287" s="90" t="s">
        <v>391</v>
      </c>
      <c r="B287" s="89" t="s">
        <v>2365</v>
      </c>
      <c r="C287" s="96" t="s">
        <v>1031</v>
      </c>
    </row>
    <row r="288" spans="1:3" ht="15">
      <c r="A288" s="90" t="s">
        <v>391</v>
      </c>
      <c r="B288" s="89" t="s">
        <v>2366</v>
      </c>
      <c r="C288" s="96" t="s">
        <v>1031</v>
      </c>
    </row>
    <row r="289" spans="1:3" ht="15">
      <c r="A289" s="90" t="s">
        <v>391</v>
      </c>
      <c r="B289" s="89">
        <v>16</v>
      </c>
      <c r="C289" s="96" t="s">
        <v>1031</v>
      </c>
    </row>
    <row r="290" spans="1:3" ht="15">
      <c r="A290" s="90" t="s">
        <v>391</v>
      </c>
      <c r="B290" s="89">
        <v>1</v>
      </c>
      <c r="C290" s="96" t="s">
        <v>1031</v>
      </c>
    </row>
    <row r="291" spans="1:3" ht="15">
      <c r="A291" s="90" t="s">
        <v>391</v>
      </c>
      <c r="B291" s="89">
        <v>22</v>
      </c>
      <c r="C291" s="96" t="s">
        <v>1031</v>
      </c>
    </row>
    <row r="292" spans="1:3" ht="15">
      <c r="A292" s="90" t="s">
        <v>391</v>
      </c>
      <c r="B292" s="89" t="s">
        <v>560</v>
      </c>
      <c r="C292" s="96" t="s">
        <v>1031</v>
      </c>
    </row>
    <row r="293" spans="1:3" ht="15">
      <c r="A293" s="90" t="s">
        <v>391</v>
      </c>
      <c r="B293" s="89" t="s">
        <v>2367</v>
      </c>
      <c r="C293" s="96" t="s">
        <v>1031</v>
      </c>
    </row>
    <row r="294" spans="1:3" ht="15">
      <c r="A294" s="90" t="s">
        <v>390</v>
      </c>
      <c r="B294" s="89" t="s">
        <v>2360</v>
      </c>
      <c r="C294" s="96" t="s">
        <v>1030</v>
      </c>
    </row>
    <row r="295" spans="1:3" ht="15">
      <c r="A295" s="90" t="s">
        <v>390</v>
      </c>
      <c r="B295" s="89" t="s">
        <v>2140</v>
      </c>
      <c r="C295" s="96" t="s">
        <v>1030</v>
      </c>
    </row>
    <row r="296" spans="1:3" ht="15">
      <c r="A296" s="90" t="s">
        <v>390</v>
      </c>
      <c r="B296" s="89" t="s">
        <v>2124</v>
      </c>
      <c r="C296" s="96" t="s">
        <v>1030</v>
      </c>
    </row>
    <row r="297" spans="1:3" ht="15">
      <c r="A297" s="90" t="s">
        <v>390</v>
      </c>
      <c r="B297" s="89" t="s">
        <v>2132</v>
      </c>
      <c r="C297" s="96" t="s">
        <v>1030</v>
      </c>
    </row>
    <row r="298" spans="1:3" ht="15">
      <c r="A298" s="90" t="s">
        <v>390</v>
      </c>
      <c r="B298" s="89" t="s">
        <v>2361</v>
      </c>
      <c r="C298" s="96" t="s">
        <v>1030</v>
      </c>
    </row>
    <row r="299" spans="1:3" ht="15">
      <c r="A299" s="90" t="s">
        <v>390</v>
      </c>
      <c r="B299" s="89" t="s">
        <v>2141</v>
      </c>
      <c r="C299" s="96" t="s">
        <v>1030</v>
      </c>
    </row>
    <row r="300" spans="1:3" ht="15">
      <c r="A300" s="90" t="s">
        <v>390</v>
      </c>
      <c r="B300" s="89" t="s">
        <v>2362</v>
      </c>
      <c r="C300" s="96" t="s">
        <v>1030</v>
      </c>
    </row>
    <row r="301" spans="1:3" ht="15">
      <c r="A301" s="90" t="s">
        <v>390</v>
      </c>
      <c r="B301" s="89" t="s">
        <v>2142</v>
      </c>
      <c r="C301" s="96" t="s">
        <v>1030</v>
      </c>
    </row>
    <row r="302" spans="1:3" ht="15">
      <c r="A302" s="90" t="s">
        <v>390</v>
      </c>
      <c r="B302" s="89" t="s">
        <v>2363</v>
      </c>
      <c r="C302" s="96" t="s">
        <v>1030</v>
      </c>
    </row>
    <row r="303" spans="1:3" ht="15">
      <c r="A303" s="90" t="s">
        <v>390</v>
      </c>
      <c r="B303" s="89" t="s">
        <v>2143</v>
      </c>
      <c r="C303" s="96" t="s">
        <v>1030</v>
      </c>
    </row>
    <row r="304" spans="1:3" ht="15">
      <c r="A304" s="90" t="s">
        <v>390</v>
      </c>
      <c r="B304" s="89" t="s">
        <v>2144</v>
      </c>
      <c r="C304" s="96" t="s">
        <v>1030</v>
      </c>
    </row>
    <row r="305" spans="1:3" ht="15">
      <c r="A305" s="90" t="s">
        <v>390</v>
      </c>
      <c r="B305" s="89" t="s">
        <v>2364</v>
      </c>
      <c r="C305" s="96" t="s">
        <v>1030</v>
      </c>
    </row>
    <row r="306" spans="1:3" ht="15">
      <c r="A306" s="90" t="s">
        <v>390</v>
      </c>
      <c r="B306" s="89" t="s">
        <v>2133</v>
      </c>
      <c r="C306" s="96" t="s">
        <v>1030</v>
      </c>
    </row>
    <row r="307" spans="1:3" ht="15">
      <c r="A307" s="90" t="s">
        <v>390</v>
      </c>
      <c r="B307" s="89" t="s">
        <v>2134</v>
      </c>
      <c r="C307" s="96" t="s">
        <v>1030</v>
      </c>
    </row>
    <row r="308" spans="1:3" ht="15">
      <c r="A308" s="90" t="s">
        <v>390</v>
      </c>
      <c r="B308" s="89" t="s">
        <v>2135</v>
      </c>
      <c r="C308" s="96" t="s">
        <v>1030</v>
      </c>
    </row>
    <row r="309" spans="1:3" ht="15">
      <c r="A309" s="90" t="s">
        <v>390</v>
      </c>
      <c r="B309" s="89" t="s">
        <v>2136</v>
      </c>
      <c r="C309" s="96" t="s">
        <v>1030</v>
      </c>
    </row>
    <row r="310" spans="1:3" ht="15">
      <c r="A310" s="90" t="s">
        <v>390</v>
      </c>
      <c r="B310" s="89" t="s">
        <v>2137</v>
      </c>
      <c r="C310" s="96" t="s">
        <v>1030</v>
      </c>
    </row>
    <row r="311" spans="1:3" ht="15">
      <c r="A311" s="90" t="s">
        <v>390</v>
      </c>
      <c r="B311" s="89" t="s">
        <v>2365</v>
      </c>
      <c r="C311" s="96" t="s">
        <v>1030</v>
      </c>
    </row>
    <row r="312" spans="1:3" ht="15">
      <c r="A312" s="90" t="s">
        <v>390</v>
      </c>
      <c r="B312" s="89" t="s">
        <v>2366</v>
      </c>
      <c r="C312" s="96" t="s">
        <v>1030</v>
      </c>
    </row>
    <row r="313" spans="1:3" ht="15">
      <c r="A313" s="90" t="s">
        <v>390</v>
      </c>
      <c r="B313" s="89">
        <v>16</v>
      </c>
      <c r="C313" s="96" t="s">
        <v>1030</v>
      </c>
    </row>
    <row r="314" spans="1:3" ht="15">
      <c r="A314" s="90" t="s">
        <v>390</v>
      </c>
      <c r="B314" s="89">
        <v>1</v>
      </c>
      <c r="C314" s="96" t="s">
        <v>1030</v>
      </c>
    </row>
    <row r="315" spans="1:3" ht="15">
      <c r="A315" s="90" t="s">
        <v>390</v>
      </c>
      <c r="B315" s="89">
        <v>22</v>
      </c>
      <c r="C315" s="96" t="s">
        <v>1030</v>
      </c>
    </row>
    <row r="316" spans="1:3" ht="15">
      <c r="A316" s="90" t="s">
        <v>390</v>
      </c>
      <c r="B316" s="89" t="s">
        <v>560</v>
      </c>
      <c r="C316" s="96" t="s">
        <v>1030</v>
      </c>
    </row>
    <row r="317" spans="1:3" ht="15">
      <c r="A317" s="90" t="s">
        <v>390</v>
      </c>
      <c r="B317" s="89" t="s">
        <v>2367</v>
      </c>
      <c r="C317" s="96" t="s">
        <v>1030</v>
      </c>
    </row>
    <row r="318" spans="1:3" ht="15">
      <c r="A318" s="90" t="s">
        <v>389</v>
      </c>
      <c r="B318" s="89" t="s">
        <v>2360</v>
      </c>
      <c r="C318" s="96" t="s">
        <v>1029</v>
      </c>
    </row>
    <row r="319" spans="1:3" ht="15">
      <c r="A319" s="90" t="s">
        <v>389</v>
      </c>
      <c r="B319" s="89" t="s">
        <v>2140</v>
      </c>
      <c r="C319" s="96" t="s">
        <v>1029</v>
      </c>
    </row>
    <row r="320" spans="1:3" ht="15">
      <c r="A320" s="90" t="s">
        <v>389</v>
      </c>
      <c r="B320" s="89" t="s">
        <v>2124</v>
      </c>
      <c r="C320" s="96" t="s">
        <v>1029</v>
      </c>
    </row>
    <row r="321" spans="1:3" ht="15">
      <c r="A321" s="90" t="s">
        <v>389</v>
      </c>
      <c r="B321" s="89" t="s">
        <v>2132</v>
      </c>
      <c r="C321" s="96" t="s">
        <v>1029</v>
      </c>
    </row>
    <row r="322" spans="1:3" ht="15">
      <c r="A322" s="90" t="s">
        <v>389</v>
      </c>
      <c r="B322" s="89" t="s">
        <v>2361</v>
      </c>
      <c r="C322" s="96" t="s">
        <v>1029</v>
      </c>
    </row>
    <row r="323" spans="1:3" ht="15">
      <c r="A323" s="90" t="s">
        <v>389</v>
      </c>
      <c r="B323" s="89" t="s">
        <v>2141</v>
      </c>
      <c r="C323" s="96" t="s">
        <v>1029</v>
      </c>
    </row>
    <row r="324" spans="1:3" ht="15">
      <c r="A324" s="90" t="s">
        <v>389</v>
      </c>
      <c r="B324" s="89" t="s">
        <v>2362</v>
      </c>
      <c r="C324" s="96" t="s">
        <v>1029</v>
      </c>
    </row>
    <row r="325" spans="1:3" ht="15">
      <c r="A325" s="90" t="s">
        <v>389</v>
      </c>
      <c r="B325" s="89" t="s">
        <v>2142</v>
      </c>
      <c r="C325" s="96" t="s">
        <v>1029</v>
      </c>
    </row>
    <row r="326" spans="1:3" ht="15">
      <c r="A326" s="90" t="s">
        <v>389</v>
      </c>
      <c r="B326" s="89" t="s">
        <v>2363</v>
      </c>
      <c r="C326" s="96" t="s">
        <v>1029</v>
      </c>
    </row>
    <row r="327" spans="1:3" ht="15">
      <c r="A327" s="90" t="s">
        <v>389</v>
      </c>
      <c r="B327" s="89" t="s">
        <v>2143</v>
      </c>
      <c r="C327" s="96" t="s">
        <v>1029</v>
      </c>
    </row>
    <row r="328" spans="1:3" ht="15">
      <c r="A328" s="90" t="s">
        <v>389</v>
      </c>
      <c r="B328" s="89" t="s">
        <v>2144</v>
      </c>
      <c r="C328" s="96" t="s">
        <v>1029</v>
      </c>
    </row>
    <row r="329" spans="1:3" ht="15">
      <c r="A329" s="90" t="s">
        <v>389</v>
      </c>
      <c r="B329" s="89" t="s">
        <v>2364</v>
      </c>
      <c r="C329" s="96" t="s">
        <v>1029</v>
      </c>
    </row>
    <row r="330" spans="1:3" ht="15">
      <c r="A330" s="90" t="s">
        <v>389</v>
      </c>
      <c r="B330" s="89" t="s">
        <v>2133</v>
      </c>
      <c r="C330" s="96" t="s">
        <v>1029</v>
      </c>
    </row>
    <row r="331" spans="1:3" ht="15">
      <c r="A331" s="90" t="s">
        <v>389</v>
      </c>
      <c r="B331" s="89" t="s">
        <v>2134</v>
      </c>
      <c r="C331" s="96" t="s">
        <v>1029</v>
      </c>
    </row>
    <row r="332" spans="1:3" ht="15">
      <c r="A332" s="90" t="s">
        <v>389</v>
      </c>
      <c r="B332" s="89" t="s">
        <v>2135</v>
      </c>
      <c r="C332" s="96" t="s">
        <v>1029</v>
      </c>
    </row>
    <row r="333" spans="1:3" ht="15">
      <c r="A333" s="90" t="s">
        <v>389</v>
      </c>
      <c r="B333" s="89" t="s">
        <v>2136</v>
      </c>
      <c r="C333" s="96" t="s">
        <v>1029</v>
      </c>
    </row>
    <row r="334" spans="1:3" ht="15">
      <c r="A334" s="90" t="s">
        <v>389</v>
      </c>
      <c r="B334" s="89" t="s">
        <v>2137</v>
      </c>
      <c r="C334" s="96" t="s">
        <v>1029</v>
      </c>
    </row>
    <row r="335" spans="1:3" ht="15">
      <c r="A335" s="90" t="s">
        <v>389</v>
      </c>
      <c r="B335" s="89" t="s">
        <v>2365</v>
      </c>
      <c r="C335" s="96" t="s">
        <v>1029</v>
      </c>
    </row>
    <row r="336" spans="1:3" ht="15">
      <c r="A336" s="90" t="s">
        <v>389</v>
      </c>
      <c r="B336" s="89" t="s">
        <v>2366</v>
      </c>
      <c r="C336" s="96" t="s">
        <v>1029</v>
      </c>
    </row>
    <row r="337" spans="1:3" ht="15">
      <c r="A337" s="90" t="s">
        <v>389</v>
      </c>
      <c r="B337" s="89">
        <v>16</v>
      </c>
      <c r="C337" s="96" t="s">
        <v>1029</v>
      </c>
    </row>
    <row r="338" spans="1:3" ht="15">
      <c r="A338" s="90" t="s">
        <v>389</v>
      </c>
      <c r="B338" s="89">
        <v>1</v>
      </c>
      <c r="C338" s="96" t="s">
        <v>1029</v>
      </c>
    </row>
    <row r="339" spans="1:3" ht="15">
      <c r="A339" s="90" t="s">
        <v>389</v>
      </c>
      <c r="B339" s="89">
        <v>22</v>
      </c>
      <c r="C339" s="96" t="s">
        <v>1029</v>
      </c>
    </row>
    <row r="340" spans="1:3" ht="15">
      <c r="A340" s="90" t="s">
        <v>389</v>
      </c>
      <c r="B340" s="89" t="s">
        <v>560</v>
      </c>
      <c r="C340" s="96" t="s">
        <v>1029</v>
      </c>
    </row>
    <row r="341" spans="1:3" ht="15">
      <c r="A341" s="90" t="s">
        <v>389</v>
      </c>
      <c r="B341" s="89" t="s">
        <v>2367</v>
      </c>
      <c r="C341" s="96" t="s">
        <v>1029</v>
      </c>
    </row>
    <row r="342" spans="1:3" ht="15">
      <c r="A342" s="90" t="s">
        <v>389</v>
      </c>
      <c r="B342" s="89" t="s">
        <v>2369</v>
      </c>
      <c r="C342" s="96" t="s">
        <v>1028</v>
      </c>
    </row>
    <row r="343" spans="1:3" ht="15">
      <c r="A343" s="90" t="s">
        <v>389</v>
      </c>
      <c r="B343" s="89" t="s">
        <v>2370</v>
      </c>
      <c r="C343" s="96" t="s">
        <v>1028</v>
      </c>
    </row>
    <row r="344" spans="1:3" ht="15">
      <c r="A344" s="90" t="s">
        <v>389</v>
      </c>
      <c r="B344" s="89" t="s">
        <v>2150</v>
      </c>
      <c r="C344" s="96" t="s">
        <v>1028</v>
      </c>
    </row>
    <row r="345" spans="1:3" ht="15">
      <c r="A345" s="90" t="s">
        <v>389</v>
      </c>
      <c r="B345" s="89" t="s">
        <v>2151</v>
      </c>
      <c r="C345" s="96" t="s">
        <v>1028</v>
      </c>
    </row>
    <row r="346" spans="1:3" ht="15">
      <c r="A346" s="90" t="s">
        <v>389</v>
      </c>
      <c r="B346" s="89" t="s">
        <v>2152</v>
      </c>
      <c r="C346" s="96" t="s">
        <v>1028</v>
      </c>
    </row>
    <row r="347" spans="1:3" ht="15">
      <c r="A347" s="90" t="s">
        <v>389</v>
      </c>
      <c r="B347" s="89" t="s">
        <v>2391</v>
      </c>
      <c r="C347" s="96" t="s">
        <v>1028</v>
      </c>
    </row>
    <row r="348" spans="1:3" ht="15">
      <c r="A348" s="90" t="s">
        <v>389</v>
      </c>
      <c r="B348" s="89" t="s">
        <v>2392</v>
      </c>
      <c r="C348" s="96" t="s">
        <v>1028</v>
      </c>
    </row>
    <row r="349" spans="1:3" ht="15">
      <c r="A349" s="90" t="s">
        <v>389</v>
      </c>
      <c r="B349" s="89" t="s">
        <v>2393</v>
      </c>
      <c r="C349" s="96" t="s">
        <v>1028</v>
      </c>
    </row>
    <row r="350" spans="1:3" ht="15">
      <c r="A350" s="90" t="s">
        <v>389</v>
      </c>
      <c r="B350" s="89" t="s">
        <v>2149</v>
      </c>
      <c r="C350" s="96" t="s">
        <v>1028</v>
      </c>
    </row>
    <row r="351" spans="1:3" ht="15">
      <c r="A351" s="90" t="s">
        <v>389</v>
      </c>
      <c r="B351" s="89" t="s">
        <v>2153</v>
      </c>
      <c r="C351" s="96" t="s">
        <v>1028</v>
      </c>
    </row>
    <row r="352" spans="1:3" ht="15">
      <c r="A352" s="90" t="s">
        <v>389</v>
      </c>
      <c r="B352" s="89" t="s">
        <v>2361</v>
      </c>
      <c r="C352" s="96" t="s">
        <v>1028</v>
      </c>
    </row>
    <row r="353" spans="1:3" ht="15">
      <c r="A353" s="90" t="s">
        <v>389</v>
      </c>
      <c r="B353" s="89" t="s">
        <v>2394</v>
      </c>
      <c r="C353" s="96" t="s">
        <v>1028</v>
      </c>
    </row>
    <row r="354" spans="1:3" ht="15">
      <c r="A354" s="90" t="s">
        <v>389</v>
      </c>
      <c r="B354" s="89" t="s">
        <v>2148</v>
      </c>
      <c r="C354" s="96" t="s">
        <v>1028</v>
      </c>
    </row>
    <row r="355" spans="1:3" ht="15">
      <c r="A355" s="90" t="s">
        <v>389</v>
      </c>
      <c r="B355" s="89" t="s">
        <v>2395</v>
      </c>
      <c r="C355" s="96" t="s">
        <v>1028</v>
      </c>
    </row>
    <row r="356" spans="1:3" ht="15">
      <c r="A356" s="90" t="s">
        <v>389</v>
      </c>
      <c r="B356" s="89" t="s">
        <v>2154</v>
      </c>
      <c r="C356" s="96" t="s">
        <v>1028</v>
      </c>
    </row>
    <row r="357" spans="1:3" ht="15">
      <c r="A357" s="90" t="s">
        <v>389</v>
      </c>
      <c r="B357" s="89" t="s">
        <v>2155</v>
      </c>
      <c r="C357" s="96" t="s">
        <v>1028</v>
      </c>
    </row>
    <row r="358" spans="1:3" ht="15">
      <c r="A358" s="90" t="s">
        <v>388</v>
      </c>
      <c r="B358" s="89" t="s">
        <v>2396</v>
      </c>
      <c r="C358" s="96" t="s">
        <v>1027</v>
      </c>
    </row>
    <row r="359" spans="1:3" ht="15">
      <c r="A359" s="90" t="s">
        <v>388</v>
      </c>
      <c r="B359" s="89" t="s">
        <v>2245</v>
      </c>
      <c r="C359" s="96" t="s">
        <v>1027</v>
      </c>
    </row>
    <row r="360" spans="1:3" ht="15">
      <c r="A360" s="90" t="s">
        <v>388</v>
      </c>
      <c r="B360" s="89" t="s">
        <v>2361</v>
      </c>
      <c r="C360" s="96" t="s">
        <v>1027</v>
      </c>
    </row>
    <row r="361" spans="1:3" ht="15">
      <c r="A361" s="90" t="s">
        <v>388</v>
      </c>
      <c r="B361" s="89" t="s">
        <v>2132</v>
      </c>
      <c r="C361" s="96" t="s">
        <v>1027</v>
      </c>
    </row>
    <row r="362" spans="1:3" ht="15">
      <c r="A362" s="90" t="s">
        <v>388</v>
      </c>
      <c r="B362" s="89" t="s">
        <v>2246</v>
      </c>
      <c r="C362" s="96" t="s">
        <v>1027</v>
      </c>
    </row>
    <row r="363" spans="1:3" ht="15">
      <c r="A363" s="90" t="s">
        <v>388</v>
      </c>
      <c r="B363" s="89" t="s">
        <v>2369</v>
      </c>
      <c r="C363" s="96" t="s">
        <v>1027</v>
      </c>
    </row>
    <row r="364" spans="1:3" ht="15">
      <c r="A364" s="90" t="s">
        <v>388</v>
      </c>
      <c r="B364" s="89" t="s">
        <v>2370</v>
      </c>
      <c r="C364" s="96" t="s">
        <v>1027</v>
      </c>
    </row>
    <row r="365" spans="1:3" ht="15">
      <c r="A365" s="90" t="s">
        <v>388</v>
      </c>
      <c r="B365" s="89" t="s">
        <v>2247</v>
      </c>
      <c r="C365" s="96" t="s">
        <v>1027</v>
      </c>
    </row>
    <row r="366" spans="1:3" ht="15">
      <c r="A366" s="90" t="s">
        <v>388</v>
      </c>
      <c r="B366" s="89" t="s">
        <v>2392</v>
      </c>
      <c r="C366" s="96" t="s">
        <v>1027</v>
      </c>
    </row>
    <row r="367" spans="1:3" ht="15">
      <c r="A367" s="90" t="s">
        <v>388</v>
      </c>
      <c r="B367" s="89" t="s">
        <v>2381</v>
      </c>
      <c r="C367" s="96" t="s">
        <v>1027</v>
      </c>
    </row>
    <row r="368" spans="1:3" ht="15">
      <c r="A368" s="90" t="s">
        <v>388</v>
      </c>
      <c r="B368" s="89" t="s">
        <v>2157</v>
      </c>
      <c r="C368" s="96" t="s">
        <v>1027</v>
      </c>
    </row>
    <row r="369" spans="1:3" ht="15">
      <c r="A369" s="90" t="s">
        <v>388</v>
      </c>
      <c r="B369" s="89" t="s">
        <v>2180</v>
      </c>
      <c r="C369" s="96" t="s">
        <v>1027</v>
      </c>
    </row>
    <row r="370" spans="1:3" ht="15">
      <c r="A370" s="90" t="s">
        <v>388</v>
      </c>
      <c r="B370" s="89" t="s">
        <v>2248</v>
      </c>
      <c r="C370" s="96" t="s">
        <v>1027</v>
      </c>
    </row>
    <row r="371" spans="1:3" ht="15">
      <c r="A371" s="90" t="s">
        <v>388</v>
      </c>
      <c r="B371" s="89" t="s">
        <v>2249</v>
      </c>
      <c r="C371" s="96" t="s">
        <v>1027</v>
      </c>
    </row>
    <row r="372" spans="1:3" ht="15">
      <c r="A372" s="90" t="s">
        <v>388</v>
      </c>
      <c r="B372" s="89" t="s">
        <v>2364</v>
      </c>
      <c r="C372" s="96" t="s">
        <v>1027</v>
      </c>
    </row>
    <row r="373" spans="1:3" ht="15">
      <c r="A373" s="90" t="s">
        <v>388</v>
      </c>
      <c r="B373" s="89" t="s">
        <v>2133</v>
      </c>
      <c r="C373" s="96" t="s">
        <v>1027</v>
      </c>
    </row>
    <row r="374" spans="1:3" ht="15">
      <c r="A374" s="90" t="s">
        <v>388</v>
      </c>
      <c r="B374" s="89" t="s">
        <v>2134</v>
      </c>
      <c r="C374" s="96" t="s">
        <v>1027</v>
      </c>
    </row>
    <row r="375" spans="1:3" ht="15">
      <c r="A375" s="90" t="s">
        <v>388</v>
      </c>
      <c r="B375" s="89" t="s">
        <v>2135</v>
      </c>
      <c r="C375" s="96" t="s">
        <v>1027</v>
      </c>
    </row>
    <row r="376" spans="1:3" ht="15">
      <c r="A376" s="90" t="s">
        <v>388</v>
      </c>
      <c r="B376" s="89" t="s">
        <v>2136</v>
      </c>
      <c r="C376" s="96" t="s">
        <v>1027</v>
      </c>
    </row>
    <row r="377" spans="1:3" ht="15">
      <c r="A377" s="90" t="s">
        <v>388</v>
      </c>
      <c r="B377" s="89" t="s">
        <v>2137</v>
      </c>
      <c r="C377" s="96" t="s">
        <v>1027</v>
      </c>
    </row>
    <row r="378" spans="1:3" ht="15">
      <c r="A378" s="90" t="s">
        <v>388</v>
      </c>
      <c r="B378" s="89" t="s">
        <v>2365</v>
      </c>
      <c r="C378" s="96" t="s">
        <v>1027</v>
      </c>
    </row>
    <row r="379" spans="1:3" ht="15">
      <c r="A379" s="90" t="s">
        <v>388</v>
      </c>
      <c r="B379" s="89" t="s">
        <v>2397</v>
      </c>
      <c r="C379" s="96" t="s">
        <v>1027</v>
      </c>
    </row>
    <row r="380" spans="1:3" ht="15">
      <c r="A380" s="90" t="s">
        <v>388</v>
      </c>
      <c r="B380" s="89" t="s">
        <v>2250</v>
      </c>
      <c r="C380" s="96" t="s">
        <v>1027</v>
      </c>
    </row>
    <row r="381" spans="1:3" ht="15">
      <c r="A381" s="90" t="s">
        <v>388</v>
      </c>
      <c r="B381" s="89" t="s">
        <v>2192</v>
      </c>
      <c r="C381" s="96" t="s">
        <v>1027</v>
      </c>
    </row>
    <row r="382" spans="1:3" ht="15">
      <c r="A382" s="90" t="s">
        <v>388</v>
      </c>
      <c r="B382" s="89" t="s">
        <v>2251</v>
      </c>
      <c r="C382" s="96" t="s">
        <v>1027</v>
      </c>
    </row>
    <row r="383" spans="1:3" ht="15">
      <c r="A383" s="90" t="s">
        <v>388</v>
      </c>
      <c r="B383" s="89" t="s">
        <v>2252</v>
      </c>
      <c r="C383" s="96" t="s">
        <v>1027</v>
      </c>
    </row>
    <row r="384" spans="1:3" ht="15">
      <c r="A384" s="90" t="s">
        <v>388</v>
      </c>
      <c r="B384" s="89" t="s">
        <v>2253</v>
      </c>
      <c r="C384" s="96" t="s">
        <v>1027</v>
      </c>
    </row>
    <row r="385" spans="1:3" ht="15">
      <c r="A385" s="90" t="s">
        <v>388</v>
      </c>
      <c r="B385" s="89" t="s">
        <v>2398</v>
      </c>
      <c r="C385" s="96" t="s">
        <v>1027</v>
      </c>
    </row>
    <row r="386" spans="1:3" ht="15">
      <c r="A386" s="90" t="s">
        <v>387</v>
      </c>
      <c r="B386" s="89" t="s">
        <v>2396</v>
      </c>
      <c r="C386" s="96" t="s">
        <v>1026</v>
      </c>
    </row>
    <row r="387" spans="1:3" ht="15">
      <c r="A387" s="90" t="s">
        <v>387</v>
      </c>
      <c r="B387" s="89" t="s">
        <v>2245</v>
      </c>
      <c r="C387" s="96" t="s">
        <v>1026</v>
      </c>
    </row>
    <row r="388" spans="1:3" ht="15">
      <c r="A388" s="90" t="s">
        <v>387</v>
      </c>
      <c r="B388" s="89" t="s">
        <v>2361</v>
      </c>
      <c r="C388" s="96" t="s">
        <v>1026</v>
      </c>
    </row>
    <row r="389" spans="1:3" ht="15">
      <c r="A389" s="90" t="s">
        <v>387</v>
      </c>
      <c r="B389" s="89" t="s">
        <v>2132</v>
      </c>
      <c r="C389" s="96" t="s">
        <v>1026</v>
      </c>
    </row>
    <row r="390" spans="1:3" ht="15">
      <c r="A390" s="90" t="s">
        <v>387</v>
      </c>
      <c r="B390" s="89" t="s">
        <v>2246</v>
      </c>
      <c r="C390" s="96" t="s">
        <v>1026</v>
      </c>
    </row>
    <row r="391" spans="1:3" ht="15">
      <c r="A391" s="90" t="s">
        <v>387</v>
      </c>
      <c r="B391" s="89" t="s">
        <v>2369</v>
      </c>
      <c r="C391" s="96" t="s">
        <v>1026</v>
      </c>
    </row>
    <row r="392" spans="1:3" ht="15">
      <c r="A392" s="90" t="s">
        <v>387</v>
      </c>
      <c r="B392" s="89" t="s">
        <v>2370</v>
      </c>
      <c r="C392" s="96" t="s">
        <v>1026</v>
      </c>
    </row>
    <row r="393" spans="1:3" ht="15">
      <c r="A393" s="90" t="s">
        <v>387</v>
      </c>
      <c r="B393" s="89" t="s">
        <v>2247</v>
      </c>
      <c r="C393" s="96" t="s">
        <v>1026</v>
      </c>
    </row>
    <row r="394" spans="1:3" ht="15">
      <c r="A394" s="90" t="s">
        <v>387</v>
      </c>
      <c r="B394" s="89" t="s">
        <v>2392</v>
      </c>
      <c r="C394" s="96" t="s">
        <v>1026</v>
      </c>
    </row>
    <row r="395" spans="1:3" ht="15">
      <c r="A395" s="90" t="s">
        <v>387</v>
      </c>
      <c r="B395" s="89" t="s">
        <v>2381</v>
      </c>
      <c r="C395" s="96" t="s">
        <v>1026</v>
      </c>
    </row>
    <row r="396" spans="1:3" ht="15">
      <c r="A396" s="90" t="s">
        <v>387</v>
      </c>
      <c r="B396" s="89" t="s">
        <v>2157</v>
      </c>
      <c r="C396" s="96" t="s">
        <v>1026</v>
      </c>
    </row>
    <row r="397" spans="1:3" ht="15">
      <c r="A397" s="90" t="s">
        <v>387</v>
      </c>
      <c r="B397" s="89" t="s">
        <v>2180</v>
      </c>
      <c r="C397" s="96" t="s">
        <v>1026</v>
      </c>
    </row>
    <row r="398" spans="1:3" ht="15">
      <c r="A398" s="90" t="s">
        <v>387</v>
      </c>
      <c r="B398" s="89" t="s">
        <v>2248</v>
      </c>
      <c r="C398" s="96" t="s">
        <v>1026</v>
      </c>
    </row>
    <row r="399" spans="1:3" ht="15">
      <c r="A399" s="90" t="s">
        <v>387</v>
      </c>
      <c r="B399" s="89" t="s">
        <v>2249</v>
      </c>
      <c r="C399" s="96" t="s">
        <v>1026</v>
      </c>
    </row>
    <row r="400" spans="1:3" ht="15">
      <c r="A400" s="90" t="s">
        <v>387</v>
      </c>
      <c r="B400" s="89" t="s">
        <v>2364</v>
      </c>
      <c r="C400" s="96" t="s">
        <v>1026</v>
      </c>
    </row>
    <row r="401" spans="1:3" ht="15">
      <c r="A401" s="90" t="s">
        <v>387</v>
      </c>
      <c r="B401" s="89" t="s">
        <v>2133</v>
      </c>
      <c r="C401" s="96" t="s">
        <v>1026</v>
      </c>
    </row>
    <row r="402" spans="1:3" ht="15">
      <c r="A402" s="90" t="s">
        <v>387</v>
      </c>
      <c r="B402" s="89" t="s">
        <v>2134</v>
      </c>
      <c r="C402" s="96" t="s">
        <v>1026</v>
      </c>
    </row>
    <row r="403" spans="1:3" ht="15">
      <c r="A403" s="90" t="s">
        <v>387</v>
      </c>
      <c r="B403" s="89" t="s">
        <v>2135</v>
      </c>
      <c r="C403" s="96" t="s">
        <v>1026</v>
      </c>
    </row>
    <row r="404" spans="1:3" ht="15">
      <c r="A404" s="90" t="s">
        <v>387</v>
      </c>
      <c r="B404" s="89" t="s">
        <v>2136</v>
      </c>
      <c r="C404" s="96" t="s">
        <v>1026</v>
      </c>
    </row>
    <row r="405" spans="1:3" ht="15">
      <c r="A405" s="90" t="s">
        <v>387</v>
      </c>
      <c r="B405" s="89" t="s">
        <v>2137</v>
      </c>
      <c r="C405" s="96" t="s">
        <v>1026</v>
      </c>
    </row>
    <row r="406" spans="1:3" ht="15">
      <c r="A406" s="90" t="s">
        <v>387</v>
      </c>
      <c r="B406" s="89" t="s">
        <v>2365</v>
      </c>
      <c r="C406" s="96" t="s">
        <v>1026</v>
      </c>
    </row>
    <row r="407" spans="1:3" ht="15">
      <c r="A407" s="90" t="s">
        <v>387</v>
      </c>
      <c r="B407" s="89" t="s">
        <v>2397</v>
      </c>
      <c r="C407" s="96" t="s">
        <v>1026</v>
      </c>
    </row>
    <row r="408" spans="1:3" ht="15">
      <c r="A408" s="90" t="s">
        <v>387</v>
      </c>
      <c r="B408" s="89" t="s">
        <v>2250</v>
      </c>
      <c r="C408" s="96" t="s">
        <v>1026</v>
      </c>
    </row>
    <row r="409" spans="1:3" ht="15">
      <c r="A409" s="90" t="s">
        <v>387</v>
      </c>
      <c r="B409" s="89" t="s">
        <v>2192</v>
      </c>
      <c r="C409" s="96" t="s">
        <v>1026</v>
      </c>
    </row>
    <row r="410" spans="1:3" ht="15">
      <c r="A410" s="90" t="s">
        <v>387</v>
      </c>
      <c r="B410" s="89" t="s">
        <v>2251</v>
      </c>
      <c r="C410" s="96" t="s">
        <v>1026</v>
      </c>
    </row>
    <row r="411" spans="1:3" ht="15">
      <c r="A411" s="90" t="s">
        <v>387</v>
      </c>
      <c r="B411" s="89" t="s">
        <v>2252</v>
      </c>
      <c r="C411" s="96" t="s">
        <v>1026</v>
      </c>
    </row>
    <row r="412" spans="1:3" ht="15">
      <c r="A412" s="90" t="s">
        <v>387</v>
      </c>
      <c r="B412" s="89" t="s">
        <v>2253</v>
      </c>
      <c r="C412" s="96" t="s">
        <v>1026</v>
      </c>
    </row>
    <row r="413" spans="1:3" ht="15">
      <c r="A413" s="90" t="s">
        <v>387</v>
      </c>
      <c r="B413" s="89" t="s">
        <v>2398</v>
      </c>
      <c r="C413" s="96" t="s">
        <v>1026</v>
      </c>
    </row>
    <row r="414" spans="1:3" ht="15">
      <c r="A414" s="90" t="s">
        <v>386</v>
      </c>
      <c r="B414" s="89" t="s">
        <v>2360</v>
      </c>
      <c r="C414" s="96" t="s">
        <v>1025</v>
      </c>
    </row>
    <row r="415" spans="1:3" ht="15">
      <c r="A415" s="90" t="s">
        <v>386</v>
      </c>
      <c r="B415" s="89" t="s">
        <v>2140</v>
      </c>
      <c r="C415" s="96" t="s">
        <v>1025</v>
      </c>
    </row>
    <row r="416" spans="1:3" ht="15">
      <c r="A416" s="90" t="s">
        <v>386</v>
      </c>
      <c r="B416" s="89" t="s">
        <v>2124</v>
      </c>
      <c r="C416" s="96" t="s">
        <v>1025</v>
      </c>
    </row>
    <row r="417" spans="1:3" ht="15">
      <c r="A417" s="90" t="s">
        <v>386</v>
      </c>
      <c r="B417" s="89" t="s">
        <v>2132</v>
      </c>
      <c r="C417" s="96" t="s">
        <v>1025</v>
      </c>
    </row>
    <row r="418" spans="1:3" ht="15">
      <c r="A418" s="90" t="s">
        <v>386</v>
      </c>
      <c r="B418" s="89" t="s">
        <v>2361</v>
      </c>
      <c r="C418" s="96" t="s">
        <v>1025</v>
      </c>
    </row>
    <row r="419" spans="1:3" ht="15">
      <c r="A419" s="90" t="s">
        <v>386</v>
      </c>
      <c r="B419" s="89" t="s">
        <v>2141</v>
      </c>
      <c r="C419" s="96" t="s">
        <v>1025</v>
      </c>
    </row>
    <row r="420" spans="1:3" ht="15">
      <c r="A420" s="90" t="s">
        <v>386</v>
      </c>
      <c r="B420" s="89" t="s">
        <v>2362</v>
      </c>
      <c r="C420" s="96" t="s">
        <v>1025</v>
      </c>
    </row>
    <row r="421" spans="1:3" ht="15">
      <c r="A421" s="90" t="s">
        <v>386</v>
      </c>
      <c r="B421" s="89" t="s">
        <v>2142</v>
      </c>
      <c r="C421" s="96" t="s">
        <v>1025</v>
      </c>
    </row>
    <row r="422" spans="1:3" ht="15">
      <c r="A422" s="90" t="s">
        <v>386</v>
      </c>
      <c r="B422" s="89" t="s">
        <v>2363</v>
      </c>
      <c r="C422" s="96" t="s">
        <v>1025</v>
      </c>
    </row>
    <row r="423" spans="1:3" ht="15">
      <c r="A423" s="90" t="s">
        <v>386</v>
      </c>
      <c r="B423" s="89" t="s">
        <v>2143</v>
      </c>
      <c r="C423" s="96" t="s">
        <v>1025</v>
      </c>
    </row>
    <row r="424" spans="1:3" ht="15">
      <c r="A424" s="90" t="s">
        <v>386</v>
      </c>
      <c r="B424" s="89" t="s">
        <v>2144</v>
      </c>
      <c r="C424" s="96" t="s">
        <v>1025</v>
      </c>
    </row>
    <row r="425" spans="1:3" ht="15">
      <c r="A425" s="90" t="s">
        <v>386</v>
      </c>
      <c r="B425" s="89" t="s">
        <v>2364</v>
      </c>
      <c r="C425" s="96" t="s">
        <v>1025</v>
      </c>
    </row>
    <row r="426" spans="1:3" ht="15">
      <c r="A426" s="90" t="s">
        <v>386</v>
      </c>
      <c r="B426" s="89" t="s">
        <v>2133</v>
      </c>
      <c r="C426" s="96" t="s">
        <v>1025</v>
      </c>
    </row>
    <row r="427" spans="1:3" ht="15">
      <c r="A427" s="90" t="s">
        <v>386</v>
      </c>
      <c r="B427" s="89" t="s">
        <v>2134</v>
      </c>
      <c r="C427" s="96" t="s">
        <v>1025</v>
      </c>
    </row>
    <row r="428" spans="1:3" ht="15">
      <c r="A428" s="90" t="s">
        <v>386</v>
      </c>
      <c r="B428" s="89" t="s">
        <v>2135</v>
      </c>
      <c r="C428" s="96" t="s">
        <v>1025</v>
      </c>
    </row>
    <row r="429" spans="1:3" ht="15">
      <c r="A429" s="90" t="s">
        <v>386</v>
      </c>
      <c r="B429" s="89" t="s">
        <v>2136</v>
      </c>
      <c r="C429" s="96" t="s">
        <v>1025</v>
      </c>
    </row>
    <row r="430" spans="1:3" ht="15">
      <c r="A430" s="90" t="s">
        <v>386</v>
      </c>
      <c r="B430" s="89" t="s">
        <v>2137</v>
      </c>
      <c r="C430" s="96" t="s">
        <v>1025</v>
      </c>
    </row>
    <row r="431" spans="1:3" ht="15">
      <c r="A431" s="90" t="s">
        <v>386</v>
      </c>
      <c r="B431" s="89" t="s">
        <v>2365</v>
      </c>
      <c r="C431" s="96" t="s">
        <v>1025</v>
      </c>
    </row>
    <row r="432" spans="1:3" ht="15">
      <c r="A432" s="90" t="s">
        <v>386</v>
      </c>
      <c r="B432" s="89" t="s">
        <v>2366</v>
      </c>
      <c r="C432" s="96" t="s">
        <v>1025</v>
      </c>
    </row>
    <row r="433" spans="1:3" ht="15">
      <c r="A433" s="90" t="s">
        <v>386</v>
      </c>
      <c r="B433" s="89">
        <v>16</v>
      </c>
      <c r="C433" s="96" t="s">
        <v>1025</v>
      </c>
    </row>
    <row r="434" spans="1:3" ht="15">
      <c r="A434" s="90" t="s">
        <v>386</v>
      </c>
      <c r="B434" s="89">
        <v>1</v>
      </c>
      <c r="C434" s="96" t="s">
        <v>1025</v>
      </c>
    </row>
    <row r="435" spans="1:3" ht="15">
      <c r="A435" s="90" t="s">
        <v>386</v>
      </c>
      <c r="B435" s="89">
        <v>22</v>
      </c>
      <c r="C435" s="96" t="s">
        <v>1025</v>
      </c>
    </row>
    <row r="436" spans="1:3" ht="15">
      <c r="A436" s="90" t="s">
        <v>386</v>
      </c>
      <c r="B436" s="89" t="s">
        <v>560</v>
      </c>
      <c r="C436" s="96" t="s">
        <v>1025</v>
      </c>
    </row>
    <row r="437" spans="1:3" ht="15">
      <c r="A437" s="90" t="s">
        <v>386</v>
      </c>
      <c r="B437" s="89" t="s">
        <v>2367</v>
      </c>
      <c r="C437" s="96" t="s">
        <v>1025</v>
      </c>
    </row>
    <row r="438" spans="1:3" ht="15">
      <c r="A438" s="90" t="s">
        <v>385</v>
      </c>
      <c r="B438" s="89" t="s">
        <v>2360</v>
      </c>
      <c r="C438" s="96" t="s">
        <v>1024</v>
      </c>
    </row>
    <row r="439" spans="1:3" ht="15">
      <c r="A439" s="90" t="s">
        <v>385</v>
      </c>
      <c r="B439" s="89" t="s">
        <v>2140</v>
      </c>
      <c r="C439" s="96" t="s">
        <v>1024</v>
      </c>
    </row>
    <row r="440" spans="1:3" ht="15">
      <c r="A440" s="90" t="s">
        <v>385</v>
      </c>
      <c r="B440" s="89" t="s">
        <v>2124</v>
      </c>
      <c r="C440" s="96" t="s">
        <v>1024</v>
      </c>
    </row>
    <row r="441" spans="1:3" ht="15">
      <c r="A441" s="90" t="s">
        <v>385</v>
      </c>
      <c r="B441" s="89" t="s">
        <v>2132</v>
      </c>
      <c r="C441" s="96" t="s">
        <v>1024</v>
      </c>
    </row>
    <row r="442" spans="1:3" ht="15">
      <c r="A442" s="90" t="s">
        <v>385</v>
      </c>
      <c r="B442" s="89" t="s">
        <v>2361</v>
      </c>
      <c r="C442" s="96" t="s">
        <v>1024</v>
      </c>
    </row>
    <row r="443" spans="1:3" ht="15">
      <c r="A443" s="90" t="s">
        <v>385</v>
      </c>
      <c r="B443" s="89" t="s">
        <v>2141</v>
      </c>
      <c r="C443" s="96" t="s">
        <v>1024</v>
      </c>
    </row>
    <row r="444" spans="1:3" ht="15">
      <c r="A444" s="90" t="s">
        <v>385</v>
      </c>
      <c r="B444" s="89" t="s">
        <v>2362</v>
      </c>
      <c r="C444" s="96" t="s">
        <v>1024</v>
      </c>
    </row>
    <row r="445" spans="1:3" ht="15">
      <c r="A445" s="90" t="s">
        <v>385</v>
      </c>
      <c r="B445" s="89" t="s">
        <v>2142</v>
      </c>
      <c r="C445" s="96" t="s">
        <v>1024</v>
      </c>
    </row>
    <row r="446" spans="1:3" ht="15">
      <c r="A446" s="90" t="s">
        <v>385</v>
      </c>
      <c r="B446" s="89" t="s">
        <v>2363</v>
      </c>
      <c r="C446" s="96" t="s">
        <v>1024</v>
      </c>
    </row>
    <row r="447" spans="1:3" ht="15">
      <c r="A447" s="90" t="s">
        <v>385</v>
      </c>
      <c r="B447" s="89" t="s">
        <v>2143</v>
      </c>
      <c r="C447" s="96" t="s">
        <v>1024</v>
      </c>
    </row>
    <row r="448" spans="1:3" ht="15">
      <c r="A448" s="90" t="s">
        <v>385</v>
      </c>
      <c r="B448" s="89" t="s">
        <v>2144</v>
      </c>
      <c r="C448" s="96" t="s">
        <v>1024</v>
      </c>
    </row>
    <row r="449" spans="1:3" ht="15">
      <c r="A449" s="90" t="s">
        <v>385</v>
      </c>
      <c r="B449" s="89" t="s">
        <v>2364</v>
      </c>
      <c r="C449" s="96" t="s">
        <v>1024</v>
      </c>
    </row>
    <row r="450" spans="1:3" ht="15">
      <c r="A450" s="90" t="s">
        <v>385</v>
      </c>
      <c r="B450" s="89" t="s">
        <v>2133</v>
      </c>
      <c r="C450" s="96" t="s">
        <v>1024</v>
      </c>
    </row>
    <row r="451" spans="1:3" ht="15">
      <c r="A451" s="90" t="s">
        <v>385</v>
      </c>
      <c r="B451" s="89" t="s">
        <v>2134</v>
      </c>
      <c r="C451" s="96" t="s">
        <v>1024</v>
      </c>
    </row>
    <row r="452" spans="1:3" ht="15">
      <c r="A452" s="90" t="s">
        <v>385</v>
      </c>
      <c r="B452" s="89" t="s">
        <v>2135</v>
      </c>
      <c r="C452" s="96" t="s">
        <v>1024</v>
      </c>
    </row>
    <row r="453" spans="1:3" ht="15">
      <c r="A453" s="90" t="s">
        <v>385</v>
      </c>
      <c r="B453" s="89" t="s">
        <v>2136</v>
      </c>
      <c r="C453" s="96" t="s">
        <v>1024</v>
      </c>
    </row>
    <row r="454" spans="1:3" ht="15">
      <c r="A454" s="90" t="s">
        <v>385</v>
      </c>
      <c r="B454" s="89" t="s">
        <v>2137</v>
      </c>
      <c r="C454" s="96" t="s">
        <v>1024</v>
      </c>
    </row>
    <row r="455" spans="1:3" ht="15">
      <c r="A455" s="90" t="s">
        <v>385</v>
      </c>
      <c r="B455" s="89" t="s">
        <v>2365</v>
      </c>
      <c r="C455" s="96" t="s">
        <v>1024</v>
      </c>
    </row>
    <row r="456" spans="1:3" ht="15">
      <c r="A456" s="90" t="s">
        <v>385</v>
      </c>
      <c r="B456" s="89" t="s">
        <v>2366</v>
      </c>
      <c r="C456" s="96" t="s">
        <v>1024</v>
      </c>
    </row>
    <row r="457" spans="1:3" ht="15">
      <c r="A457" s="90" t="s">
        <v>385</v>
      </c>
      <c r="B457" s="89">
        <v>16</v>
      </c>
      <c r="C457" s="96" t="s">
        <v>1024</v>
      </c>
    </row>
    <row r="458" spans="1:3" ht="15">
      <c r="A458" s="90" t="s">
        <v>385</v>
      </c>
      <c r="B458" s="89">
        <v>1</v>
      </c>
      <c r="C458" s="96" t="s">
        <v>1024</v>
      </c>
    </row>
    <row r="459" spans="1:3" ht="15">
      <c r="A459" s="90" t="s">
        <v>385</v>
      </c>
      <c r="B459" s="89">
        <v>22</v>
      </c>
      <c r="C459" s="96" t="s">
        <v>1024</v>
      </c>
    </row>
    <row r="460" spans="1:3" ht="15">
      <c r="A460" s="90" t="s">
        <v>385</v>
      </c>
      <c r="B460" s="89" t="s">
        <v>560</v>
      </c>
      <c r="C460" s="96" t="s">
        <v>1024</v>
      </c>
    </row>
    <row r="461" spans="1:3" ht="15">
      <c r="A461" s="90" t="s">
        <v>385</v>
      </c>
      <c r="B461" s="89" t="s">
        <v>2367</v>
      </c>
      <c r="C461" s="96" t="s">
        <v>1024</v>
      </c>
    </row>
    <row r="462" spans="1:3" ht="15">
      <c r="A462" s="90" t="s">
        <v>385</v>
      </c>
      <c r="B462" s="89" t="s">
        <v>2369</v>
      </c>
      <c r="C462" s="96" t="s">
        <v>1023</v>
      </c>
    </row>
    <row r="463" spans="1:3" ht="15">
      <c r="A463" s="90" t="s">
        <v>385</v>
      </c>
      <c r="B463" s="89" t="s">
        <v>2370</v>
      </c>
      <c r="C463" s="96" t="s">
        <v>1023</v>
      </c>
    </row>
    <row r="464" spans="1:3" ht="15">
      <c r="A464" s="90" t="s">
        <v>385</v>
      </c>
      <c r="B464" s="89" t="s">
        <v>2399</v>
      </c>
      <c r="C464" s="96" t="s">
        <v>1023</v>
      </c>
    </row>
    <row r="465" spans="1:3" ht="15">
      <c r="A465" s="90" t="s">
        <v>385</v>
      </c>
      <c r="B465" s="89" t="s">
        <v>2110</v>
      </c>
      <c r="C465" s="96" t="s">
        <v>1023</v>
      </c>
    </row>
    <row r="466" spans="1:3" ht="15">
      <c r="A466" s="90" t="s">
        <v>385</v>
      </c>
      <c r="B466" s="89" t="s">
        <v>2125</v>
      </c>
      <c r="C466" s="96" t="s">
        <v>1023</v>
      </c>
    </row>
    <row r="467" spans="1:3" ht="15">
      <c r="A467" s="90" t="s">
        <v>385</v>
      </c>
      <c r="B467" s="89" t="s">
        <v>2400</v>
      </c>
      <c r="C467" s="96" t="s">
        <v>1023</v>
      </c>
    </row>
    <row r="468" spans="1:3" ht="15">
      <c r="A468" s="90" t="s">
        <v>385</v>
      </c>
      <c r="B468" s="89" t="s">
        <v>2127</v>
      </c>
      <c r="C468" s="96" t="s">
        <v>1023</v>
      </c>
    </row>
    <row r="469" spans="1:3" ht="15">
      <c r="A469" s="90" t="s">
        <v>385</v>
      </c>
      <c r="B469" s="89" t="s">
        <v>2401</v>
      </c>
      <c r="C469" s="96" t="s">
        <v>1023</v>
      </c>
    </row>
    <row r="470" spans="1:3" ht="15">
      <c r="A470" s="90" t="s">
        <v>385</v>
      </c>
      <c r="B470" s="89" t="s">
        <v>2402</v>
      </c>
      <c r="C470" s="96" t="s">
        <v>1023</v>
      </c>
    </row>
    <row r="471" spans="1:3" ht="15">
      <c r="A471" s="90" t="s">
        <v>385</v>
      </c>
      <c r="B471" s="89" t="s">
        <v>2403</v>
      </c>
      <c r="C471" s="96" t="s">
        <v>1023</v>
      </c>
    </row>
    <row r="472" spans="1:3" ht="15">
      <c r="A472" s="90" t="s">
        <v>385</v>
      </c>
      <c r="B472" s="89" t="s">
        <v>2404</v>
      </c>
      <c r="C472" s="96" t="s">
        <v>1023</v>
      </c>
    </row>
    <row r="473" spans="1:3" ht="15">
      <c r="A473" s="90" t="s">
        <v>385</v>
      </c>
      <c r="B473" s="89" t="s">
        <v>2115</v>
      </c>
      <c r="C473" s="96" t="s">
        <v>1023</v>
      </c>
    </row>
    <row r="474" spans="1:3" ht="15">
      <c r="A474" s="90" t="s">
        <v>385</v>
      </c>
      <c r="B474" s="89" t="s">
        <v>2116</v>
      </c>
      <c r="C474" s="96" t="s">
        <v>1023</v>
      </c>
    </row>
    <row r="475" spans="1:3" ht="15">
      <c r="A475" s="90" t="s">
        <v>385</v>
      </c>
      <c r="B475" s="89" t="s">
        <v>2117</v>
      </c>
      <c r="C475" s="96" t="s">
        <v>1023</v>
      </c>
    </row>
    <row r="476" spans="1:3" ht="15">
      <c r="A476" s="90" t="s">
        <v>385</v>
      </c>
      <c r="B476" s="89" t="s">
        <v>2118</v>
      </c>
      <c r="C476" s="96" t="s">
        <v>1023</v>
      </c>
    </row>
    <row r="477" spans="1:3" ht="15">
      <c r="A477" s="90" t="s">
        <v>385</v>
      </c>
      <c r="B477" s="89" t="s">
        <v>2119</v>
      </c>
      <c r="C477" s="96" t="s">
        <v>1023</v>
      </c>
    </row>
    <row r="478" spans="1:3" ht="15">
      <c r="A478" s="90" t="s">
        <v>385</v>
      </c>
      <c r="B478" s="89" t="s">
        <v>2129</v>
      </c>
      <c r="C478" s="96" t="s">
        <v>1023</v>
      </c>
    </row>
    <row r="479" spans="1:3" ht="15">
      <c r="A479" s="90" t="s">
        <v>385</v>
      </c>
      <c r="B479" s="89" t="s">
        <v>2120</v>
      </c>
      <c r="C479" s="96" t="s">
        <v>1023</v>
      </c>
    </row>
    <row r="480" spans="1:3" ht="15">
      <c r="A480" s="90" t="s">
        <v>385</v>
      </c>
      <c r="B480" s="89" t="s">
        <v>2121</v>
      </c>
      <c r="C480" s="96" t="s">
        <v>1023</v>
      </c>
    </row>
    <row r="481" spans="1:3" ht="15">
      <c r="A481" s="90" t="s">
        <v>385</v>
      </c>
      <c r="B481" s="89" t="s">
        <v>2122</v>
      </c>
      <c r="C481" s="96" t="s">
        <v>1023</v>
      </c>
    </row>
    <row r="482" spans="1:3" ht="15">
      <c r="A482" s="90" t="s">
        <v>385</v>
      </c>
      <c r="B482" s="89" t="s">
        <v>2130</v>
      </c>
      <c r="C482" s="96" t="s">
        <v>1023</v>
      </c>
    </row>
    <row r="483" spans="1:3" ht="15">
      <c r="A483" s="90" t="s">
        <v>385</v>
      </c>
      <c r="B483" s="89" t="s">
        <v>2131</v>
      </c>
      <c r="C483" s="96" t="s">
        <v>1023</v>
      </c>
    </row>
    <row r="484" spans="1:3" ht="15">
      <c r="A484" s="90" t="s">
        <v>385</v>
      </c>
      <c r="B484" s="89" t="s">
        <v>2123</v>
      </c>
      <c r="C484" s="96" t="s">
        <v>1023</v>
      </c>
    </row>
    <row r="485" spans="1:3" ht="15">
      <c r="A485" s="90" t="s">
        <v>385</v>
      </c>
      <c r="B485" s="89" t="s">
        <v>2114</v>
      </c>
      <c r="C485" s="96" t="s">
        <v>1023</v>
      </c>
    </row>
    <row r="486" spans="1:3" ht="15">
      <c r="A486" s="90" t="s">
        <v>383</v>
      </c>
      <c r="B486" s="89" t="s">
        <v>2405</v>
      </c>
      <c r="C486" s="96" t="s">
        <v>1021</v>
      </c>
    </row>
    <row r="487" spans="1:3" ht="15">
      <c r="A487" s="90" t="s">
        <v>383</v>
      </c>
      <c r="B487" s="89" t="s">
        <v>2369</v>
      </c>
      <c r="C487" s="96" t="s">
        <v>1021</v>
      </c>
    </row>
    <row r="488" spans="1:3" ht="15">
      <c r="A488" s="90" t="s">
        <v>383</v>
      </c>
      <c r="B488" s="89" t="s">
        <v>2370</v>
      </c>
      <c r="C488" s="96" t="s">
        <v>1021</v>
      </c>
    </row>
    <row r="489" spans="1:3" ht="15">
      <c r="A489" s="90" t="s">
        <v>383</v>
      </c>
      <c r="B489" s="89" t="s">
        <v>2376</v>
      </c>
      <c r="C489" s="96" t="s">
        <v>1021</v>
      </c>
    </row>
    <row r="490" spans="1:3" ht="15">
      <c r="A490" s="90" t="s">
        <v>383</v>
      </c>
      <c r="B490" s="89" t="s">
        <v>2406</v>
      </c>
      <c r="C490" s="96" t="s">
        <v>1021</v>
      </c>
    </row>
    <row r="491" spans="1:3" ht="15">
      <c r="A491" s="90" t="s">
        <v>383</v>
      </c>
      <c r="B491" s="89" t="s">
        <v>2407</v>
      </c>
      <c r="C491" s="96" t="s">
        <v>1021</v>
      </c>
    </row>
    <row r="492" spans="1:3" ht="15">
      <c r="A492" s="90" t="s">
        <v>383</v>
      </c>
      <c r="B492" s="89" t="s">
        <v>2385</v>
      </c>
      <c r="C492" s="96" t="s">
        <v>1021</v>
      </c>
    </row>
    <row r="493" spans="1:3" ht="15">
      <c r="A493" s="90" t="s">
        <v>383</v>
      </c>
      <c r="B493" s="89" t="s">
        <v>2254</v>
      </c>
      <c r="C493" s="96" t="s">
        <v>1021</v>
      </c>
    </row>
    <row r="494" spans="1:3" ht="15">
      <c r="A494" s="90" t="s">
        <v>383</v>
      </c>
      <c r="B494" s="89" t="s">
        <v>2184</v>
      </c>
      <c r="C494" s="96" t="s">
        <v>1021</v>
      </c>
    </row>
    <row r="495" spans="1:3" ht="15">
      <c r="A495" s="90" t="s">
        <v>383</v>
      </c>
      <c r="B495" s="89" t="s">
        <v>2408</v>
      </c>
      <c r="C495" s="96" t="s">
        <v>1021</v>
      </c>
    </row>
    <row r="496" spans="1:3" ht="15">
      <c r="A496" s="90" t="s">
        <v>383</v>
      </c>
      <c r="B496" s="89" t="s">
        <v>2255</v>
      </c>
      <c r="C496" s="96" t="s">
        <v>1021</v>
      </c>
    </row>
    <row r="497" spans="1:3" ht="15">
      <c r="A497" s="90" t="s">
        <v>383</v>
      </c>
      <c r="B497" s="89" t="s">
        <v>2256</v>
      </c>
      <c r="C497" s="96" t="s">
        <v>1021</v>
      </c>
    </row>
    <row r="498" spans="1:3" ht="15">
      <c r="A498" s="90" t="s">
        <v>383</v>
      </c>
      <c r="B498" s="89" t="s">
        <v>2409</v>
      </c>
      <c r="C498" s="96" t="s">
        <v>1021</v>
      </c>
    </row>
    <row r="499" spans="1:3" ht="15">
      <c r="A499" s="90" t="s">
        <v>383</v>
      </c>
      <c r="B499" s="89" t="s">
        <v>2180</v>
      </c>
      <c r="C499" s="96" t="s">
        <v>1021</v>
      </c>
    </row>
    <row r="500" spans="1:3" ht="15">
      <c r="A500" s="90" t="s">
        <v>383</v>
      </c>
      <c r="B500" s="89" t="s">
        <v>2410</v>
      </c>
      <c r="C500" s="96" t="s">
        <v>1021</v>
      </c>
    </row>
    <row r="501" spans="1:3" ht="15">
      <c r="A501" s="90" t="s">
        <v>383</v>
      </c>
      <c r="B501" s="89" t="s">
        <v>2257</v>
      </c>
      <c r="C501" s="96" t="s">
        <v>1021</v>
      </c>
    </row>
    <row r="502" spans="1:3" ht="15">
      <c r="A502" s="90" t="s">
        <v>382</v>
      </c>
      <c r="B502" s="89" t="s">
        <v>2405</v>
      </c>
      <c r="C502" s="96" t="s">
        <v>1020</v>
      </c>
    </row>
    <row r="503" spans="1:3" ht="15">
      <c r="A503" s="90" t="s">
        <v>382</v>
      </c>
      <c r="B503" s="89" t="s">
        <v>2369</v>
      </c>
      <c r="C503" s="96" t="s">
        <v>1020</v>
      </c>
    </row>
    <row r="504" spans="1:3" ht="15">
      <c r="A504" s="90" t="s">
        <v>382</v>
      </c>
      <c r="B504" s="89" t="s">
        <v>2370</v>
      </c>
      <c r="C504" s="96" t="s">
        <v>1020</v>
      </c>
    </row>
    <row r="505" spans="1:3" ht="15">
      <c r="A505" s="90" t="s">
        <v>382</v>
      </c>
      <c r="B505" s="89" t="s">
        <v>2376</v>
      </c>
      <c r="C505" s="96" t="s">
        <v>1020</v>
      </c>
    </row>
    <row r="506" spans="1:3" ht="15">
      <c r="A506" s="90" t="s">
        <v>382</v>
      </c>
      <c r="B506" s="89" t="s">
        <v>2406</v>
      </c>
      <c r="C506" s="96" t="s">
        <v>1020</v>
      </c>
    </row>
    <row r="507" spans="1:3" ht="15">
      <c r="A507" s="90" t="s">
        <v>382</v>
      </c>
      <c r="B507" s="89" t="s">
        <v>2407</v>
      </c>
      <c r="C507" s="96" t="s">
        <v>1020</v>
      </c>
    </row>
    <row r="508" spans="1:3" ht="15">
      <c r="A508" s="90" t="s">
        <v>382</v>
      </c>
      <c r="B508" s="89" t="s">
        <v>2385</v>
      </c>
      <c r="C508" s="96" t="s">
        <v>1020</v>
      </c>
    </row>
    <row r="509" spans="1:3" ht="15">
      <c r="A509" s="90" t="s">
        <v>382</v>
      </c>
      <c r="B509" s="89" t="s">
        <v>2254</v>
      </c>
      <c r="C509" s="96" t="s">
        <v>1020</v>
      </c>
    </row>
    <row r="510" spans="1:3" ht="15">
      <c r="A510" s="90" t="s">
        <v>382</v>
      </c>
      <c r="B510" s="89" t="s">
        <v>2184</v>
      </c>
      <c r="C510" s="96" t="s">
        <v>1020</v>
      </c>
    </row>
    <row r="511" spans="1:3" ht="15">
      <c r="A511" s="90" t="s">
        <v>382</v>
      </c>
      <c r="B511" s="89" t="s">
        <v>2408</v>
      </c>
      <c r="C511" s="96" t="s">
        <v>1020</v>
      </c>
    </row>
    <row r="512" spans="1:3" ht="15">
      <c r="A512" s="90" t="s">
        <v>382</v>
      </c>
      <c r="B512" s="89" t="s">
        <v>2255</v>
      </c>
      <c r="C512" s="96" t="s">
        <v>1020</v>
      </c>
    </row>
    <row r="513" spans="1:3" ht="15">
      <c r="A513" s="90" t="s">
        <v>382</v>
      </c>
      <c r="B513" s="89" t="s">
        <v>2256</v>
      </c>
      <c r="C513" s="96" t="s">
        <v>1020</v>
      </c>
    </row>
    <row r="514" spans="1:3" ht="15">
      <c r="A514" s="90" t="s">
        <v>382</v>
      </c>
      <c r="B514" s="89" t="s">
        <v>2409</v>
      </c>
      <c r="C514" s="96" t="s">
        <v>1020</v>
      </c>
    </row>
    <row r="515" spans="1:3" ht="15">
      <c r="A515" s="90" t="s">
        <v>382</v>
      </c>
      <c r="B515" s="89" t="s">
        <v>2180</v>
      </c>
      <c r="C515" s="96" t="s">
        <v>1020</v>
      </c>
    </row>
    <row r="516" spans="1:3" ht="15">
      <c r="A516" s="90" t="s">
        <v>382</v>
      </c>
      <c r="B516" s="89" t="s">
        <v>2410</v>
      </c>
      <c r="C516" s="96" t="s">
        <v>1020</v>
      </c>
    </row>
    <row r="517" spans="1:3" ht="15">
      <c r="A517" s="90" t="s">
        <v>382</v>
      </c>
      <c r="B517" s="89" t="s">
        <v>2257</v>
      </c>
      <c r="C517" s="96" t="s">
        <v>1020</v>
      </c>
    </row>
    <row r="518" spans="1:3" ht="15">
      <c r="A518" s="90" t="s">
        <v>381</v>
      </c>
      <c r="B518" s="89" t="s">
        <v>2360</v>
      </c>
      <c r="C518" s="96" t="s">
        <v>1019</v>
      </c>
    </row>
    <row r="519" spans="1:3" ht="15">
      <c r="A519" s="90" t="s">
        <v>381</v>
      </c>
      <c r="B519" s="89" t="s">
        <v>2140</v>
      </c>
      <c r="C519" s="96" t="s">
        <v>1019</v>
      </c>
    </row>
    <row r="520" spans="1:3" ht="15">
      <c r="A520" s="90" t="s">
        <v>381</v>
      </c>
      <c r="B520" s="89" t="s">
        <v>2124</v>
      </c>
      <c r="C520" s="96" t="s">
        <v>1019</v>
      </c>
    </row>
    <row r="521" spans="1:3" ht="15">
      <c r="A521" s="90" t="s">
        <v>381</v>
      </c>
      <c r="B521" s="89" t="s">
        <v>2132</v>
      </c>
      <c r="C521" s="96" t="s">
        <v>1019</v>
      </c>
    </row>
    <row r="522" spans="1:3" ht="15">
      <c r="A522" s="90" t="s">
        <v>381</v>
      </c>
      <c r="B522" s="89" t="s">
        <v>2361</v>
      </c>
      <c r="C522" s="96" t="s">
        <v>1019</v>
      </c>
    </row>
    <row r="523" spans="1:3" ht="15">
      <c r="A523" s="90" t="s">
        <v>381</v>
      </c>
      <c r="B523" s="89" t="s">
        <v>2141</v>
      </c>
      <c r="C523" s="96" t="s">
        <v>1019</v>
      </c>
    </row>
    <row r="524" spans="1:3" ht="15">
      <c r="A524" s="90" t="s">
        <v>381</v>
      </c>
      <c r="B524" s="89" t="s">
        <v>2362</v>
      </c>
      <c r="C524" s="96" t="s">
        <v>1019</v>
      </c>
    </row>
    <row r="525" spans="1:3" ht="15">
      <c r="A525" s="90" t="s">
        <v>381</v>
      </c>
      <c r="B525" s="89" t="s">
        <v>2142</v>
      </c>
      <c r="C525" s="96" t="s">
        <v>1019</v>
      </c>
    </row>
    <row r="526" spans="1:3" ht="15">
      <c r="A526" s="90" t="s">
        <v>381</v>
      </c>
      <c r="B526" s="89" t="s">
        <v>2363</v>
      </c>
      <c r="C526" s="96" t="s">
        <v>1019</v>
      </c>
    </row>
    <row r="527" spans="1:3" ht="15">
      <c r="A527" s="90" t="s">
        <v>381</v>
      </c>
      <c r="B527" s="89" t="s">
        <v>2143</v>
      </c>
      <c r="C527" s="96" t="s">
        <v>1019</v>
      </c>
    </row>
    <row r="528" spans="1:3" ht="15">
      <c r="A528" s="90" t="s">
        <v>381</v>
      </c>
      <c r="B528" s="89" t="s">
        <v>2144</v>
      </c>
      <c r="C528" s="96" t="s">
        <v>1019</v>
      </c>
    </row>
    <row r="529" spans="1:3" ht="15">
      <c r="A529" s="90" t="s">
        <v>381</v>
      </c>
      <c r="B529" s="89" t="s">
        <v>2364</v>
      </c>
      <c r="C529" s="96" t="s">
        <v>1019</v>
      </c>
    </row>
    <row r="530" spans="1:3" ht="15">
      <c r="A530" s="90" t="s">
        <v>381</v>
      </c>
      <c r="B530" s="89" t="s">
        <v>2133</v>
      </c>
      <c r="C530" s="96" t="s">
        <v>1019</v>
      </c>
    </row>
    <row r="531" spans="1:3" ht="15">
      <c r="A531" s="90" t="s">
        <v>381</v>
      </c>
      <c r="B531" s="89" t="s">
        <v>2134</v>
      </c>
      <c r="C531" s="96" t="s">
        <v>1019</v>
      </c>
    </row>
    <row r="532" spans="1:3" ht="15">
      <c r="A532" s="90" t="s">
        <v>381</v>
      </c>
      <c r="B532" s="89" t="s">
        <v>2135</v>
      </c>
      <c r="C532" s="96" t="s">
        <v>1019</v>
      </c>
    </row>
    <row r="533" spans="1:3" ht="15">
      <c r="A533" s="90" t="s">
        <v>381</v>
      </c>
      <c r="B533" s="89" t="s">
        <v>2136</v>
      </c>
      <c r="C533" s="96" t="s">
        <v>1019</v>
      </c>
    </row>
    <row r="534" spans="1:3" ht="15">
      <c r="A534" s="90" t="s">
        <v>381</v>
      </c>
      <c r="B534" s="89" t="s">
        <v>2137</v>
      </c>
      <c r="C534" s="96" t="s">
        <v>1019</v>
      </c>
    </row>
    <row r="535" spans="1:3" ht="15">
      <c r="A535" s="90" t="s">
        <v>381</v>
      </c>
      <c r="B535" s="89" t="s">
        <v>2365</v>
      </c>
      <c r="C535" s="96" t="s">
        <v>1019</v>
      </c>
    </row>
    <row r="536" spans="1:3" ht="15">
      <c r="A536" s="90" t="s">
        <v>381</v>
      </c>
      <c r="B536" s="89" t="s">
        <v>2366</v>
      </c>
      <c r="C536" s="96" t="s">
        <v>1019</v>
      </c>
    </row>
    <row r="537" spans="1:3" ht="15">
      <c r="A537" s="90" t="s">
        <v>381</v>
      </c>
      <c r="B537" s="89">
        <v>16</v>
      </c>
      <c r="C537" s="96" t="s">
        <v>1019</v>
      </c>
    </row>
    <row r="538" spans="1:3" ht="15">
      <c r="A538" s="90" t="s">
        <v>381</v>
      </c>
      <c r="B538" s="89">
        <v>1</v>
      </c>
      <c r="C538" s="96" t="s">
        <v>1019</v>
      </c>
    </row>
    <row r="539" spans="1:3" ht="15">
      <c r="A539" s="90" t="s">
        <v>381</v>
      </c>
      <c r="B539" s="89">
        <v>22</v>
      </c>
      <c r="C539" s="96" t="s">
        <v>1019</v>
      </c>
    </row>
    <row r="540" spans="1:3" ht="15">
      <c r="A540" s="90" t="s">
        <v>381</v>
      </c>
      <c r="B540" s="89" t="s">
        <v>560</v>
      </c>
      <c r="C540" s="96" t="s">
        <v>1019</v>
      </c>
    </row>
    <row r="541" spans="1:3" ht="15">
      <c r="A541" s="90" t="s">
        <v>381</v>
      </c>
      <c r="B541" s="89" t="s">
        <v>2367</v>
      </c>
      <c r="C541" s="96" t="s">
        <v>1019</v>
      </c>
    </row>
    <row r="542" spans="1:3" ht="15">
      <c r="A542" s="90" t="s">
        <v>380</v>
      </c>
      <c r="B542" s="89" t="s">
        <v>2411</v>
      </c>
      <c r="C542" s="96" t="s">
        <v>1017</v>
      </c>
    </row>
    <row r="543" spans="1:3" ht="15">
      <c r="A543" s="90" t="s">
        <v>380</v>
      </c>
      <c r="B543" s="89" t="s">
        <v>2369</v>
      </c>
      <c r="C543" s="96" t="s">
        <v>1017</v>
      </c>
    </row>
    <row r="544" spans="1:3" ht="15">
      <c r="A544" s="90" t="s">
        <v>380</v>
      </c>
      <c r="B544" s="89" t="s">
        <v>2370</v>
      </c>
      <c r="C544" s="96" t="s">
        <v>1017</v>
      </c>
    </row>
    <row r="545" spans="1:3" ht="15">
      <c r="A545" s="90" t="s">
        <v>380</v>
      </c>
      <c r="B545" s="89" t="s">
        <v>2376</v>
      </c>
      <c r="C545" s="96" t="s">
        <v>1017</v>
      </c>
    </row>
    <row r="546" spans="1:3" ht="15">
      <c r="A546" s="90" t="s">
        <v>380</v>
      </c>
      <c r="B546" s="89" t="s">
        <v>2412</v>
      </c>
      <c r="C546" s="96" t="s">
        <v>1017</v>
      </c>
    </row>
    <row r="547" spans="1:3" ht="15">
      <c r="A547" s="90" t="s">
        <v>380</v>
      </c>
      <c r="B547" s="89" t="s">
        <v>2413</v>
      </c>
      <c r="C547" s="96" t="s">
        <v>1017</v>
      </c>
    </row>
    <row r="548" spans="1:3" ht="15">
      <c r="A548" s="90" t="s">
        <v>380</v>
      </c>
      <c r="B548" s="89" t="s">
        <v>2382</v>
      </c>
      <c r="C548" s="96" t="s">
        <v>1017</v>
      </c>
    </row>
    <row r="549" spans="1:3" ht="15">
      <c r="A549" s="90" t="s">
        <v>380</v>
      </c>
      <c r="B549" s="89" t="s">
        <v>2414</v>
      </c>
      <c r="C549" s="96" t="s">
        <v>1017</v>
      </c>
    </row>
    <row r="550" spans="1:3" ht="15">
      <c r="A550" s="90" t="s">
        <v>380</v>
      </c>
      <c r="B550" s="89" t="s">
        <v>2415</v>
      </c>
      <c r="C550" s="96" t="s">
        <v>1017</v>
      </c>
    </row>
    <row r="551" spans="1:3" ht="15">
      <c r="A551" s="90" t="s">
        <v>380</v>
      </c>
      <c r="B551" s="89" t="s">
        <v>2416</v>
      </c>
      <c r="C551" s="96" t="s">
        <v>1017</v>
      </c>
    </row>
    <row r="552" spans="1:3" ht="15">
      <c r="A552" s="90" t="s">
        <v>380</v>
      </c>
      <c r="B552" s="89" t="s">
        <v>2417</v>
      </c>
      <c r="C552" s="96" t="s">
        <v>1017</v>
      </c>
    </row>
    <row r="553" spans="1:3" ht="15">
      <c r="A553" s="90" t="s">
        <v>380</v>
      </c>
      <c r="B553" s="89" t="s">
        <v>2418</v>
      </c>
      <c r="C553" s="96" t="s">
        <v>1017</v>
      </c>
    </row>
    <row r="554" spans="1:3" ht="15">
      <c r="A554" s="90" t="s">
        <v>380</v>
      </c>
      <c r="B554" s="89" t="s">
        <v>2419</v>
      </c>
      <c r="C554" s="96" t="s">
        <v>1017</v>
      </c>
    </row>
    <row r="555" spans="1:3" ht="15">
      <c r="A555" s="90" t="s">
        <v>380</v>
      </c>
      <c r="B555" s="89" t="s">
        <v>2420</v>
      </c>
      <c r="C555" s="96" t="s">
        <v>1017</v>
      </c>
    </row>
    <row r="556" spans="1:3" ht="15">
      <c r="A556" s="90" t="s">
        <v>380</v>
      </c>
      <c r="B556" s="89" t="s">
        <v>2421</v>
      </c>
      <c r="C556" s="96" t="s">
        <v>1017</v>
      </c>
    </row>
    <row r="557" spans="1:3" ht="15">
      <c r="A557" s="90" t="s">
        <v>380</v>
      </c>
      <c r="B557" s="89" t="s">
        <v>2422</v>
      </c>
      <c r="C557" s="96" t="s">
        <v>1017</v>
      </c>
    </row>
    <row r="558" spans="1:3" ht="15">
      <c r="A558" s="90" t="s">
        <v>380</v>
      </c>
      <c r="B558" s="89" t="s">
        <v>2423</v>
      </c>
      <c r="C558" s="96" t="s">
        <v>1017</v>
      </c>
    </row>
    <row r="559" spans="1:3" ht="15">
      <c r="A559" s="90" t="s">
        <v>380</v>
      </c>
      <c r="B559" s="89" t="s">
        <v>2424</v>
      </c>
      <c r="C559" s="96" t="s">
        <v>1017</v>
      </c>
    </row>
    <row r="560" spans="1:3" ht="15">
      <c r="A560" s="90" t="s">
        <v>380</v>
      </c>
      <c r="B560" s="89" t="s">
        <v>384</v>
      </c>
      <c r="C560" s="96" t="s">
        <v>1018</v>
      </c>
    </row>
    <row r="561" spans="1:3" ht="15">
      <c r="A561" s="90" t="s">
        <v>380</v>
      </c>
      <c r="B561" s="89" t="s">
        <v>2369</v>
      </c>
      <c r="C561" s="96" t="s">
        <v>1018</v>
      </c>
    </row>
    <row r="562" spans="1:3" ht="15">
      <c r="A562" s="90" t="s">
        <v>380</v>
      </c>
      <c r="B562" s="89" t="s">
        <v>2370</v>
      </c>
      <c r="C562" s="96" t="s">
        <v>1018</v>
      </c>
    </row>
    <row r="563" spans="1:3" ht="15">
      <c r="A563" s="90" t="s">
        <v>380</v>
      </c>
      <c r="B563" s="89" t="s">
        <v>2425</v>
      </c>
      <c r="C563" s="96" t="s">
        <v>1018</v>
      </c>
    </row>
    <row r="564" spans="1:3" ht="15">
      <c r="A564" s="90" t="s">
        <v>380</v>
      </c>
      <c r="B564" s="89" t="s">
        <v>2258</v>
      </c>
      <c r="C564" s="96" t="s">
        <v>1018</v>
      </c>
    </row>
    <row r="565" spans="1:3" ht="15">
      <c r="A565" s="90" t="s">
        <v>380</v>
      </c>
      <c r="B565" s="89" t="s">
        <v>2426</v>
      </c>
      <c r="C565" s="96" t="s">
        <v>1018</v>
      </c>
    </row>
    <row r="566" spans="1:3" ht="15">
      <c r="A566" s="90" t="s">
        <v>379</v>
      </c>
      <c r="B566" s="89" t="s">
        <v>2360</v>
      </c>
      <c r="C566" s="96" t="s">
        <v>1016</v>
      </c>
    </row>
    <row r="567" spans="1:3" ht="15">
      <c r="A567" s="90" t="s">
        <v>379</v>
      </c>
      <c r="B567" s="89" t="s">
        <v>2140</v>
      </c>
      <c r="C567" s="96" t="s">
        <v>1016</v>
      </c>
    </row>
    <row r="568" spans="1:3" ht="15">
      <c r="A568" s="90" t="s">
        <v>379</v>
      </c>
      <c r="B568" s="89" t="s">
        <v>2124</v>
      </c>
      <c r="C568" s="96" t="s">
        <v>1016</v>
      </c>
    </row>
    <row r="569" spans="1:3" ht="15">
      <c r="A569" s="90" t="s">
        <v>379</v>
      </c>
      <c r="B569" s="89" t="s">
        <v>2132</v>
      </c>
      <c r="C569" s="96" t="s">
        <v>1016</v>
      </c>
    </row>
    <row r="570" spans="1:3" ht="15">
      <c r="A570" s="90" t="s">
        <v>379</v>
      </c>
      <c r="B570" s="89" t="s">
        <v>2361</v>
      </c>
      <c r="C570" s="96" t="s">
        <v>1016</v>
      </c>
    </row>
    <row r="571" spans="1:3" ht="15">
      <c r="A571" s="90" t="s">
        <v>379</v>
      </c>
      <c r="B571" s="89" t="s">
        <v>2141</v>
      </c>
      <c r="C571" s="96" t="s">
        <v>1016</v>
      </c>
    </row>
    <row r="572" spans="1:3" ht="15">
      <c r="A572" s="90" t="s">
        <v>379</v>
      </c>
      <c r="B572" s="89" t="s">
        <v>2362</v>
      </c>
      <c r="C572" s="96" t="s">
        <v>1016</v>
      </c>
    </row>
    <row r="573" spans="1:3" ht="15">
      <c r="A573" s="90" t="s">
        <v>379</v>
      </c>
      <c r="B573" s="89" t="s">
        <v>2142</v>
      </c>
      <c r="C573" s="96" t="s">
        <v>1016</v>
      </c>
    </row>
    <row r="574" spans="1:3" ht="15">
      <c r="A574" s="90" t="s">
        <v>379</v>
      </c>
      <c r="B574" s="89" t="s">
        <v>2363</v>
      </c>
      <c r="C574" s="96" t="s">
        <v>1016</v>
      </c>
    </row>
    <row r="575" spans="1:3" ht="15">
      <c r="A575" s="90" t="s">
        <v>379</v>
      </c>
      <c r="B575" s="89" t="s">
        <v>2143</v>
      </c>
      <c r="C575" s="96" t="s">
        <v>1016</v>
      </c>
    </row>
    <row r="576" spans="1:3" ht="15">
      <c r="A576" s="90" t="s">
        <v>379</v>
      </c>
      <c r="B576" s="89" t="s">
        <v>2144</v>
      </c>
      <c r="C576" s="96" t="s">
        <v>1016</v>
      </c>
    </row>
    <row r="577" spans="1:3" ht="15">
      <c r="A577" s="90" t="s">
        <v>379</v>
      </c>
      <c r="B577" s="89" t="s">
        <v>2364</v>
      </c>
      <c r="C577" s="96" t="s">
        <v>1016</v>
      </c>
    </row>
    <row r="578" spans="1:3" ht="15">
      <c r="A578" s="90" t="s">
        <v>379</v>
      </c>
      <c r="B578" s="89" t="s">
        <v>2133</v>
      </c>
      <c r="C578" s="96" t="s">
        <v>1016</v>
      </c>
    </row>
    <row r="579" spans="1:3" ht="15">
      <c r="A579" s="90" t="s">
        <v>379</v>
      </c>
      <c r="B579" s="89" t="s">
        <v>2134</v>
      </c>
      <c r="C579" s="96" t="s">
        <v>1016</v>
      </c>
    </row>
    <row r="580" spans="1:3" ht="15">
      <c r="A580" s="90" t="s">
        <v>379</v>
      </c>
      <c r="B580" s="89" t="s">
        <v>2135</v>
      </c>
      <c r="C580" s="96" t="s">
        <v>1016</v>
      </c>
    </row>
    <row r="581" spans="1:3" ht="15">
      <c r="A581" s="90" t="s">
        <v>379</v>
      </c>
      <c r="B581" s="89" t="s">
        <v>2136</v>
      </c>
      <c r="C581" s="96" t="s">
        <v>1016</v>
      </c>
    </row>
    <row r="582" spans="1:3" ht="15">
      <c r="A582" s="90" t="s">
        <v>379</v>
      </c>
      <c r="B582" s="89" t="s">
        <v>2137</v>
      </c>
      <c r="C582" s="96" t="s">
        <v>1016</v>
      </c>
    </row>
    <row r="583" spans="1:3" ht="15">
      <c r="A583" s="90" t="s">
        <v>379</v>
      </c>
      <c r="B583" s="89" t="s">
        <v>2365</v>
      </c>
      <c r="C583" s="96" t="s">
        <v>1016</v>
      </c>
    </row>
    <row r="584" spans="1:3" ht="15">
      <c r="A584" s="90" t="s">
        <v>379</v>
      </c>
      <c r="B584" s="89" t="s">
        <v>2366</v>
      </c>
      <c r="C584" s="96" t="s">
        <v>1016</v>
      </c>
    </row>
    <row r="585" spans="1:3" ht="15">
      <c r="A585" s="90" t="s">
        <v>379</v>
      </c>
      <c r="B585" s="89">
        <v>16</v>
      </c>
      <c r="C585" s="96" t="s">
        <v>1016</v>
      </c>
    </row>
    <row r="586" spans="1:3" ht="15">
      <c r="A586" s="90" t="s">
        <v>379</v>
      </c>
      <c r="B586" s="89">
        <v>1</v>
      </c>
      <c r="C586" s="96" t="s">
        <v>1016</v>
      </c>
    </row>
    <row r="587" spans="1:3" ht="15">
      <c r="A587" s="90" t="s">
        <v>379</v>
      </c>
      <c r="B587" s="89">
        <v>22</v>
      </c>
      <c r="C587" s="96" t="s">
        <v>1016</v>
      </c>
    </row>
    <row r="588" spans="1:3" ht="15">
      <c r="A588" s="90" t="s">
        <v>379</v>
      </c>
      <c r="B588" s="89" t="s">
        <v>560</v>
      </c>
      <c r="C588" s="96" t="s">
        <v>1016</v>
      </c>
    </row>
    <row r="589" spans="1:3" ht="15">
      <c r="A589" s="90" t="s">
        <v>379</v>
      </c>
      <c r="B589" s="89" t="s">
        <v>2367</v>
      </c>
      <c r="C589" s="96" t="s">
        <v>1016</v>
      </c>
    </row>
    <row r="590" spans="1:3" ht="15">
      <c r="A590" s="90" t="s">
        <v>379</v>
      </c>
      <c r="B590" s="89" t="s">
        <v>2369</v>
      </c>
      <c r="C590" s="96" t="s">
        <v>1015</v>
      </c>
    </row>
    <row r="591" spans="1:3" ht="15">
      <c r="A591" s="90" t="s">
        <v>379</v>
      </c>
      <c r="B591" s="89" t="s">
        <v>2370</v>
      </c>
      <c r="C591" s="96" t="s">
        <v>1015</v>
      </c>
    </row>
    <row r="592" spans="1:3" ht="15">
      <c r="A592" s="90" t="s">
        <v>379</v>
      </c>
      <c r="B592" s="89" t="s">
        <v>2112</v>
      </c>
      <c r="C592" s="96" t="s">
        <v>1015</v>
      </c>
    </row>
    <row r="593" spans="1:3" ht="15">
      <c r="A593" s="90" t="s">
        <v>379</v>
      </c>
      <c r="B593" s="89" t="s">
        <v>2113</v>
      </c>
      <c r="C593" s="96" t="s">
        <v>1015</v>
      </c>
    </row>
    <row r="594" spans="1:3" ht="15">
      <c r="A594" s="90" t="s">
        <v>378</v>
      </c>
      <c r="B594" s="89" t="s">
        <v>2360</v>
      </c>
      <c r="C594" s="96" t="s">
        <v>1014</v>
      </c>
    </row>
    <row r="595" spans="1:3" ht="15">
      <c r="A595" s="90" t="s">
        <v>378</v>
      </c>
      <c r="B595" s="89" t="s">
        <v>2140</v>
      </c>
      <c r="C595" s="96" t="s">
        <v>1014</v>
      </c>
    </row>
    <row r="596" spans="1:3" ht="15">
      <c r="A596" s="90" t="s">
        <v>378</v>
      </c>
      <c r="B596" s="89" t="s">
        <v>2124</v>
      </c>
      <c r="C596" s="96" t="s">
        <v>1014</v>
      </c>
    </row>
    <row r="597" spans="1:3" ht="15">
      <c r="A597" s="90" t="s">
        <v>378</v>
      </c>
      <c r="B597" s="89" t="s">
        <v>2132</v>
      </c>
      <c r="C597" s="96" t="s">
        <v>1014</v>
      </c>
    </row>
    <row r="598" spans="1:3" ht="15">
      <c r="A598" s="90" t="s">
        <v>378</v>
      </c>
      <c r="B598" s="89" t="s">
        <v>2361</v>
      </c>
      <c r="C598" s="96" t="s">
        <v>1014</v>
      </c>
    </row>
    <row r="599" spans="1:3" ht="15">
      <c r="A599" s="90" t="s">
        <v>378</v>
      </c>
      <c r="B599" s="89" t="s">
        <v>2141</v>
      </c>
      <c r="C599" s="96" t="s">
        <v>1014</v>
      </c>
    </row>
    <row r="600" spans="1:3" ht="15">
      <c r="A600" s="90" t="s">
        <v>378</v>
      </c>
      <c r="B600" s="89" t="s">
        <v>2362</v>
      </c>
      <c r="C600" s="96" t="s">
        <v>1014</v>
      </c>
    </row>
    <row r="601" spans="1:3" ht="15">
      <c r="A601" s="90" t="s">
        <v>378</v>
      </c>
      <c r="B601" s="89" t="s">
        <v>2142</v>
      </c>
      <c r="C601" s="96" t="s">
        <v>1014</v>
      </c>
    </row>
    <row r="602" spans="1:3" ht="15">
      <c r="A602" s="90" t="s">
        <v>378</v>
      </c>
      <c r="B602" s="89" t="s">
        <v>2363</v>
      </c>
      <c r="C602" s="96" t="s">
        <v>1014</v>
      </c>
    </row>
    <row r="603" spans="1:3" ht="15">
      <c r="A603" s="90" t="s">
        <v>378</v>
      </c>
      <c r="B603" s="89" t="s">
        <v>2143</v>
      </c>
      <c r="C603" s="96" t="s">
        <v>1014</v>
      </c>
    </row>
    <row r="604" spans="1:3" ht="15">
      <c r="A604" s="90" t="s">
        <v>378</v>
      </c>
      <c r="B604" s="89" t="s">
        <v>2144</v>
      </c>
      <c r="C604" s="96" t="s">
        <v>1014</v>
      </c>
    </row>
    <row r="605" spans="1:3" ht="15">
      <c r="A605" s="90" t="s">
        <v>378</v>
      </c>
      <c r="B605" s="89" t="s">
        <v>2364</v>
      </c>
      <c r="C605" s="96" t="s">
        <v>1014</v>
      </c>
    </row>
    <row r="606" spans="1:3" ht="15">
      <c r="A606" s="90" t="s">
        <v>378</v>
      </c>
      <c r="B606" s="89" t="s">
        <v>2133</v>
      </c>
      <c r="C606" s="96" t="s">
        <v>1014</v>
      </c>
    </row>
    <row r="607" spans="1:3" ht="15">
      <c r="A607" s="90" t="s">
        <v>378</v>
      </c>
      <c r="B607" s="89" t="s">
        <v>2134</v>
      </c>
      <c r="C607" s="96" t="s">
        <v>1014</v>
      </c>
    </row>
    <row r="608" spans="1:3" ht="15">
      <c r="A608" s="90" t="s">
        <v>378</v>
      </c>
      <c r="B608" s="89" t="s">
        <v>2135</v>
      </c>
      <c r="C608" s="96" t="s">
        <v>1014</v>
      </c>
    </row>
    <row r="609" spans="1:3" ht="15">
      <c r="A609" s="90" t="s">
        <v>378</v>
      </c>
      <c r="B609" s="89" t="s">
        <v>2136</v>
      </c>
      <c r="C609" s="96" t="s">
        <v>1014</v>
      </c>
    </row>
    <row r="610" spans="1:3" ht="15">
      <c r="A610" s="90" t="s">
        <v>378</v>
      </c>
      <c r="B610" s="89" t="s">
        <v>2137</v>
      </c>
      <c r="C610" s="96" t="s">
        <v>1014</v>
      </c>
    </row>
    <row r="611" spans="1:3" ht="15">
      <c r="A611" s="90" t="s">
        <v>378</v>
      </c>
      <c r="B611" s="89" t="s">
        <v>2365</v>
      </c>
      <c r="C611" s="96" t="s">
        <v>1014</v>
      </c>
    </row>
    <row r="612" spans="1:3" ht="15">
      <c r="A612" s="90" t="s">
        <v>378</v>
      </c>
      <c r="B612" s="89" t="s">
        <v>2366</v>
      </c>
      <c r="C612" s="96" t="s">
        <v>1014</v>
      </c>
    </row>
    <row r="613" spans="1:3" ht="15">
      <c r="A613" s="90" t="s">
        <v>378</v>
      </c>
      <c r="B613" s="89">
        <v>16</v>
      </c>
      <c r="C613" s="96" t="s">
        <v>1014</v>
      </c>
    </row>
    <row r="614" spans="1:3" ht="15">
      <c r="A614" s="90" t="s">
        <v>378</v>
      </c>
      <c r="B614" s="89">
        <v>1</v>
      </c>
      <c r="C614" s="96" t="s">
        <v>1014</v>
      </c>
    </row>
    <row r="615" spans="1:3" ht="15">
      <c r="A615" s="90" t="s">
        <v>378</v>
      </c>
      <c r="B615" s="89">
        <v>22</v>
      </c>
      <c r="C615" s="96" t="s">
        <v>1014</v>
      </c>
    </row>
    <row r="616" spans="1:3" ht="15">
      <c r="A616" s="90" t="s">
        <v>378</v>
      </c>
      <c r="B616" s="89" t="s">
        <v>560</v>
      </c>
      <c r="C616" s="96" t="s">
        <v>1014</v>
      </c>
    </row>
    <row r="617" spans="1:3" ht="15">
      <c r="A617" s="90" t="s">
        <v>378</v>
      </c>
      <c r="B617" s="89" t="s">
        <v>2367</v>
      </c>
      <c r="C617" s="96" t="s">
        <v>1014</v>
      </c>
    </row>
    <row r="618" spans="1:3" ht="15">
      <c r="A618" s="90" t="s">
        <v>377</v>
      </c>
      <c r="B618" s="89" t="s">
        <v>416</v>
      </c>
      <c r="C618" s="96" t="s">
        <v>1013</v>
      </c>
    </row>
    <row r="619" spans="1:3" ht="15">
      <c r="A619" s="90" t="s">
        <v>377</v>
      </c>
      <c r="B619" s="89" t="s">
        <v>2427</v>
      </c>
      <c r="C619" s="96" t="s">
        <v>1013</v>
      </c>
    </row>
    <row r="620" spans="1:3" ht="15">
      <c r="A620" s="90" t="s">
        <v>377</v>
      </c>
      <c r="B620" s="89" t="s">
        <v>2428</v>
      </c>
      <c r="C620" s="96" t="s">
        <v>1013</v>
      </c>
    </row>
    <row r="621" spans="1:3" ht="15">
      <c r="A621" s="90" t="s">
        <v>377</v>
      </c>
      <c r="B621" s="89" t="s">
        <v>2429</v>
      </c>
      <c r="C621" s="96" t="s">
        <v>1013</v>
      </c>
    </row>
    <row r="622" spans="1:3" ht="15">
      <c r="A622" s="90" t="s">
        <v>377</v>
      </c>
      <c r="B622" s="89" t="s">
        <v>2364</v>
      </c>
      <c r="C622" s="96" t="s">
        <v>1013</v>
      </c>
    </row>
    <row r="623" spans="1:3" ht="15">
      <c r="A623" s="90" t="s">
        <v>377</v>
      </c>
      <c r="B623" s="89" t="s">
        <v>2430</v>
      </c>
      <c r="C623" s="96" t="s">
        <v>1013</v>
      </c>
    </row>
    <row r="624" spans="1:3" ht="15">
      <c r="A624" s="90" t="s">
        <v>377</v>
      </c>
      <c r="B624" s="89" t="s">
        <v>2431</v>
      </c>
      <c r="C624" s="96" t="s">
        <v>1013</v>
      </c>
    </row>
    <row r="625" spans="1:3" ht="15">
      <c r="A625" s="90" t="s">
        <v>377</v>
      </c>
      <c r="B625" s="89" t="s">
        <v>2432</v>
      </c>
      <c r="C625" s="96" t="s">
        <v>1013</v>
      </c>
    </row>
    <row r="626" spans="1:3" ht="15">
      <c r="A626" s="90" t="s">
        <v>377</v>
      </c>
      <c r="B626" s="89" t="s">
        <v>2433</v>
      </c>
      <c r="C626" s="96" t="s">
        <v>1013</v>
      </c>
    </row>
    <row r="627" spans="1:3" ht="15">
      <c r="A627" s="90" t="s">
        <v>377</v>
      </c>
      <c r="B627" s="89" t="s">
        <v>2193</v>
      </c>
      <c r="C627" s="96" t="s">
        <v>1013</v>
      </c>
    </row>
    <row r="628" spans="1:3" ht="15">
      <c r="A628" s="90" t="s">
        <v>377</v>
      </c>
      <c r="B628" s="89" t="s">
        <v>2434</v>
      </c>
      <c r="C628" s="96" t="s">
        <v>1013</v>
      </c>
    </row>
    <row r="629" spans="1:3" ht="15">
      <c r="A629" s="90" t="s">
        <v>377</v>
      </c>
      <c r="B629" s="89" t="s">
        <v>2435</v>
      </c>
      <c r="C629" s="96" t="s">
        <v>1013</v>
      </c>
    </row>
    <row r="630" spans="1:3" ht="15">
      <c r="A630" s="90" t="s">
        <v>377</v>
      </c>
      <c r="B630" s="89" t="s">
        <v>2436</v>
      </c>
      <c r="C630" s="96" t="s">
        <v>1013</v>
      </c>
    </row>
    <row r="631" spans="1:3" ht="15">
      <c r="A631" s="90" t="s">
        <v>377</v>
      </c>
      <c r="B631" s="89" t="s">
        <v>2437</v>
      </c>
      <c r="C631" s="96" t="s">
        <v>1013</v>
      </c>
    </row>
    <row r="632" spans="1:3" ht="15">
      <c r="A632" s="90" t="s">
        <v>377</v>
      </c>
      <c r="B632" s="89" t="s">
        <v>2438</v>
      </c>
      <c r="C632" s="96" t="s">
        <v>1013</v>
      </c>
    </row>
    <row r="633" spans="1:3" ht="15">
      <c r="A633" s="90" t="s">
        <v>377</v>
      </c>
      <c r="B633" s="89" t="s">
        <v>2439</v>
      </c>
      <c r="C633" s="96" t="s">
        <v>1013</v>
      </c>
    </row>
    <row r="634" spans="1:3" ht="15">
      <c r="A634" s="90" t="s">
        <v>377</v>
      </c>
      <c r="B634" s="89" t="s">
        <v>2259</v>
      </c>
      <c r="C634" s="96" t="s">
        <v>1013</v>
      </c>
    </row>
    <row r="635" spans="1:3" ht="15">
      <c r="A635" s="90" t="s">
        <v>377</v>
      </c>
      <c r="B635" s="89" t="s">
        <v>2440</v>
      </c>
      <c r="C635" s="96" t="s">
        <v>1013</v>
      </c>
    </row>
    <row r="636" spans="1:3" ht="15">
      <c r="A636" s="90" t="s">
        <v>377</v>
      </c>
      <c r="B636" s="89" t="s">
        <v>2441</v>
      </c>
      <c r="C636" s="96" t="s">
        <v>1013</v>
      </c>
    </row>
    <row r="637" spans="1:3" ht="15">
      <c r="A637" s="90" t="s">
        <v>377</v>
      </c>
      <c r="B637" s="89" t="s">
        <v>2442</v>
      </c>
      <c r="C637" s="96" t="s">
        <v>1013</v>
      </c>
    </row>
    <row r="638" spans="1:3" ht="15">
      <c r="A638" s="90" t="s">
        <v>377</v>
      </c>
      <c r="B638" s="89" t="s">
        <v>2443</v>
      </c>
      <c r="C638" s="96" t="s">
        <v>1013</v>
      </c>
    </row>
    <row r="639" spans="1:3" ht="15">
      <c r="A639" s="90" t="s">
        <v>377</v>
      </c>
      <c r="B639" s="89" t="s">
        <v>2444</v>
      </c>
      <c r="C639" s="96" t="s">
        <v>1013</v>
      </c>
    </row>
    <row r="640" spans="1:3" ht="15">
      <c r="A640" s="90" t="s">
        <v>377</v>
      </c>
      <c r="B640" s="89" t="s">
        <v>2376</v>
      </c>
      <c r="C640" s="96" t="s">
        <v>1013</v>
      </c>
    </row>
    <row r="641" spans="1:3" ht="15">
      <c r="A641" s="90" t="s">
        <v>377</v>
      </c>
      <c r="B641" s="89" t="s">
        <v>2445</v>
      </c>
      <c r="C641" s="96" t="s">
        <v>1013</v>
      </c>
    </row>
    <row r="642" spans="1:3" ht="15">
      <c r="A642" s="90" t="s">
        <v>376</v>
      </c>
      <c r="B642" s="89" t="s">
        <v>2360</v>
      </c>
      <c r="C642" s="96" t="s">
        <v>1012</v>
      </c>
    </row>
    <row r="643" spans="1:3" ht="15">
      <c r="A643" s="90" t="s">
        <v>376</v>
      </c>
      <c r="B643" s="89" t="s">
        <v>2140</v>
      </c>
      <c r="C643" s="96" t="s">
        <v>1012</v>
      </c>
    </row>
    <row r="644" spans="1:3" ht="15">
      <c r="A644" s="90" t="s">
        <v>376</v>
      </c>
      <c r="B644" s="89" t="s">
        <v>2124</v>
      </c>
      <c r="C644" s="96" t="s">
        <v>1012</v>
      </c>
    </row>
    <row r="645" spans="1:3" ht="15">
      <c r="A645" s="90" t="s">
        <v>376</v>
      </c>
      <c r="B645" s="89" t="s">
        <v>2132</v>
      </c>
      <c r="C645" s="96" t="s">
        <v>1012</v>
      </c>
    </row>
    <row r="646" spans="1:3" ht="15">
      <c r="A646" s="90" t="s">
        <v>376</v>
      </c>
      <c r="B646" s="89" t="s">
        <v>2361</v>
      </c>
      <c r="C646" s="96" t="s">
        <v>1012</v>
      </c>
    </row>
    <row r="647" spans="1:3" ht="15">
      <c r="A647" s="90" t="s">
        <v>376</v>
      </c>
      <c r="B647" s="89" t="s">
        <v>2141</v>
      </c>
      <c r="C647" s="96" t="s">
        <v>1012</v>
      </c>
    </row>
    <row r="648" spans="1:3" ht="15">
      <c r="A648" s="90" t="s">
        <v>376</v>
      </c>
      <c r="B648" s="89" t="s">
        <v>2362</v>
      </c>
      <c r="C648" s="96" t="s">
        <v>1012</v>
      </c>
    </row>
    <row r="649" spans="1:3" ht="15">
      <c r="A649" s="90" t="s">
        <v>376</v>
      </c>
      <c r="B649" s="89" t="s">
        <v>2142</v>
      </c>
      <c r="C649" s="96" t="s">
        <v>1012</v>
      </c>
    </row>
    <row r="650" spans="1:3" ht="15">
      <c r="A650" s="90" t="s">
        <v>376</v>
      </c>
      <c r="B650" s="89" t="s">
        <v>2363</v>
      </c>
      <c r="C650" s="96" t="s">
        <v>1012</v>
      </c>
    </row>
    <row r="651" spans="1:3" ht="15">
      <c r="A651" s="90" t="s">
        <v>376</v>
      </c>
      <c r="B651" s="89" t="s">
        <v>2143</v>
      </c>
      <c r="C651" s="96" t="s">
        <v>1012</v>
      </c>
    </row>
    <row r="652" spans="1:3" ht="15">
      <c r="A652" s="90" t="s">
        <v>376</v>
      </c>
      <c r="B652" s="89" t="s">
        <v>2144</v>
      </c>
      <c r="C652" s="96" t="s">
        <v>1012</v>
      </c>
    </row>
    <row r="653" spans="1:3" ht="15">
      <c r="A653" s="90" t="s">
        <v>376</v>
      </c>
      <c r="B653" s="89" t="s">
        <v>2364</v>
      </c>
      <c r="C653" s="96" t="s">
        <v>1012</v>
      </c>
    </row>
    <row r="654" spans="1:3" ht="15">
      <c r="A654" s="90" t="s">
        <v>376</v>
      </c>
      <c r="B654" s="89" t="s">
        <v>2133</v>
      </c>
      <c r="C654" s="96" t="s">
        <v>1012</v>
      </c>
    </row>
    <row r="655" spans="1:3" ht="15">
      <c r="A655" s="90" t="s">
        <v>376</v>
      </c>
      <c r="B655" s="89" t="s">
        <v>2134</v>
      </c>
      <c r="C655" s="96" t="s">
        <v>1012</v>
      </c>
    </row>
    <row r="656" spans="1:3" ht="15">
      <c r="A656" s="90" t="s">
        <v>376</v>
      </c>
      <c r="B656" s="89" t="s">
        <v>2135</v>
      </c>
      <c r="C656" s="96" t="s">
        <v>1012</v>
      </c>
    </row>
    <row r="657" spans="1:3" ht="15">
      <c r="A657" s="90" t="s">
        <v>376</v>
      </c>
      <c r="B657" s="89" t="s">
        <v>2136</v>
      </c>
      <c r="C657" s="96" t="s">
        <v>1012</v>
      </c>
    </row>
    <row r="658" spans="1:3" ht="15">
      <c r="A658" s="90" t="s">
        <v>376</v>
      </c>
      <c r="B658" s="89" t="s">
        <v>2137</v>
      </c>
      <c r="C658" s="96" t="s">
        <v>1012</v>
      </c>
    </row>
    <row r="659" spans="1:3" ht="15">
      <c r="A659" s="90" t="s">
        <v>376</v>
      </c>
      <c r="B659" s="89" t="s">
        <v>2365</v>
      </c>
      <c r="C659" s="96" t="s">
        <v>1012</v>
      </c>
    </row>
    <row r="660" spans="1:3" ht="15">
      <c r="A660" s="90" t="s">
        <v>376</v>
      </c>
      <c r="B660" s="89" t="s">
        <v>2366</v>
      </c>
      <c r="C660" s="96" t="s">
        <v>1012</v>
      </c>
    </row>
    <row r="661" spans="1:3" ht="15">
      <c r="A661" s="90" t="s">
        <v>376</v>
      </c>
      <c r="B661" s="89">
        <v>16</v>
      </c>
      <c r="C661" s="96" t="s">
        <v>1012</v>
      </c>
    </row>
    <row r="662" spans="1:3" ht="15">
      <c r="A662" s="90" t="s">
        <v>376</v>
      </c>
      <c r="B662" s="89">
        <v>1</v>
      </c>
      <c r="C662" s="96" t="s">
        <v>1012</v>
      </c>
    </row>
    <row r="663" spans="1:3" ht="15">
      <c r="A663" s="90" t="s">
        <v>376</v>
      </c>
      <c r="B663" s="89">
        <v>22</v>
      </c>
      <c r="C663" s="96" t="s">
        <v>1012</v>
      </c>
    </row>
    <row r="664" spans="1:3" ht="15">
      <c r="A664" s="90" t="s">
        <v>376</v>
      </c>
      <c r="B664" s="89" t="s">
        <v>560</v>
      </c>
      <c r="C664" s="96" t="s">
        <v>1012</v>
      </c>
    </row>
    <row r="665" spans="1:3" ht="15">
      <c r="A665" s="90" t="s">
        <v>376</v>
      </c>
      <c r="B665" s="89" t="s">
        <v>2367</v>
      </c>
      <c r="C665" s="96" t="s">
        <v>1012</v>
      </c>
    </row>
    <row r="666" spans="1:3" ht="15">
      <c r="A666" s="90" t="s">
        <v>375</v>
      </c>
      <c r="B666" s="89" t="s">
        <v>2446</v>
      </c>
      <c r="C666" s="96" t="s">
        <v>1011</v>
      </c>
    </row>
    <row r="667" spans="1:3" ht="15">
      <c r="A667" s="90" t="s">
        <v>375</v>
      </c>
      <c r="B667" s="89" t="s">
        <v>2447</v>
      </c>
      <c r="C667" s="96" t="s">
        <v>1011</v>
      </c>
    </row>
    <row r="668" spans="1:3" ht="15">
      <c r="A668" s="90" t="s">
        <v>375</v>
      </c>
      <c r="B668" s="89" t="s">
        <v>2448</v>
      </c>
      <c r="C668" s="96" t="s">
        <v>1011</v>
      </c>
    </row>
    <row r="669" spans="1:3" ht="15">
      <c r="A669" s="90" t="s">
        <v>375</v>
      </c>
      <c r="B669" s="89" t="s">
        <v>2449</v>
      </c>
      <c r="C669" s="96" t="s">
        <v>1011</v>
      </c>
    </row>
    <row r="670" spans="1:3" ht="15">
      <c r="A670" s="90" t="s">
        <v>375</v>
      </c>
      <c r="B670" s="89" t="s">
        <v>2450</v>
      </c>
      <c r="C670" s="96" t="s">
        <v>1011</v>
      </c>
    </row>
    <row r="671" spans="1:3" ht="15">
      <c r="A671" s="90" t="s">
        <v>375</v>
      </c>
      <c r="B671" s="89" t="s">
        <v>2451</v>
      </c>
      <c r="C671" s="96" t="s">
        <v>1011</v>
      </c>
    </row>
    <row r="672" spans="1:3" ht="15">
      <c r="A672" s="90" t="s">
        <v>375</v>
      </c>
      <c r="B672" s="89" t="s">
        <v>2452</v>
      </c>
      <c r="C672" s="96" t="s">
        <v>1011</v>
      </c>
    </row>
    <row r="673" spans="1:3" ht="15">
      <c r="A673" s="90" t="s">
        <v>375</v>
      </c>
      <c r="B673" s="89" t="s">
        <v>416</v>
      </c>
      <c r="C673" s="96" t="s">
        <v>1011</v>
      </c>
    </row>
    <row r="674" spans="1:3" ht="15">
      <c r="A674" s="90" t="s">
        <v>375</v>
      </c>
      <c r="B674" s="89" t="s">
        <v>2453</v>
      </c>
      <c r="C674" s="96" t="s">
        <v>1011</v>
      </c>
    </row>
    <row r="675" spans="1:3" ht="15">
      <c r="A675" s="90" t="s">
        <v>374</v>
      </c>
      <c r="B675" s="89" t="s">
        <v>2405</v>
      </c>
      <c r="C675" s="96" t="s">
        <v>1010</v>
      </c>
    </row>
    <row r="676" spans="1:3" ht="15">
      <c r="A676" s="90" t="s">
        <v>374</v>
      </c>
      <c r="B676" s="89" t="s">
        <v>2369</v>
      </c>
      <c r="C676" s="96" t="s">
        <v>1010</v>
      </c>
    </row>
    <row r="677" spans="1:3" ht="15">
      <c r="A677" s="90" t="s">
        <v>374</v>
      </c>
      <c r="B677" s="89" t="s">
        <v>2370</v>
      </c>
      <c r="C677" s="96" t="s">
        <v>1010</v>
      </c>
    </row>
    <row r="678" spans="1:3" ht="15">
      <c r="A678" s="90" t="s">
        <v>374</v>
      </c>
      <c r="B678" s="89" t="s">
        <v>2376</v>
      </c>
      <c r="C678" s="96" t="s">
        <v>1010</v>
      </c>
    </row>
    <row r="679" spans="1:3" ht="15">
      <c r="A679" s="90" t="s">
        <v>374</v>
      </c>
      <c r="B679" s="89" t="s">
        <v>2454</v>
      </c>
      <c r="C679" s="96" t="s">
        <v>1010</v>
      </c>
    </row>
    <row r="680" spans="1:3" ht="15">
      <c r="A680" s="90" t="s">
        <v>374</v>
      </c>
      <c r="B680" s="89" t="s">
        <v>2455</v>
      </c>
      <c r="C680" s="96" t="s">
        <v>1010</v>
      </c>
    </row>
    <row r="681" spans="1:3" ht="15">
      <c r="A681" s="90" t="s">
        <v>374</v>
      </c>
      <c r="B681" s="89" t="s">
        <v>2456</v>
      </c>
      <c r="C681" s="96" t="s">
        <v>1010</v>
      </c>
    </row>
    <row r="682" spans="1:3" ht="15">
      <c r="A682" s="90" t="s">
        <v>374</v>
      </c>
      <c r="B682" s="89" t="s">
        <v>2457</v>
      </c>
      <c r="C682" s="96" t="s">
        <v>1010</v>
      </c>
    </row>
    <row r="683" spans="1:3" ht="15">
      <c r="A683" s="90" t="s">
        <v>374</v>
      </c>
      <c r="B683" s="89" t="s">
        <v>2458</v>
      </c>
      <c r="C683" s="96" t="s">
        <v>1010</v>
      </c>
    </row>
    <row r="684" spans="1:3" ht="15">
      <c r="A684" s="90" t="s">
        <v>374</v>
      </c>
      <c r="B684" s="89" t="s">
        <v>2361</v>
      </c>
      <c r="C684" s="96" t="s">
        <v>1010</v>
      </c>
    </row>
    <row r="685" spans="1:3" ht="15">
      <c r="A685" s="90" t="s">
        <v>374</v>
      </c>
      <c r="B685" s="89" t="s">
        <v>2180</v>
      </c>
      <c r="C685" s="96" t="s">
        <v>1010</v>
      </c>
    </row>
    <row r="686" spans="1:3" ht="15">
      <c r="A686" s="90" t="s">
        <v>374</v>
      </c>
      <c r="B686" s="89" t="s">
        <v>2392</v>
      </c>
      <c r="C686" s="96" t="s">
        <v>1010</v>
      </c>
    </row>
    <row r="687" spans="1:3" ht="15">
      <c r="A687" s="90" t="s">
        <v>374</v>
      </c>
      <c r="B687" s="89" t="s">
        <v>2459</v>
      </c>
      <c r="C687" s="96" t="s">
        <v>1010</v>
      </c>
    </row>
    <row r="688" spans="1:3" ht="15">
      <c r="A688" s="90" t="s">
        <v>374</v>
      </c>
      <c r="B688" s="89" t="s">
        <v>2460</v>
      </c>
      <c r="C688" s="96" t="s">
        <v>1010</v>
      </c>
    </row>
    <row r="689" spans="1:3" ht="15">
      <c r="A689" s="90" t="s">
        <v>374</v>
      </c>
      <c r="B689" s="89" t="s">
        <v>2461</v>
      </c>
      <c r="C689" s="96" t="s">
        <v>1010</v>
      </c>
    </row>
    <row r="690" spans="1:3" ht="15">
      <c r="A690" s="90" t="s">
        <v>374</v>
      </c>
      <c r="B690" s="89" t="s">
        <v>2462</v>
      </c>
      <c r="C690" s="96" t="s">
        <v>1010</v>
      </c>
    </row>
    <row r="691" spans="1:3" ht="15">
      <c r="A691" s="90" t="s">
        <v>374</v>
      </c>
      <c r="B691" s="89" t="s">
        <v>2463</v>
      </c>
      <c r="C691" s="96" t="s">
        <v>1010</v>
      </c>
    </row>
    <row r="692" spans="1:3" ht="15">
      <c r="A692" s="90" t="s">
        <v>374</v>
      </c>
      <c r="B692" s="89" t="s">
        <v>2464</v>
      </c>
      <c r="C692" s="96" t="s">
        <v>1010</v>
      </c>
    </row>
    <row r="693" spans="1:3" ht="15">
      <c r="A693" s="90" t="s">
        <v>374</v>
      </c>
      <c r="B693" s="89" t="s">
        <v>2465</v>
      </c>
      <c r="C693" s="96" t="s">
        <v>1010</v>
      </c>
    </row>
    <row r="694" spans="1:3" ht="15">
      <c r="A694" s="90" t="s">
        <v>374</v>
      </c>
      <c r="B694" s="89" t="s">
        <v>2466</v>
      </c>
      <c r="C694" s="96" t="s">
        <v>1010</v>
      </c>
    </row>
    <row r="695" spans="1:3" ht="15">
      <c r="A695" s="90" t="s">
        <v>374</v>
      </c>
      <c r="B695" s="89" t="s">
        <v>2467</v>
      </c>
      <c r="C695" s="96" t="s">
        <v>1010</v>
      </c>
    </row>
    <row r="696" spans="1:3" ht="15">
      <c r="A696" s="90" t="s">
        <v>374</v>
      </c>
      <c r="B696" s="89" t="s">
        <v>2468</v>
      </c>
      <c r="C696" s="96" t="s">
        <v>1010</v>
      </c>
    </row>
    <row r="697" spans="1:3" ht="15">
      <c r="A697" s="90" t="s">
        <v>374</v>
      </c>
      <c r="B697" s="89" t="s">
        <v>2469</v>
      </c>
      <c r="C697" s="96" t="s">
        <v>1010</v>
      </c>
    </row>
    <row r="698" spans="1:3" ht="15">
      <c r="A698" s="90" t="s">
        <v>374</v>
      </c>
      <c r="B698" s="89" t="s">
        <v>2470</v>
      </c>
      <c r="C698" s="96" t="s">
        <v>1010</v>
      </c>
    </row>
    <row r="699" spans="1:3" ht="15">
      <c r="A699" s="90" t="s">
        <v>374</v>
      </c>
      <c r="B699" s="89" t="s">
        <v>2471</v>
      </c>
      <c r="C699" s="96" t="s">
        <v>1010</v>
      </c>
    </row>
    <row r="700" spans="1:3" ht="15">
      <c r="A700" s="90" t="s">
        <v>374</v>
      </c>
      <c r="B700" s="89" t="s">
        <v>2382</v>
      </c>
      <c r="C700" s="96" t="s">
        <v>1010</v>
      </c>
    </row>
    <row r="701" spans="1:3" ht="15">
      <c r="A701" s="90" t="s">
        <v>374</v>
      </c>
      <c r="B701" s="89" t="s">
        <v>2472</v>
      </c>
      <c r="C701" s="96" t="s">
        <v>1010</v>
      </c>
    </row>
    <row r="702" spans="1:3" ht="15">
      <c r="A702" s="90" t="s">
        <v>374</v>
      </c>
      <c r="B702" s="89" t="s">
        <v>2473</v>
      </c>
      <c r="C702" s="96" t="s">
        <v>1010</v>
      </c>
    </row>
    <row r="703" spans="1:3" ht="15">
      <c r="A703" s="90" t="s">
        <v>374</v>
      </c>
      <c r="B703" s="89" t="s">
        <v>2474</v>
      </c>
      <c r="C703" s="96" t="s">
        <v>1010</v>
      </c>
    </row>
    <row r="704" spans="1:3" ht="15">
      <c r="A704" s="90" t="s">
        <v>373</v>
      </c>
      <c r="B704" s="89" t="s">
        <v>2360</v>
      </c>
      <c r="C704" s="96" t="s">
        <v>1009</v>
      </c>
    </row>
    <row r="705" spans="1:3" ht="15">
      <c r="A705" s="90" t="s">
        <v>373</v>
      </c>
      <c r="B705" s="89" t="s">
        <v>2140</v>
      </c>
      <c r="C705" s="96" t="s">
        <v>1009</v>
      </c>
    </row>
    <row r="706" spans="1:3" ht="15">
      <c r="A706" s="90" t="s">
        <v>373</v>
      </c>
      <c r="B706" s="89" t="s">
        <v>2124</v>
      </c>
      <c r="C706" s="96" t="s">
        <v>1009</v>
      </c>
    </row>
    <row r="707" spans="1:3" ht="15">
      <c r="A707" s="90" t="s">
        <v>373</v>
      </c>
      <c r="B707" s="89" t="s">
        <v>2132</v>
      </c>
      <c r="C707" s="96" t="s">
        <v>1009</v>
      </c>
    </row>
    <row r="708" spans="1:3" ht="15">
      <c r="A708" s="90" t="s">
        <v>373</v>
      </c>
      <c r="B708" s="89" t="s">
        <v>2361</v>
      </c>
      <c r="C708" s="96" t="s">
        <v>1009</v>
      </c>
    </row>
    <row r="709" spans="1:3" ht="15">
      <c r="A709" s="90" t="s">
        <v>373</v>
      </c>
      <c r="B709" s="89" t="s">
        <v>2141</v>
      </c>
      <c r="C709" s="96" t="s">
        <v>1009</v>
      </c>
    </row>
    <row r="710" spans="1:3" ht="15">
      <c r="A710" s="90" t="s">
        <v>373</v>
      </c>
      <c r="B710" s="89" t="s">
        <v>2362</v>
      </c>
      <c r="C710" s="96" t="s">
        <v>1009</v>
      </c>
    </row>
    <row r="711" spans="1:3" ht="15">
      <c r="A711" s="90" t="s">
        <v>373</v>
      </c>
      <c r="B711" s="89" t="s">
        <v>2142</v>
      </c>
      <c r="C711" s="96" t="s">
        <v>1009</v>
      </c>
    </row>
    <row r="712" spans="1:3" ht="15">
      <c r="A712" s="90" t="s">
        <v>373</v>
      </c>
      <c r="B712" s="89" t="s">
        <v>2363</v>
      </c>
      <c r="C712" s="96" t="s">
        <v>1009</v>
      </c>
    </row>
    <row r="713" spans="1:3" ht="15">
      <c r="A713" s="90" t="s">
        <v>373</v>
      </c>
      <c r="B713" s="89" t="s">
        <v>2143</v>
      </c>
      <c r="C713" s="96" t="s">
        <v>1009</v>
      </c>
    </row>
    <row r="714" spans="1:3" ht="15">
      <c r="A714" s="90" t="s">
        <v>373</v>
      </c>
      <c r="B714" s="89" t="s">
        <v>2144</v>
      </c>
      <c r="C714" s="96" t="s">
        <v>1009</v>
      </c>
    </row>
    <row r="715" spans="1:3" ht="15">
      <c r="A715" s="90" t="s">
        <v>373</v>
      </c>
      <c r="B715" s="89" t="s">
        <v>2364</v>
      </c>
      <c r="C715" s="96" t="s">
        <v>1009</v>
      </c>
    </row>
    <row r="716" spans="1:3" ht="15">
      <c r="A716" s="90" t="s">
        <v>373</v>
      </c>
      <c r="B716" s="89" t="s">
        <v>2133</v>
      </c>
      <c r="C716" s="96" t="s">
        <v>1009</v>
      </c>
    </row>
    <row r="717" spans="1:3" ht="15">
      <c r="A717" s="90" t="s">
        <v>373</v>
      </c>
      <c r="B717" s="89" t="s">
        <v>2134</v>
      </c>
      <c r="C717" s="96" t="s">
        <v>1009</v>
      </c>
    </row>
    <row r="718" spans="1:3" ht="15">
      <c r="A718" s="90" t="s">
        <v>373</v>
      </c>
      <c r="B718" s="89" t="s">
        <v>2135</v>
      </c>
      <c r="C718" s="96" t="s">
        <v>1009</v>
      </c>
    </row>
    <row r="719" spans="1:3" ht="15">
      <c r="A719" s="90" t="s">
        <v>373</v>
      </c>
      <c r="B719" s="89" t="s">
        <v>2136</v>
      </c>
      <c r="C719" s="96" t="s">
        <v>1009</v>
      </c>
    </row>
    <row r="720" spans="1:3" ht="15">
      <c r="A720" s="90" t="s">
        <v>373</v>
      </c>
      <c r="B720" s="89" t="s">
        <v>2137</v>
      </c>
      <c r="C720" s="96" t="s">
        <v>1009</v>
      </c>
    </row>
    <row r="721" spans="1:3" ht="15">
      <c r="A721" s="90" t="s">
        <v>373</v>
      </c>
      <c r="B721" s="89" t="s">
        <v>2365</v>
      </c>
      <c r="C721" s="96" t="s">
        <v>1009</v>
      </c>
    </row>
    <row r="722" spans="1:3" ht="15">
      <c r="A722" s="90" t="s">
        <v>373</v>
      </c>
      <c r="B722" s="89" t="s">
        <v>2366</v>
      </c>
      <c r="C722" s="96" t="s">
        <v>1009</v>
      </c>
    </row>
    <row r="723" spans="1:3" ht="15">
      <c r="A723" s="90" t="s">
        <v>373</v>
      </c>
      <c r="B723" s="89">
        <v>16</v>
      </c>
      <c r="C723" s="96" t="s">
        <v>1009</v>
      </c>
    </row>
    <row r="724" spans="1:3" ht="15">
      <c r="A724" s="90" t="s">
        <v>373</v>
      </c>
      <c r="B724" s="89">
        <v>1</v>
      </c>
      <c r="C724" s="96" t="s">
        <v>1009</v>
      </c>
    </row>
    <row r="725" spans="1:3" ht="15">
      <c r="A725" s="90" t="s">
        <v>373</v>
      </c>
      <c r="B725" s="89">
        <v>22</v>
      </c>
      <c r="C725" s="96" t="s">
        <v>1009</v>
      </c>
    </row>
    <row r="726" spans="1:3" ht="15">
      <c r="A726" s="90" t="s">
        <v>373</v>
      </c>
      <c r="B726" s="89" t="s">
        <v>560</v>
      </c>
      <c r="C726" s="96" t="s">
        <v>1009</v>
      </c>
    </row>
    <row r="727" spans="1:3" ht="15">
      <c r="A727" s="90" t="s">
        <v>373</v>
      </c>
      <c r="B727" s="89" t="s">
        <v>2367</v>
      </c>
      <c r="C727" s="96" t="s">
        <v>1009</v>
      </c>
    </row>
    <row r="728" spans="1:3" ht="15">
      <c r="A728" s="90" t="s">
        <v>372</v>
      </c>
      <c r="B728" s="89" t="s">
        <v>2360</v>
      </c>
      <c r="C728" s="96" t="s">
        <v>1008</v>
      </c>
    </row>
    <row r="729" spans="1:3" ht="15">
      <c r="A729" s="90" t="s">
        <v>372</v>
      </c>
      <c r="B729" s="89" t="s">
        <v>2140</v>
      </c>
      <c r="C729" s="96" t="s">
        <v>1008</v>
      </c>
    </row>
    <row r="730" spans="1:3" ht="15">
      <c r="A730" s="90" t="s">
        <v>372</v>
      </c>
      <c r="B730" s="89" t="s">
        <v>2124</v>
      </c>
      <c r="C730" s="96" t="s">
        <v>1008</v>
      </c>
    </row>
    <row r="731" spans="1:3" ht="15">
      <c r="A731" s="90" t="s">
        <v>372</v>
      </c>
      <c r="B731" s="89" t="s">
        <v>2132</v>
      </c>
      <c r="C731" s="96" t="s">
        <v>1008</v>
      </c>
    </row>
    <row r="732" spans="1:3" ht="15">
      <c r="A732" s="90" t="s">
        <v>372</v>
      </c>
      <c r="B732" s="89" t="s">
        <v>2361</v>
      </c>
      <c r="C732" s="96" t="s">
        <v>1008</v>
      </c>
    </row>
    <row r="733" spans="1:3" ht="15">
      <c r="A733" s="90" t="s">
        <v>372</v>
      </c>
      <c r="B733" s="89" t="s">
        <v>2141</v>
      </c>
      <c r="C733" s="96" t="s">
        <v>1008</v>
      </c>
    </row>
    <row r="734" spans="1:3" ht="15">
      <c r="A734" s="90" t="s">
        <v>372</v>
      </c>
      <c r="B734" s="89" t="s">
        <v>2362</v>
      </c>
      <c r="C734" s="96" t="s">
        <v>1008</v>
      </c>
    </row>
    <row r="735" spans="1:3" ht="15">
      <c r="A735" s="90" t="s">
        <v>372</v>
      </c>
      <c r="B735" s="89" t="s">
        <v>2142</v>
      </c>
      <c r="C735" s="96" t="s">
        <v>1008</v>
      </c>
    </row>
    <row r="736" spans="1:3" ht="15">
      <c r="A736" s="90" t="s">
        <v>372</v>
      </c>
      <c r="B736" s="89" t="s">
        <v>2363</v>
      </c>
      <c r="C736" s="96" t="s">
        <v>1008</v>
      </c>
    </row>
    <row r="737" spans="1:3" ht="15">
      <c r="A737" s="90" t="s">
        <v>372</v>
      </c>
      <c r="B737" s="89" t="s">
        <v>2143</v>
      </c>
      <c r="C737" s="96" t="s">
        <v>1008</v>
      </c>
    </row>
    <row r="738" spans="1:3" ht="15">
      <c r="A738" s="90" t="s">
        <v>372</v>
      </c>
      <c r="B738" s="89" t="s">
        <v>2144</v>
      </c>
      <c r="C738" s="96" t="s">
        <v>1008</v>
      </c>
    </row>
    <row r="739" spans="1:3" ht="15">
      <c r="A739" s="90" t="s">
        <v>372</v>
      </c>
      <c r="B739" s="89" t="s">
        <v>2364</v>
      </c>
      <c r="C739" s="96" t="s">
        <v>1008</v>
      </c>
    </row>
    <row r="740" spans="1:3" ht="15">
      <c r="A740" s="90" t="s">
        <v>372</v>
      </c>
      <c r="B740" s="89" t="s">
        <v>2133</v>
      </c>
      <c r="C740" s="96" t="s">
        <v>1008</v>
      </c>
    </row>
    <row r="741" spans="1:3" ht="15">
      <c r="A741" s="90" t="s">
        <v>372</v>
      </c>
      <c r="B741" s="89" t="s">
        <v>2134</v>
      </c>
      <c r="C741" s="96" t="s">
        <v>1008</v>
      </c>
    </row>
    <row r="742" spans="1:3" ht="15">
      <c r="A742" s="90" t="s">
        <v>372</v>
      </c>
      <c r="B742" s="89" t="s">
        <v>2135</v>
      </c>
      <c r="C742" s="96" t="s">
        <v>1008</v>
      </c>
    </row>
    <row r="743" spans="1:3" ht="15">
      <c r="A743" s="90" t="s">
        <v>372</v>
      </c>
      <c r="B743" s="89" t="s">
        <v>2136</v>
      </c>
      <c r="C743" s="96" t="s">
        <v>1008</v>
      </c>
    </row>
    <row r="744" spans="1:3" ht="15">
      <c r="A744" s="90" t="s">
        <v>372</v>
      </c>
      <c r="B744" s="89" t="s">
        <v>2137</v>
      </c>
      <c r="C744" s="96" t="s">
        <v>1008</v>
      </c>
    </row>
    <row r="745" spans="1:3" ht="15">
      <c r="A745" s="90" t="s">
        <v>372</v>
      </c>
      <c r="B745" s="89" t="s">
        <v>2365</v>
      </c>
      <c r="C745" s="96" t="s">
        <v>1008</v>
      </c>
    </row>
    <row r="746" spans="1:3" ht="15">
      <c r="A746" s="90" t="s">
        <v>372</v>
      </c>
      <c r="B746" s="89" t="s">
        <v>2366</v>
      </c>
      <c r="C746" s="96" t="s">
        <v>1008</v>
      </c>
    </row>
    <row r="747" spans="1:3" ht="15">
      <c r="A747" s="90" t="s">
        <v>372</v>
      </c>
      <c r="B747" s="89">
        <v>16</v>
      </c>
      <c r="C747" s="96" t="s">
        <v>1008</v>
      </c>
    </row>
    <row r="748" spans="1:3" ht="15">
      <c r="A748" s="90" t="s">
        <v>372</v>
      </c>
      <c r="B748" s="89">
        <v>1</v>
      </c>
      <c r="C748" s="96" t="s">
        <v>1008</v>
      </c>
    </row>
    <row r="749" spans="1:3" ht="15">
      <c r="A749" s="90" t="s">
        <v>372</v>
      </c>
      <c r="B749" s="89">
        <v>22</v>
      </c>
      <c r="C749" s="96" t="s">
        <v>1008</v>
      </c>
    </row>
    <row r="750" spans="1:3" ht="15">
      <c r="A750" s="90" t="s">
        <v>372</v>
      </c>
      <c r="B750" s="89" t="s">
        <v>560</v>
      </c>
      <c r="C750" s="96" t="s">
        <v>1008</v>
      </c>
    </row>
    <row r="751" spans="1:3" ht="15">
      <c r="A751" s="90" t="s">
        <v>372</v>
      </c>
      <c r="B751" s="89" t="s">
        <v>2367</v>
      </c>
      <c r="C751" s="96" t="s">
        <v>1008</v>
      </c>
    </row>
    <row r="752" spans="1:3" ht="15">
      <c r="A752" s="90" t="s">
        <v>371</v>
      </c>
      <c r="B752" s="89" t="s">
        <v>2369</v>
      </c>
      <c r="C752" s="96" t="s">
        <v>1007</v>
      </c>
    </row>
    <row r="753" spans="1:3" ht="15">
      <c r="A753" s="90" t="s">
        <v>371</v>
      </c>
      <c r="B753" s="89" t="s">
        <v>2370</v>
      </c>
      <c r="C753" s="96" t="s">
        <v>1007</v>
      </c>
    </row>
    <row r="754" spans="1:3" ht="15">
      <c r="A754" s="90" t="s">
        <v>371</v>
      </c>
      <c r="B754" s="89" t="s">
        <v>2376</v>
      </c>
      <c r="C754" s="96" t="s">
        <v>1007</v>
      </c>
    </row>
    <row r="755" spans="1:3" ht="15">
      <c r="A755" s="90" t="s">
        <v>371</v>
      </c>
      <c r="B755" s="89" t="s">
        <v>2475</v>
      </c>
      <c r="C755" s="96" t="s">
        <v>1007</v>
      </c>
    </row>
    <row r="756" spans="1:3" ht="15">
      <c r="A756" s="90" t="s">
        <v>371</v>
      </c>
      <c r="B756" s="89" t="s">
        <v>2260</v>
      </c>
      <c r="C756" s="96" t="s">
        <v>1007</v>
      </c>
    </row>
    <row r="757" spans="1:3" ht="15">
      <c r="A757" s="90" t="s">
        <v>371</v>
      </c>
      <c r="B757" s="89" t="s">
        <v>2476</v>
      </c>
      <c r="C757" s="96" t="s">
        <v>1007</v>
      </c>
    </row>
    <row r="758" spans="1:3" ht="15">
      <c r="A758" s="90" t="s">
        <v>371</v>
      </c>
      <c r="B758" s="89" t="s">
        <v>2477</v>
      </c>
      <c r="C758" s="96" t="s">
        <v>1007</v>
      </c>
    </row>
    <row r="759" spans="1:3" ht="15">
      <c r="A759" s="90" t="s">
        <v>371</v>
      </c>
      <c r="B759" s="89" t="s">
        <v>2158</v>
      </c>
      <c r="C759" s="96" t="s">
        <v>1007</v>
      </c>
    </row>
    <row r="760" spans="1:3" ht="15">
      <c r="A760" s="90" t="s">
        <v>371</v>
      </c>
      <c r="B760" s="89" t="s">
        <v>2478</v>
      </c>
      <c r="C760" s="96" t="s">
        <v>1007</v>
      </c>
    </row>
    <row r="761" spans="1:3" ht="15">
      <c r="A761" s="90" t="s">
        <v>371</v>
      </c>
      <c r="B761" s="89" t="s">
        <v>2479</v>
      </c>
      <c r="C761" s="96" t="s">
        <v>1007</v>
      </c>
    </row>
    <row r="762" spans="1:3" ht="15">
      <c r="A762" s="90" t="s">
        <v>371</v>
      </c>
      <c r="B762" s="89" t="s">
        <v>2480</v>
      </c>
      <c r="C762" s="96" t="s">
        <v>1007</v>
      </c>
    </row>
    <row r="763" spans="1:3" ht="15">
      <c r="A763" s="90" t="s">
        <v>371</v>
      </c>
      <c r="B763" s="89" t="s">
        <v>2481</v>
      </c>
      <c r="C763" s="96" t="s">
        <v>1007</v>
      </c>
    </row>
    <row r="764" spans="1:3" ht="15">
      <c r="A764" s="90" t="s">
        <v>371</v>
      </c>
      <c r="B764" s="89" t="s">
        <v>2482</v>
      </c>
      <c r="C764" s="96" t="s">
        <v>1007</v>
      </c>
    </row>
    <row r="765" spans="1:3" ht="15">
      <c r="A765" s="90" t="s">
        <v>371</v>
      </c>
      <c r="B765" s="89" t="s">
        <v>2483</v>
      </c>
      <c r="C765" s="96" t="s">
        <v>1007</v>
      </c>
    </row>
    <row r="766" spans="1:3" ht="15">
      <c r="A766" s="90" t="s">
        <v>370</v>
      </c>
      <c r="B766" s="89" t="s">
        <v>2360</v>
      </c>
      <c r="C766" s="96" t="s">
        <v>1006</v>
      </c>
    </row>
    <row r="767" spans="1:3" ht="15">
      <c r="A767" s="90" t="s">
        <v>370</v>
      </c>
      <c r="B767" s="89" t="s">
        <v>2140</v>
      </c>
      <c r="C767" s="96" t="s">
        <v>1006</v>
      </c>
    </row>
    <row r="768" spans="1:3" ht="15">
      <c r="A768" s="90" t="s">
        <v>370</v>
      </c>
      <c r="B768" s="89" t="s">
        <v>2124</v>
      </c>
      <c r="C768" s="96" t="s">
        <v>1006</v>
      </c>
    </row>
    <row r="769" spans="1:3" ht="15">
      <c r="A769" s="90" t="s">
        <v>370</v>
      </c>
      <c r="B769" s="89" t="s">
        <v>2132</v>
      </c>
      <c r="C769" s="96" t="s">
        <v>1006</v>
      </c>
    </row>
    <row r="770" spans="1:3" ht="15">
      <c r="A770" s="90" t="s">
        <v>370</v>
      </c>
      <c r="B770" s="89" t="s">
        <v>2361</v>
      </c>
      <c r="C770" s="96" t="s">
        <v>1006</v>
      </c>
    </row>
    <row r="771" spans="1:3" ht="15">
      <c r="A771" s="90" t="s">
        <v>370</v>
      </c>
      <c r="B771" s="89" t="s">
        <v>2141</v>
      </c>
      <c r="C771" s="96" t="s">
        <v>1006</v>
      </c>
    </row>
    <row r="772" spans="1:3" ht="15">
      <c r="A772" s="90" t="s">
        <v>370</v>
      </c>
      <c r="B772" s="89" t="s">
        <v>2362</v>
      </c>
      <c r="C772" s="96" t="s">
        <v>1006</v>
      </c>
    </row>
    <row r="773" spans="1:3" ht="15">
      <c r="A773" s="90" t="s">
        <v>370</v>
      </c>
      <c r="B773" s="89" t="s">
        <v>2142</v>
      </c>
      <c r="C773" s="96" t="s">
        <v>1006</v>
      </c>
    </row>
    <row r="774" spans="1:3" ht="15">
      <c r="A774" s="90" t="s">
        <v>370</v>
      </c>
      <c r="B774" s="89" t="s">
        <v>2363</v>
      </c>
      <c r="C774" s="96" t="s">
        <v>1006</v>
      </c>
    </row>
    <row r="775" spans="1:3" ht="15">
      <c r="A775" s="90" t="s">
        <v>370</v>
      </c>
      <c r="B775" s="89" t="s">
        <v>2143</v>
      </c>
      <c r="C775" s="96" t="s">
        <v>1006</v>
      </c>
    </row>
    <row r="776" spans="1:3" ht="15">
      <c r="A776" s="90" t="s">
        <v>370</v>
      </c>
      <c r="B776" s="89" t="s">
        <v>2144</v>
      </c>
      <c r="C776" s="96" t="s">
        <v>1006</v>
      </c>
    </row>
    <row r="777" spans="1:3" ht="15">
      <c r="A777" s="90" t="s">
        <v>370</v>
      </c>
      <c r="B777" s="89" t="s">
        <v>2364</v>
      </c>
      <c r="C777" s="96" t="s">
        <v>1006</v>
      </c>
    </row>
    <row r="778" spans="1:3" ht="15">
      <c r="A778" s="90" t="s">
        <v>370</v>
      </c>
      <c r="B778" s="89" t="s">
        <v>2133</v>
      </c>
      <c r="C778" s="96" t="s">
        <v>1006</v>
      </c>
    </row>
    <row r="779" spans="1:3" ht="15">
      <c r="A779" s="90" t="s">
        <v>370</v>
      </c>
      <c r="B779" s="89" t="s">
        <v>2134</v>
      </c>
      <c r="C779" s="96" t="s">
        <v>1006</v>
      </c>
    </row>
    <row r="780" spans="1:3" ht="15">
      <c r="A780" s="90" t="s">
        <v>370</v>
      </c>
      <c r="B780" s="89" t="s">
        <v>2135</v>
      </c>
      <c r="C780" s="96" t="s">
        <v>1006</v>
      </c>
    </row>
    <row r="781" spans="1:3" ht="15">
      <c r="A781" s="90" t="s">
        <v>370</v>
      </c>
      <c r="B781" s="89" t="s">
        <v>2136</v>
      </c>
      <c r="C781" s="96" t="s">
        <v>1006</v>
      </c>
    </row>
    <row r="782" spans="1:3" ht="15">
      <c r="A782" s="90" t="s">
        <v>370</v>
      </c>
      <c r="B782" s="89" t="s">
        <v>2137</v>
      </c>
      <c r="C782" s="96" t="s">
        <v>1006</v>
      </c>
    </row>
    <row r="783" spans="1:3" ht="15">
      <c r="A783" s="90" t="s">
        <v>370</v>
      </c>
      <c r="B783" s="89" t="s">
        <v>2365</v>
      </c>
      <c r="C783" s="96" t="s">
        <v>1006</v>
      </c>
    </row>
    <row r="784" spans="1:3" ht="15">
      <c r="A784" s="90" t="s">
        <v>370</v>
      </c>
      <c r="B784" s="89" t="s">
        <v>2366</v>
      </c>
      <c r="C784" s="96" t="s">
        <v>1006</v>
      </c>
    </row>
    <row r="785" spans="1:3" ht="15">
      <c r="A785" s="90" t="s">
        <v>370</v>
      </c>
      <c r="B785" s="89">
        <v>16</v>
      </c>
      <c r="C785" s="96" t="s">
        <v>1006</v>
      </c>
    </row>
    <row r="786" spans="1:3" ht="15">
      <c r="A786" s="90" t="s">
        <v>370</v>
      </c>
      <c r="B786" s="89">
        <v>1</v>
      </c>
      <c r="C786" s="96" t="s">
        <v>1006</v>
      </c>
    </row>
    <row r="787" spans="1:3" ht="15">
      <c r="A787" s="90" t="s">
        <v>370</v>
      </c>
      <c r="B787" s="89">
        <v>22</v>
      </c>
      <c r="C787" s="96" t="s">
        <v>1006</v>
      </c>
    </row>
    <row r="788" spans="1:3" ht="15">
      <c r="A788" s="90" t="s">
        <v>370</v>
      </c>
      <c r="B788" s="89" t="s">
        <v>560</v>
      </c>
      <c r="C788" s="96" t="s">
        <v>1006</v>
      </c>
    </row>
    <row r="789" spans="1:3" ht="15">
      <c r="A789" s="90" t="s">
        <v>370</v>
      </c>
      <c r="B789" s="89" t="s">
        <v>2367</v>
      </c>
      <c r="C789" s="96" t="s">
        <v>1006</v>
      </c>
    </row>
    <row r="790" spans="1:3" ht="15">
      <c r="A790" s="90" t="s">
        <v>370</v>
      </c>
      <c r="B790" s="89" t="s">
        <v>2369</v>
      </c>
      <c r="C790" s="96" t="s">
        <v>1005</v>
      </c>
    </row>
    <row r="791" spans="1:3" ht="15">
      <c r="A791" s="90" t="s">
        <v>370</v>
      </c>
      <c r="B791" s="89" t="s">
        <v>2370</v>
      </c>
      <c r="C791" s="96" t="s">
        <v>1005</v>
      </c>
    </row>
    <row r="792" spans="1:3" ht="15">
      <c r="A792" s="90" t="s">
        <v>370</v>
      </c>
      <c r="B792" s="89" t="s">
        <v>2371</v>
      </c>
      <c r="C792" s="96" t="s">
        <v>1005</v>
      </c>
    </row>
    <row r="793" spans="1:3" ht="15">
      <c r="A793" s="90" t="s">
        <v>370</v>
      </c>
      <c r="B793" s="89" t="s">
        <v>2372</v>
      </c>
      <c r="C793" s="96" t="s">
        <v>1005</v>
      </c>
    </row>
    <row r="794" spans="1:3" ht="15">
      <c r="A794" s="90" t="s">
        <v>370</v>
      </c>
      <c r="B794" s="89" t="s">
        <v>2176</v>
      </c>
      <c r="C794" s="96" t="s">
        <v>1005</v>
      </c>
    </row>
    <row r="795" spans="1:3" ht="15">
      <c r="A795" s="90" t="s">
        <v>370</v>
      </c>
      <c r="B795" s="89" t="s">
        <v>2175</v>
      </c>
      <c r="C795" s="96" t="s">
        <v>1005</v>
      </c>
    </row>
    <row r="796" spans="1:3" ht="15">
      <c r="A796" s="90" t="s">
        <v>370</v>
      </c>
      <c r="B796" s="89" t="s">
        <v>2157</v>
      </c>
      <c r="C796" s="96" t="s">
        <v>1005</v>
      </c>
    </row>
    <row r="797" spans="1:3" ht="15">
      <c r="A797" s="90" t="s">
        <v>370</v>
      </c>
      <c r="B797" s="89" t="s">
        <v>2373</v>
      </c>
      <c r="C797" s="96" t="s">
        <v>1005</v>
      </c>
    </row>
    <row r="798" spans="1:3" ht="15">
      <c r="A798" s="90" t="s">
        <v>370</v>
      </c>
      <c r="B798" s="89" t="s">
        <v>2178</v>
      </c>
      <c r="C798" s="96" t="s">
        <v>1005</v>
      </c>
    </row>
    <row r="799" spans="1:3" ht="15">
      <c r="A799" s="90" t="s">
        <v>370</v>
      </c>
      <c r="B799" s="89" t="s">
        <v>2374</v>
      </c>
      <c r="C799" s="96" t="s">
        <v>1005</v>
      </c>
    </row>
    <row r="800" spans="1:3" ht="15">
      <c r="A800" s="90" t="s">
        <v>370</v>
      </c>
      <c r="B800" s="89" t="s">
        <v>2375</v>
      </c>
      <c r="C800" s="96" t="s">
        <v>1005</v>
      </c>
    </row>
    <row r="801" spans="1:3" ht="15">
      <c r="A801" s="90" t="s">
        <v>370</v>
      </c>
      <c r="B801" s="89" t="s">
        <v>2376</v>
      </c>
      <c r="C801" s="96" t="s">
        <v>1005</v>
      </c>
    </row>
    <row r="802" spans="1:3" ht="15">
      <c r="A802" s="90" t="s">
        <v>370</v>
      </c>
      <c r="B802" s="89" t="s">
        <v>2377</v>
      </c>
      <c r="C802" s="96" t="s">
        <v>1005</v>
      </c>
    </row>
    <row r="803" spans="1:3" ht="15">
      <c r="A803" s="90" t="s">
        <v>368</v>
      </c>
      <c r="B803" s="89" t="s">
        <v>2360</v>
      </c>
      <c r="C803" s="96" t="s">
        <v>1002</v>
      </c>
    </row>
    <row r="804" spans="1:3" ht="15">
      <c r="A804" s="90" t="s">
        <v>368</v>
      </c>
      <c r="B804" s="89" t="s">
        <v>2140</v>
      </c>
      <c r="C804" s="96" t="s">
        <v>1002</v>
      </c>
    </row>
    <row r="805" spans="1:3" ht="15">
      <c r="A805" s="90" t="s">
        <v>368</v>
      </c>
      <c r="B805" s="89" t="s">
        <v>2124</v>
      </c>
      <c r="C805" s="96" t="s">
        <v>1002</v>
      </c>
    </row>
    <row r="806" spans="1:3" ht="15">
      <c r="A806" s="90" t="s">
        <v>368</v>
      </c>
      <c r="B806" s="89" t="s">
        <v>2132</v>
      </c>
      <c r="C806" s="96" t="s">
        <v>1002</v>
      </c>
    </row>
    <row r="807" spans="1:3" ht="15">
      <c r="A807" s="90" t="s">
        <v>368</v>
      </c>
      <c r="B807" s="89" t="s">
        <v>2361</v>
      </c>
      <c r="C807" s="96" t="s">
        <v>1002</v>
      </c>
    </row>
    <row r="808" spans="1:3" ht="15">
      <c r="A808" s="90" t="s">
        <v>368</v>
      </c>
      <c r="B808" s="89" t="s">
        <v>2141</v>
      </c>
      <c r="C808" s="96" t="s">
        <v>1002</v>
      </c>
    </row>
    <row r="809" spans="1:3" ht="15">
      <c r="A809" s="90" t="s">
        <v>368</v>
      </c>
      <c r="B809" s="89" t="s">
        <v>2362</v>
      </c>
      <c r="C809" s="96" t="s">
        <v>1002</v>
      </c>
    </row>
    <row r="810" spans="1:3" ht="15">
      <c r="A810" s="90" t="s">
        <v>368</v>
      </c>
      <c r="B810" s="89" t="s">
        <v>2142</v>
      </c>
      <c r="C810" s="96" t="s">
        <v>1002</v>
      </c>
    </row>
    <row r="811" spans="1:3" ht="15">
      <c r="A811" s="90" t="s">
        <v>368</v>
      </c>
      <c r="B811" s="89" t="s">
        <v>2363</v>
      </c>
      <c r="C811" s="96" t="s">
        <v>1002</v>
      </c>
    </row>
    <row r="812" spans="1:3" ht="15">
      <c r="A812" s="90" t="s">
        <v>368</v>
      </c>
      <c r="B812" s="89" t="s">
        <v>2143</v>
      </c>
      <c r="C812" s="96" t="s">
        <v>1002</v>
      </c>
    </row>
    <row r="813" spans="1:3" ht="15">
      <c r="A813" s="90" t="s">
        <v>368</v>
      </c>
      <c r="B813" s="89" t="s">
        <v>2144</v>
      </c>
      <c r="C813" s="96" t="s">
        <v>1002</v>
      </c>
    </row>
    <row r="814" spans="1:3" ht="15">
      <c r="A814" s="90" t="s">
        <v>368</v>
      </c>
      <c r="B814" s="89" t="s">
        <v>2364</v>
      </c>
      <c r="C814" s="96" t="s">
        <v>1002</v>
      </c>
    </row>
    <row r="815" spans="1:3" ht="15">
      <c r="A815" s="90" t="s">
        <v>368</v>
      </c>
      <c r="B815" s="89" t="s">
        <v>2133</v>
      </c>
      <c r="C815" s="96" t="s">
        <v>1002</v>
      </c>
    </row>
    <row r="816" spans="1:3" ht="15">
      <c r="A816" s="90" t="s">
        <v>368</v>
      </c>
      <c r="B816" s="89" t="s">
        <v>2134</v>
      </c>
      <c r="C816" s="96" t="s">
        <v>1002</v>
      </c>
    </row>
    <row r="817" spans="1:3" ht="15">
      <c r="A817" s="90" t="s">
        <v>368</v>
      </c>
      <c r="B817" s="89" t="s">
        <v>2135</v>
      </c>
      <c r="C817" s="96" t="s">
        <v>1002</v>
      </c>
    </row>
    <row r="818" spans="1:3" ht="15">
      <c r="A818" s="90" t="s">
        <v>368</v>
      </c>
      <c r="B818" s="89" t="s">
        <v>2136</v>
      </c>
      <c r="C818" s="96" t="s">
        <v>1002</v>
      </c>
    </row>
    <row r="819" spans="1:3" ht="15">
      <c r="A819" s="90" t="s">
        <v>368</v>
      </c>
      <c r="B819" s="89" t="s">
        <v>2137</v>
      </c>
      <c r="C819" s="96" t="s">
        <v>1002</v>
      </c>
    </row>
    <row r="820" spans="1:3" ht="15">
      <c r="A820" s="90" t="s">
        <v>368</v>
      </c>
      <c r="B820" s="89" t="s">
        <v>2365</v>
      </c>
      <c r="C820" s="96" t="s">
        <v>1002</v>
      </c>
    </row>
    <row r="821" spans="1:3" ht="15">
      <c r="A821" s="90" t="s">
        <v>368</v>
      </c>
      <c r="B821" s="89" t="s">
        <v>2366</v>
      </c>
      <c r="C821" s="96" t="s">
        <v>1002</v>
      </c>
    </row>
    <row r="822" spans="1:3" ht="15">
      <c r="A822" s="90" t="s">
        <v>368</v>
      </c>
      <c r="B822" s="89">
        <v>16</v>
      </c>
      <c r="C822" s="96" t="s">
        <v>1002</v>
      </c>
    </row>
    <row r="823" spans="1:3" ht="15">
      <c r="A823" s="90" t="s">
        <v>368</v>
      </c>
      <c r="B823" s="89">
        <v>1</v>
      </c>
      <c r="C823" s="96" t="s">
        <v>1002</v>
      </c>
    </row>
    <row r="824" spans="1:3" ht="15">
      <c r="A824" s="90" t="s">
        <v>368</v>
      </c>
      <c r="B824" s="89">
        <v>22</v>
      </c>
      <c r="C824" s="96" t="s">
        <v>1002</v>
      </c>
    </row>
    <row r="825" spans="1:3" ht="15">
      <c r="A825" s="90" t="s">
        <v>368</v>
      </c>
      <c r="B825" s="89" t="s">
        <v>560</v>
      </c>
      <c r="C825" s="96" t="s">
        <v>1002</v>
      </c>
    </row>
    <row r="826" spans="1:3" ht="15">
      <c r="A826" s="90" t="s">
        <v>368</v>
      </c>
      <c r="B826" s="89" t="s">
        <v>2367</v>
      </c>
      <c r="C826" s="96" t="s">
        <v>1002</v>
      </c>
    </row>
    <row r="827" spans="1:3" ht="15">
      <c r="A827" s="90" t="s">
        <v>367</v>
      </c>
      <c r="B827" s="89" t="s">
        <v>2360</v>
      </c>
      <c r="C827" s="96" t="s">
        <v>1001</v>
      </c>
    </row>
    <row r="828" spans="1:3" ht="15">
      <c r="A828" s="90" t="s">
        <v>367</v>
      </c>
      <c r="B828" s="89" t="s">
        <v>2140</v>
      </c>
      <c r="C828" s="96" t="s">
        <v>1001</v>
      </c>
    </row>
    <row r="829" spans="1:3" ht="15">
      <c r="A829" s="90" t="s">
        <v>367</v>
      </c>
      <c r="B829" s="89" t="s">
        <v>2124</v>
      </c>
      <c r="C829" s="96" t="s">
        <v>1001</v>
      </c>
    </row>
    <row r="830" spans="1:3" ht="15">
      <c r="A830" s="90" t="s">
        <v>367</v>
      </c>
      <c r="B830" s="89" t="s">
        <v>2132</v>
      </c>
      <c r="C830" s="96" t="s">
        <v>1001</v>
      </c>
    </row>
    <row r="831" spans="1:3" ht="15">
      <c r="A831" s="90" t="s">
        <v>367</v>
      </c>
      <c r="B831" s="89" t="s">
        <v>2361</v>
      </c>
      <c r="C831" s="96" t="s">
        <v>1001</v>
      </c>
    </row>
    <row r="832" spans="1:3" ht="15">
      <c r="A832" s="90" t="s">
        <v>367</v>
      </c>
      <c r="B832" s="89" t="s">
        <v>2141</v>
      </c>
      <c r="C832" s="96" t="s">
        <v>1001</v>
      </c>
    </row>
    <row r="833" spans="1:3" ht="15">
      <c r="A833" s="90" t="s">
        <v>367</v>
      </c>
      <c r="B833" s="89" t="s">
        <v>2362</v>
      </c>
      <c r="C833" s="96" t="s">
        <v>1001</v>
      </c>
    </row>
    <row r="834" spans="1:3" ht="15">
      <c r="A834" s="90" t="s">
        <v>367</v>
      </c>
      <c r="B834" s="89" t="s">
        <v>2142</v>
      </c>
      <c r="C834" s="96" t="s">
        <v>1001</v>
      </c>
    </row>
    <row r="835" spans="1:3" ht="15">
      <c r="A835" s="90" t="s">
        <v>367</v>
      </c>
      <c r="B835" s="89" t="s">
        <v>2363</v>
      </c>
      <c r="C835" s="96" t="s">
        <v>1001</v>
      </c>
    </row>
    <row r="836" spans="1:3" ht="15">
      <c r="A836" s="90" t="s">
        <v>367</v>
      </c>
      <c r="B836" s="89" t="s">
        <v>2143</v>
      </c>
      <c r="C836" s="96" t="s">
        <v>1001</v>
      </c>
    </row>
    <row r="837" spans="1:3" ht="15">
      <c r="A837" s="90" t="s">
        <v>367</v>
      </c>
      <c r="B837" s="89" t="s">
        <v>2144</v>
      </c>
      <c r="C837" s="96" t="s">
        <v>1001</v>
      </c>
    </row>
    <row r="838" spans="1:3" ht="15">
      <c r="A838" s="90" t="s">
        <v>367</v>
      </c>
      <c r="B838" s="89" t="s">
        <v>2364</v>
      </c>
      <c r="C838" s="96" t="s">
        <v>1001</v>
      </c>
    </row>
    <row r="839" spans="1:3" ht="15">
      <c r="A839" s="90" t="s">
        <v>367</v>
      </c>
      <c r="B839" s="89" t="s">
        <v>2133</v>
      </c>
      <c r="C839" s="96" t="s">
        <v>1001</v>
      </c>
    </row>
    <row r="840" spans="1:3" ht="15">
      <c r="A840" s="90" t="s">
        <v>367</v>
      </c>
      <c r="B840" s="89" t="s">
        <v>2134</v>
      </c>
      <c r="C840" s="96" t="s">
        <v>1001</v>
      </c>
    </row>
    <row r="841" spans="1:3" ht="15">
      <c r="A841" s="90" t="s">
        <v>367</v>
      </c>
      <c r="B841" s="89" t="s">
        <v>2135</v>
      </c>
      <c r="C841" s="96" t="s">
        <v>1001</v>
      </c>
    </row>
    <row r="842" spans="1:3" ht="15">
      <c r="A842" s="90" t="s">
        <v>367</v>
      </c>
      <c r="B842" s="89" t="s">
        <v>2136</v>
      </c>
      <c r="C842" s="96" t="s">
        <v>1001</v>
      </c>
    </row>
    <row r="843" spans="1:3" ht="15">
      <c r="A843" s="90" t="s">
        <v>367</v>
      </c>
      <c r="B843" s="89" t="s">
        <v>2137</v>
      </c>
      <c r="C843" s="96" t="s">
        <v>1001</v>
      </c>
    </row>
    <row r="844" spans="1:3" ht="15">
      <c r="A844" s="90" t="s">
        <v>367</v>
      </c>
      <c r="B844" s="89" t="s">
        <v>2365</v>
      </c>
      <c r="C844" s="96" t="s">
        <v>1001</v>
      </c>
    </row>
    <row r="845" spans="1:3" ht="15">
      <c r="A845" s="90" t="s">
        <v>367</v>
      </c>
      <c r="B845" s="89" t="s">
        <v>2366</v>
      </c>
      <c r="C845" s="96" t="s">
        <v>1001</v>
      </c>
    </row>
    <row r="846" spans="1:3" ht="15">
      <c r="A846" s="90" t="s">
        <v>367</v>
      </c>
      <c r="B846" s="89">
        <v>16</v>
      </c>
      <c r="C846" s="96" t="s">
        <v>1001</v>
      </c>
    </row>
    <row r="847" spans="1:3" ht="15">
      <c r="A847" s="90" t="s">
        <v>367</v>
      </c>
      <c r="B847" s="89">
        <v>1</v>
      </c>
      <c r="C847" s="96" t="s">
        <v>1001</v>
      </c>
    </row>
    <row r="848" spans="1:3" ht="15">
      <c r="A848" s="90" t="s">
        <v>367</v>
      </c>
      <c r="B848" s="89">
        <v>22</v>
      </c>
      <c r="C848" s="96" t="s">
        <v>1001</v>
      </c>
    </row>
    <row r="849" spans="1:3" ht="15">
      <c r="A849" s="90" t="s">
        <v>367</v>
      </c>
      <c r="B849" s="89" t="s">
        <v>560</v>
      </c>
      <c r="C849" s="96" t="s">
        <v>1001</v>
      </c>
    </row>
    <row r="850" spans="1:3" ht="15">
      <c r="A850" s="90" t="s">
        <v>367</v>
      </c>
      <c r="B850" s="89" t="s">
        <v>2367</v>
      </c>
      <c r="C850" s="96" t="s">
        <v>1001</v>
      </c>
    </row>
    <row r="851" spans="1:3" ht="15">
      <c r="A851" s="90" t="s">
        <v>366</v>
      </c>
      <c r="B851" s="89" t="s">
        <v>2360</v>
      </c>
      <c r="C851" s="96" t="s">
        <v>1000</v>
      </c>
    </row>
    <row r="852" spans="1:3" ht="15">
      <c r="A852" s="90" t="s">
        <v>366</v>
      </c>
      <c r="B852" s="89" t="s">
        <v>2140</v>
      </c>
      <c r="C852" s="96" t="s">
        <v>1000</v>
      </c>
    </row>
    <row r="853" spans="1:3" ht="15">
      <c r="A853" s="90" t="s">
        <v>366</v>
      </c>
      <c r="B853" s="89" t="s">
        <v>2124</v>
      </c>
      <c r="C853" s="96" t="s">
        <v>1000</v>
      </c>
    </row>
    <row r="854" spans="1:3" ht="15">
      <c r="A854" s="90" t="s">
        <v>366</v>
      </c>
      <c r="B854" s="89" t="s">
        <v>2132</v>
      </c>
      <c r="C854" s="96" t="s">
        <v>1000</v>
      </c>
    </row>
    <row r="855" spans="1:3" ht="15">
      <c r="A855" s="90" t="s">
        <v>366</v>
      </c>
      <c r="B855" s="89" t="s">
        <v>2361</v>
      </c>
      <c r="C855" s="96" t="s">
        <v>1000</v>
      </c>
    </row>
    <row r="856" spans="1:3" ht="15">
      <c r="A856" s="90" t="s">
        <v>366</v>
      </c>
      <c r="B856" s="89" t="s">
        <v>2141</v>
      </c>
      <c r="C856" s="96" t="s">
        <v>1000</v>
      </c>
    </row>
    <row r="857" spans="1:3" ht="15">
      <c r="A857" s="90" t="s">
        <v>366</v>
      </c>
      <c r="B857" s="89" t="s">
        <v>2362</v>
      </c>
      <c r="C857" s="96" t="s">
        <v>1000</v>
      </c>
    </row>
    <row r="858" spans="1:3" ht="15">
      <c r="A858" s="90" t="s">
        <v>366</v>
      </c>
      <c r="B858" s="89" t="s">
        <v>2142</v>
      </c>
      <c r="C858" s="96" t="s">
        <v>1000</v>
      </c>
    </row>
    <row r="859" spans="1:3" ht="15">
      <c r="A859" s="90" t="s">
        <v>366</v>
      </c>
      <c r="B859" s="89" t="s">
        <v>2363</v>
      </c>
      <c r="C859" s="96" t="s">
        <v>1000</v>
      </c>
    </row>
    <row r="860" spans="1:3" ht="15">
      <c r="A860" s="90" t="s">
        <v>366</v>
      </c>
      <c r="B860" s="89" t="s">
        <v>2143</v>
      </c>
      <c r="C860" s="96" t="s">
        <v>1000</v>
      </c>
    </row>
    <row r="861" spans="1:3" ht="15">
      <c r="A861" s="90" t="s">
        <v>366</v>
      </c>
      <c r="B861" s="89" t="s">
        <v>2144</v>
      </c>
      <c r="C861" s="96" t="s">
        <v>1000</v>
      </c>
    </row>
    <row r="862" spans="1:3" ht="15">
      <c r="A862" s="90" t="s">
        <v>366</v>
      </c>
      <c r="B862" s="89" t="s">
        <v>2364</v>
      </c>
      <c r="C862" s="96" t="s">
        <v>1000</v>
      </c>
    </row>
    <row r="863" spans="1:3" ht="15">
      <c r="A863" s="90" t="s">
        <v>366</v>
      </c>
      <c r="B863" s="89" t="s">
        <v>2133</v>
      </c>
      <c r="C863" s="96" t="s">
        <v>1000</v>
      </c>
    </row>
    <row r="864" spans="1:3" ht="15">
      <c r="A864" s="90" t="s">
        <v>366</v>
      </c>
      <c r="B864" s="89" t="s">
        <v>2134</v>
      </c>
      <c r="C864" s="96" t="s">
        <v>1000</v>
      </c>
    </row>
    <row r="865" spans="1:3" ht="15">
      <c r="A865" s="90" t="s">
        <v>366</v>
      </c>
      <c r="B865" s="89" t="s">
        <v>2135</v>
      </c>
      <c r="C865" s="96" t="s">
        <v>1000</v>
      </c>
    </row>
    <row r="866" spans="1:3" ht="15">
      <c r="A866" s="90" t="s">
        <v>366</v>
      </c>
      <c r="B866" s="89" t="s">
        <v>2136</v>
      </c>
      <c r="C866" s="96" t="s">
        <v>1000</v>
      </c>
    </row>
    <row r="867" spans="1:3" ht="15">
      <c r="A867" s="90" t="s">
        <v>366</v>
      </c>
      <c r="B867" s="89" t="s">
        <v>2137</v>
      </c>
      <c r="C867" s="96" t="s">
        <v>1000</v>
      </c>
    </row>
    <row r="868" spans="1:3" ht="15">
      <c r="A868" s="90" t="s">
        <v>366</v>
      </c>
      <c r="B868" s="89" t="s">
        <v>2365</v>
      </c>
      <c r="C868" s="96" t="s">
        <v>1000</v>
      </c>
    </row>
    <row r="869" spans="1:3" ht="15">
      <c r="A869" s="90" t="s">
        <v>366</v>
      </c>
      <c r="B869" s="89" t="s">
        <v>2366</v>
      </c>
      <c r="C869" s="96" t="s">
        <v>1000</v>
      </c>
    </row>
    <row r="870" spans="1:3" ht="15">
      <c r="A870" s="90" t="s">
        <v>366</v>
      </c>
      <c r="B870" s="89">
        <v>16</v>
      </c>
      <c r="C870" s="96" t="s">
        <v>1000</v>
      </c>
    </row>
    <row r="871" spans="1:3" ht="15">
      <c r="A871" s="90" t="s">
        <v>366</v>
      </c>
      <c r="B871" s="89">
        <v>1</v>
      </c>
      <c r="C871" s="96" t="s">
        <v>1000</v>
      </c>
    </row>
    <row r="872" spans="1:3" ht="15">
      <c r="A872" s="90" t="s">
        <v>366</v>
      </c>
      <c r="B872" s="89">
        <v>22</v>
      </c>
      <c r="C872" s="96" t="s">
        <v>1000</v>
      </c>
    </row>
    <row r="873" spans="1:3" ht="15">
      <c r="A873" s="90" t="s">
        <v>366</v>
      </c>
      <c r="B873" s="89" t="s">
        <v>560</v>
      </c>
      <c r="C873" s="96" t="s">
        <v>1000</v>
      </c>
    </row>
    <row r="874" spans="1:3" ht="15">
      <c r="A874" s="90" t="s">
        <v>366</v>
      </c>
      <c r="B874" s="89" t="s">
        <v>2367</v>
      </c>
      <c r="C874" s="96" t="s">
        <v>1000</v>
      </c>
    </row>
    <row r="875" spans="1:3" ht="15">
      <c r="A875" s="90" t="s">
        <v>366</v>
      </c>
      <c r="B875" s="89" t="s">
        <v>2369</v>
      </c>
      <c r="C875" s="96" t="s">
        <v>999</v>
      </c>
    </row>
    <row r="876" spans="1:3" ht="15">
      <c r="A876" s="90" t="s">
        <v>366</v>
      </c>
      <c r="B876" s="89" t="s">
        <v>2370</v>
      </c>
      <c r="C876" s="96" t="s">
        <v>999</v>
      </c>
    </row>
    <row r="877" spans="1:3" ht="15">
      <c r="A877" s="90" t="s">
        <v>366</v>
      </c>
      <c r="B877" s="89" t="s">
        <v>2150</v>
      </c>
      <c r="C877" s="96" t="s">
        <v>999</v>
      </c>
    </row>
    <row r="878" spans="1:3" ht="15">
      <c r="A878" s="90" t="s">
        <v>366</v>
      </c>
      <c r="B878" s="89" t="s">
        <v>2151</v>
      </c>
      <c r="C878" s="96" t="s">
        <v>999</v>
      </c>
    </row>
    <row r="879" spans="1:3" ht="15">
      <c r="A879" s="90" t="s">
        <v>366</v>
      </c>
      <c r="B879" s="89" t="s">
        <v>2152</v>
      </c>
      <c r="C879" s="96" t="s">
        <v>999</v>
      </c>
    </row>
    <row r="880" spans="1:3" ht="15">
      <c r="A880" s="90" t="s">
        <v>366</v>
      </c>
      <c r="B880" s="89" t="s">
        <v>2391</v>
      </c>
      <c r="C880" s="96" t="s">
        <v>999</v>
      </c>
    </row>
    <row r="881" spans="1:3" ht="15">
      <c r="A881" s="90" t="s">
        <v>366</v>
      </c>
      <c r="B881" s="89" t="s">
        <v>2392</v>
      </c>
      <c r="C881" s="96" t="s">
        <v>999</v>
      </c>
    </row>
    <row r="882" spans="1:3" ht="15">
      <c r="A882" s="90" t="s">
        <v>366</v>
      </c>
      <c r="B882" s="89" t="s">
        <v>2393</v>
      </c>
      <c r="C882" s="96" t="s">
        <v>999</v>
      </c>
    </row>
    <row r="883" spans="1:3" ht="15">
      <c r="A883" s="90" t="s">
        <v>366</v>
      </c>
      <c r="B883" s="89" t="s">
        <v>2149</v>
      </c>
      <c r="C883" s="96" t="s">
        <v>999</v>
      </c>
    </row>
    <row r="884" spans="1:3" ht="15">
      <c r="A884" s="90" t="s">
        <v>366</v>
      </c>
      <c r="B884" s="89" t="s">
        <v>2153</v>
      </c>
      <c r="C884" s="96" t="s">
        <v>999</v>
      </c>
    </row>
    <row r="885" spans="1:3" ht="15">
      <c r="A885" s="90" t="s">
        <v>366</v>
      </c>
      <c r="B885" s="89" t="s">
        <v>2361</v>
      </c>
      <c r="C885" s="96" t="s">
        <v>999</v>
      </c>
    </row>
    <row r="886" spans="1:3" ht="15">
      <c r="A886" s="90" t="s">
        <v>366</v>
      </c>
      <c r="B886" s="89" t="s">
        <v>2394</v>
      </c>
      <c r="C886" s="96" t="s">
        <v>999</v>
      </c>
    </row>
    <row r="887" spans="1:3" ht="15">
      <c r="A887" s="90" t="s">
        <v>366</v>
      </c>
      <c r="B887" s="89" t="s">
        <v>2148</v>
      </c>
      <c r="C887" s="96" t="s">
        <v>999</v>
      </c>
    </row>
    <row r="888" spans="1:3" ht="15">
      <c r="A888" s="90" t="s">
        <v>366</v>
      </c>
      <c r="B888" s="89" t="s">
        <v>2395</v>
      </c>
      <c r="C888" s="96" t="s">
        <v>999</v>
      </c>
    </row>
    <row r="889" spans="1:3" ht="15">
      <c r="A889" s="90" t="s">
        <v>366</v>
      </c>
      <c r="B889" s="89" t="s">
        <v>2154</v>
      </c>
      <c r="C889" s="96" t="s">
        <v>999</v>
      </c>
    </row>
    <row r="890" spans="1:3" ht="15">
      <c r="A890" s="90" t="s">
        <v>366</v>
      </c>
      <c r="B890" s="89" t="s">
        <v>2155</v>
      </c>
      <c r="C890" s="96" t="s">
        <v>999</v>
      </c>
    </row>
    <row r="891" spans="1:3" ht="15">
      <c r="A891" s="90" t="s">
        <v>366</v>
      </c>
      <c r="B891" s="89" t="s">
        <v>2369</v>
      </c>
      <c r="C891" s="96" t="s">
        <v>998</v>
      </c>
    </row>
    <row r="892" spans="1:3" ht="15">
      <c r="A892" s="90" t="s">
        <v>366</v>
      </c>
      <c r="B892" s="89" t="s">
        <v>2370</v>
      </c>
      <c r="C892" s="96" t="s">
        <v>998</v>
      </c>
    </row>
    <row r="893" spans="1:3" ht="15">
      <c r="A893" s="90" t="s">
        <v>366</v>
      </c>
      <c r="B893" s="89" t="s">
        <v>2399</v>
      </c>
      <c r="C893" s="96" t="s">
        <v>998</v>
      </c>
    </row>
    <row r="894" spans="1:3" ht="15">
      <c r="A894" s="90" t="s">
        <v>366</v>
      </c>
      <c r="B894" s="89" t="s">
        <v>2110</v>
      </c>
      <c r="C894" s="96" t="s">
        <v>998</v>
      </c>
    </row>
    <row r="895" spans="1:3" ht="15">
      <c r="A895" s="90" t="s">
        <v>366</v>
      </c>
      <c r="B895" s="89" t="s">
        <v>2125</v>
      </c>
      <c r="C895" s="96" t="s">
        <v>998</v>
      </c>
    </row>
    <row r="896" spans="1:3" ht="15">
      <c r="A896" s="90" t="s">
        <v>366</v>
      </c>
      <c r="B896" s="89" t="s">
        <v>2400</v>
      </c>
      <c r="C896" s="96" t="s">
        <v>998</v>
      </c>
    </row>
    <row r="897" spans="1:3" ht="15">
      <c r="A897" s="90" t="s">
        <v>366</v>
      </c>
      <c r="B897" s="89" t="s">
        <v>2127</v>
      </c>
      <c r="C897" s="96" t="s">
        <v>998</v>
      </c>
    </row>
    <row r="898" spans="1:3" ht="15">
      <c r="A898" s="90" t="s">
        <v>366</v>
      </c>
      <c r="B898" s="89" t="s">
        <v>2401</v>
      </c>
      <c r="C898" s="96" t="s">
        <v>998</v>
      </c>
    </row>
    <row r="899" spans="1:3" ht="15">
      <c r="A899" s="90" t="s">
        <v>366</v>
      </c>
      <c r="B899" s="89" t="s">
        <v>2402</v>
      </c>
      <c r="C899" s="96" t="s">
        <v>998</v>
      </c>
    </row>
    <row r="900" spans="1:3" ht="15">
      <c r="A900" s="90" t="s">
        <v>366</v>
      </c>
      <c r="B900" s="89" t="s">
        <v>2403</v>
      </c>
      <c r="C900" s="96" t="s">
        <v>998</v>
      </c>
    </row>
    <row r="901" spans="1:3" ht="15">
      <c r="A901" s="90" t="s">
        <v>366</v>
      </c>
      <c r="B901" s="89" t="s">
        <v>2404</v>
      </c>
      <c r="C901" s="96" t="s">
        <v>998</v>
      </c>
    </row>
    <row r="902" spans="1:3" ht="15">
      <c r="A902" s="90" t="s">
        <v>366</v>
      </c>
      <c r="B902" s="89" t="s">
        <v>2115</v>
      </c>
      <c r="C902" s="96" t="s">
        <v>998</v>
      </c>
    </row>
    <row r="903" spans="1:3" ht="15">
      <c r="A903" s="90" t="s">
        <v>366</v>
      </c>
      <c r="B903" s="89" t="s">
        <v>2116</v>
      </c>
      <c r="C903" s="96" t="s">
        <v>998</v>
      </c>
    </row>
    <row r="904" spans="1:3" ht="15">
      <c r="A904" s="90" t="s">
        <v>366</v>
      </c>
      <c r="B904" s="89" t="s">
        <v>2117</v>
      </c>
      <c r="C904" s="96" t="s">
        <v>998</v>
      </c>
    </row>
    <row r="905" spans="1:3" ht="15">
      <c r="A905" s="90" t="s">
        <v>366</v>
      </c>
      <c r="B905" s="89" t="s">
        <v>2118</v>
      </c>
      <c r="C905" s="96" t="s">
        <v>998</v>
      </c>
    </row>
    <row r="906" spans="1:3" ht="15">
      <c r="A906" s="90" t="s">
        <v>366</v>
      </c>
      <c r="B906" s="89" t="s">
        <v>2119</v>
      </c>
      <c r="C906" s="96" t="s">
        <v>998</v>
      </c>
    </row>
    <row r="907" spans="1:3" ht="15">
      <c r="A907" s="90" t="s">
        <v>366</v>
      </c>
      <c r="B907" s="89" t="s">
        <v>2129</v>
      </c>
      <c r="C907" s="96" t="s">
        <v>998</v>
      </c>
    </row>
    <row r="908" spans="1:3" ht="15">
      <c r="A908" s="90" t="s">
        <v>366</v>
      </c>
      <c r="B908" s="89" t="s">
        <v>2120</v>
      </c>
      <c r="C908" s="96" t="s">
        <v>998</v>
      </c>
    </row>
    <row r="909" spans="1:3" ht="15">
      <c r="A909" s="90" t="s">
        <v>366</v>
      </c>
      <c r="B909" s="89" t="s">
        <v>2121</v>
      </c>
      <c r="C909" s="96" t="s">
        <v>998</v>
      </c>
    </row>
    <row r="910" spans="1:3" ht="15">
      <c r="A910" s="90" t="s">
        <v>366</v>
      </c>
      <c r="B910" s="89" t="s">
        <v>2122</v>
      </c>
      <c r="C910" s="96" t="s">
        <v>998</v>
      </c>
    </row>
    <row r="911" spans="1:3" ht="15">
      <c r="A911" s="90" t="s">
        <v>366</v>
      </c>
      <c r="B911" s="89" t="s">
        <v>2130</v>
      </c>
      <c r="C911" s="96" t="s">
        <v>998</v>
      </c>
    </row>
    <row r="912" spans="1:3" ht="15">
      <c r="A912" s="90" t="s">
        <v>366</v>
      </c>
      <c r="B912" s="89" t="s">
        <v>2131</v>
      </c>
      <c r="C912" s="96" t="s">
        <v>998</v>
      </c>
    </row>
    <row r="913" spans="1:3" ht="15">
      <c r="A913" s="90" t="s">
        <v>366</v>
      </c>
      <c r="B913" s="89" t="s">
        <v>2123</v>
      </c>
      <c r="C913" s="96" t="s">
        <v>998</v>
      </c>
    </row>
    <row r="914" spans="1:3" ht="15">
      <c r="A914" s="90" t="s">
        <v>366</v>
      </c>
      <c r="B914" s="89" t="s">
        <v>2114</v>
      </c>
      <c r="C914" s="96" t="s">
        <v>998</v>
      </c>
    </row>
    <row r="915" spans="1:3" ht="15">
      <c r="A915" s="90" t="s">
        <v>365</v>
      </c>
      <c r="B915" s="89" t="s">
        <v>2360</v>
      </c>
      <c r="C915" s="96" t="s">
        <v>997</v>
      </c>
    </row>
    <row r="916" spans="1:3" ht="15">
      <c r="A916" s="90" t="s">
        <v>365</v>
      </c>
      <c r="B916" s="89" t="s">
        <v>2140</v>
      </c>
      <c r="C916" s="96" t="s">
        <v>997</v>
      </c>
    </row>
    <row r="917" spans="1:3" ht="15">
      <c r="A917" s="90" t="s">
        <v>365</v>
      </c>
      <c r="B917" s="89" t="s">
        <v>2124</v>
      </c>
      <c r="C917" s="96" t="s">
        <v>997</v>
      </c>
    </row>
    <row r="918" spans="1:3" ht="15">
      <c r="A918" s="90" t="s">
        <v>365</v>
      </c>
      <c r="B918" s="89" t="s">
        <v>2132</v>
      </c>
      <c r="C918" s="96" t="s">
        <v>997</v>
      </c>
    </row>
    <row r="919" spans="1:3" ht="15">
      <c r="A919" s="90" t="s">
        <v>365</v>
      </c>
      <c r="B919" s="89" t="s">
        <v>2361</v>
      </c>
      <c r="C919" s="96" t="s">
        <v>997</v>
      </c>
    </row>
    <row r="920" spans="1:3" ht="15">
      <c r="A920" s="90" t="s">
        <v>365</v>
      </c>
      <c r="B920" s="89" t="s">
        <v>2141</v>
      </c>
      <c r="C920" s="96" t="s">
        <v>997</v>
      </c>
    </row>
    <row r="921" spans="1:3" ht="15">
      <c r="A921" s="90" t="s">
        <v>365</v>
      </c>
      <c r="B921" s="89" t="s">
        <v>2362</v>
      </c>
      <c r="C921" s="96" t="s">
        <v>997</v>
      </c>
    </row>
    <row r="922" spans="1:3" ht="15">
      <c r="A922" s="90" t="s">
        <v>365</v>
      </c>
      <c r="B922" s="89" t="s">
        <v>2142</v>
      </c>
      <c r="C922" s="96" t="s">
        <v>997</v>
      </c>
    </row>
    <row r="923" spans="1:3" ht="15">
      <c r="A923" s="90" t="s">
        <v>365</v>
      </c>
      <c r="B923" s="89" t="s">
        <v>2363</v>
      </c>
      <c r="C923" s="96" t="s">
        <v>997</v>
      </c>
    </row>
    <row r="924" spans="1:3" ht="15">
      <c r="A924" s="90" t="s">
        <v>365</v>
      </c>
      <c r="B924" s="89" t="s">
        <v>2143</v>
      </c>
      <c r="C924" s="96" t="s">
        <v>997</v>
      </c>
    </row>
    <row r="925" spans="1:3" ht="15">
      <c r="A925" s="90" t="s">
        <v>365</v>
      </c>
      <c r="B925" s="89" t="s">
        <v>2144</v>
      </c>
      <c r="C925" s="96" t="s">
        <v>997</v>
      </c>
    </row>
    <row r="926" spans="1:3" ht="15">
      <c r="A926" s="90" t="s">
        <v>365</v>
      </c>
      <c r="B926" s="89" t="s">
        <v>2364</v>
      </c>
      <c r="C926" s="96" t="s">
        <v>997</v>
      </c>
    </row>
    <row r="927" spans="1:3" ht="15">
      <c r="A927" s="90" t="s">
        <v>365</v>
      </c>
      <c r="B927" s="89" t="s">
        <v>2133</v>
      </c>
      <c r="C927" s="96" t="s">
        <v>997</v>
      </c>
    </row>
    <row r="928" spans="1:3" ht="15">
      <c r="A928" s="90" t="s">
        <v>365</v>
      </c>
      <c r="B928" s="89" t="s">
        <v>2134</v>
      </c>
      <c r="C928" s="96" t="s">
        <v>997</v>
      </c>
    </row>
    <row r="929" spans="1:3" ht="15">
      <c r="A929" s="90" t="s">
        <v>365</v>
      </c>
      <c r="B929" s="89" t="s">
        <v>2135</v>
      </c>
      <c r="C929" s="96" t="s">
        <v>997</v>
      </c>
    </row>
    <row r="930" spans="1:3" ht="15">
      <c r="A930" s="90" t="s">
        <v>365</v>
      </c>
      <c r="B930" s="89" t="s">
        <v>2136</v>
      </c>
      <c r="C930" s="96" t="s">
        <v>997</v>
      </c>
    </row>
    <row r="931" spans="1:3" ht="15">
      <c r="A931" s="90" t="s">
        <v>365</v>
      </c>
      <c r="B931" s="89" t="s">
        <v>2137</v>
      </c>
      <c r="C931" s="96" t="s">
        <v>997</v>
      </c>
    </row>
    <row r="932" spans="1:3" ht="15">
      <c r="A932" s="90" t="s">
        <v>365</v>
      </c>
      <c r="B932" s="89" t="s">
        <v>2365</v>
      </c>
      <c r="C932" s="96" t="s">
        <v>997</v>
      </c>
    </row>
    <row r="933" spans="1:3" ht="15">
      <c r="A933" s="90" t="s">
        <v>365</v>
      </c>
      <c r="B933" s="89" t="s">
        <v>2366</v>
      </c>
      <c r="C933" s="96" t="s">
        <v>997</v>
      </c>
    </row>
    <row r="934" spans="1:3" ht="15">
      <c r="A934" s="90" t="s">
        <v>365</v>
      </c>
      <c r="B934" s="89">
        <v>16</v>
      </c>
      <c r="C934" s="96" t="s">
        <v>997</v>
      </c>
    </row>
    <row r="935" spans="1:3" ht="15">
      <c r="A935" s="90" t="s">
        <v>365</v>
      </c>
      <c r="B935" s="89">
        <v>1</v>
      </c>
      <c r="C935" s="96" t="s">
        <v>997</v>
      </c>
    </row>
    <row r="936" spans="1:3" ht="15">
      <c r="A936" s="90" t="s">
        <v>365</v>
      </c>
      <c r="B936" s="89">
        <v>22</v>
      </c>
      <c r="C936" s="96" t="s">
        <v>997</v>
      </c>
    </row>
    <row r="937" spans="1:3" ht="15">
      <c r="A937" s="90" t="s">
        <v>365</v>
      </c>
      <c r="B937" s="89" t="s">
        <v>560</v>
      </c>
      <c r="C937" s="96" t="s">
        <v>997</v>
      </c>
    </row>
    <row r="938" spans="1:3" ht="15">
      <c r="A938" s="90" t="s">
        <v>365</v>
      </c>
      <c r="B938" s="89" t="s">
        <v>2367</v>
      </c>
      <c r="C938" s="96" t="s">
        <v>997</v>
      </c>
    </row>
    <row r="939" spans="1:3" ht="15">
      <c r="A939" s="90" t="s">
        <v>364</v>
      </c>
      <c r="B939" s="89" t="s">
        <v>443</v>
      </c>
      <c r="C939" s="96" t="s">
        <v>996</v>
      </c>
    </row>
    <row r="940" spans="1:3" ht="15">
      <c r="A940" s="90" t="s">
        <v>364</v>
      </c>
      <c r="B940" s="89" t="s">
        <v>2484</v>
      </c>
      <c r="C940" s="96" t="s">
        <v>996</v>
      </c>
    </row>
    <row r="941" spans="1:3" ht="15">
      <c r="A941" s="90" t="s">
        <v>364</v>
      </c>
      <c r="B941" s="89" t="s">
        <v>2369</v>
      </c>
      <c r="C941" s="96" t="s">
        <v>996</v>
      </c>
    </row>
    <row r="942" spans="1:3" ht="15">
      <c r="A942" s="90" t="s">
        <v>364</v>
      </c>
      <c r="B942" s="89" t="s">
        <v>2370</v>
      </c>
      <c r="C942" s="96" t="s">
        <v>996</v>
      </c>
    </row>
    <row r="943" spans="1:3" ht="15">
      <c r="A943" s="90" t="s">
        <v>364</v>
      </c>
      <c r="B943" s="89" t="s">
        <v>2382</v>
      </c>
      <c r="C943" s="96" t="s">
        <v>996</v>
      </c>
    </row>
    <row r="944" spans="1:3" ht="15">
      <c r="A944" s="90" t="s">
        <v>364</v>
      </c>
      <c r="B944" s="89" t="s">
        <v>2383</v>
      </c>
      <c r="C944" s="96" t="s">
        <v>996</v>
      </c>
    </row>
    <row r="945" spans="1:3" ht="15">
      <c r="A945" s="90" t="s">
        <v>364</v>
      </c>
      <c r="B945" s="89" t="s">
        <v>2485</v>
      </c>
      <c r="C945" s="96" t="s">
        <v>996</v>
      </c>
    </row>
    <row r="946" spans="1:3" ht="15">
      <c r="A946" s="90" t="s">
        <v>364</v>
      </c>
      <c r="B946" s="89" t="s">
        <v>2486</v>
      </c>
      <c r="C946" s="96" t="s">
        <v>996</v>
      </c>
    </row>
    <row r="947" spans="1:3" ht="15">
      <c r="A947" s="90" t="s">
        <v>364</v>
      </c>
      <c r="B947" s="89" t="s">
        <v>2487</v>
      </c>
      <c r="C947" s="96" t="s">
        <v>996</v>
      </c>
    </row>
    <row r="948" spans="1:3" ht="15">
      <c r="A948" s="90" t="s">
        <v>364</v>
      </c>
      <c r="B948" s="89" t="s">
        <v>2376</v>
      </c>
      <c r="C948" s="96" t="s">
        <v>996</v>
      </c>
    </row>
    <row r="949" spans="1:3" ht="15">
      <c r="A949" s="90" t="s">
        <v>364</v>
      </c>
      <c r="B949" s="89" t="s">
        <v>2488</v>
      </c>
      <c r="C949" s="96" t="s">
        <v>996</v>
      </c>
    </row>
    <row r="950" spans="1:3" ht="15">
      <c r="A950" s="90" t="s">
        <v>364</v>
      </c>
      <c r="B950" s="89" t="s">
        <v>2464</v>
      </c>
      <c r="C950" s="96" t="s">
        <v>996</v>
      </c>
    </row>
    <row r="951" spans="1:3" ht="15">
      <c r="A951" s="90" t="s">
        <v>364</v>
      </c>
      <c r="B951" s="89" t="s">
        <v>2489</v>
      </c>
      <c r="C951" s="96" t="s">
        <v>996</v>
      </c>
    </row>
    <row r="952" spans="1:3" ht="15">
      <c r="A952" s="90" t="s">
        <v>364</v>
      </c>
      <c r="B952" s="89" t="s">
        <v>2361</v>
      </c>
      <c r="C952" s="96" t="s">
        <v>996</v>
      </c>
    </row>
    <row r="953" spans="1:3" ht="15">
      <c r="A953" s="90" t="s">
        <v>364</v>
      </c>
      <c r="B953" s="89" t="s">
        <v>2490</v>
      </c>
      <c r="C953" s="96" t="s">
        <v>996</v>
      </c>
    </row>
    <row r="954" spans="1:3" ht="15">
      <c r="A954" s="90" t="s">
        <v>364</v>
      </c>
      <c r="B954" s="89" t="s">
        <v>2491</v>
      </c>
      <c r="C954" s="96" t="s">
        <v>996</v>
      </c>
    </row>
    <row r="955" spans="1:3" ht="15">
      <c r="A955" s="90" t="s">
        <v>364</v>
      </c>
      <c r="B955" s="89" t="s">
        <v>2492</v>
      </c>
      <c r="C955" s="96" t="s">
        <v>996</v>
      </c>
    </row>
    <row r="956" spans="1:3" ht="15">
      <c r="A956" s="90" t="s">
        <v>364</v>
      </c>
      <c r="B956" s="89" t="s">
        <v>2428</v>
      </c>
      <c r="C956" s="96" t="s">
        <v>996</v>
      </c>
    </row>
    <row r="957" spans="1:3" ht="15">
      <c r="A957" s="90" t="s">
        <v>364</v>
      </c>
      <c r="B957" s="89" t="s">
        <v>2493</v>
      </c>
      <c r="C957" s="96" t="s">
        <v>996</v>
      </c>
    </row>
    <row r="958" spans="1:3" ht="15">
      <c r="A958" s="90" t="s">
        <v>364</v>
      </c>
      <c r="B958" s="89" t="s">
        <v>2494</v>
      </c>
      <c r="C958" s="96" t="s">
        <v>996</v>
      </c>
    </row>
    <row r="959" spans="1:3" ht="15">
      <c r="A959" s="90" t="s">
        <v>364</v>
      </c>
      <c r="B959" s="89" t="s">
        <v>2261</v>
      </c>
      <c r="C959" s="96" t="s">
        <v>996</v>
      </c>
    </row>
    <row r="960" spans="1:3" ht="15">
      <c r="A960" s="90" t="s">
        <v>364</v>
      </c>
      <c r="B960" s="89" t="s">
        <v>2495</v>
      </c>
      <c r="C960" s="96" t="s">
        <v>996</v>
      </c>
    </row>
    <row r="961" spans="1:3" ht="15">
      <c r="A961" s="90" t="s">
        <v>364</v>
      </c>
      <c r="B961" s="89" t="s">
        <v>2496</v>
      </c>
      <c r="C961" s="96" t="s">
        <v>996</v>
      </c>
    </row>
    <row r="962" spans="1:3" ht="15">
      <c r="A962" s="90" t="s">
        <v>364</v>
      </c>
      <c r="B962" s="89" t="s">
        <v>2497</v>
      </c>
      <c r="C962" s="96" t="s">
        <v>996</v>
      </c>
    </row>
    <row r="963" spans="1:3" ht="15">
      <c r="A963" s="90" t="s">
        <v>364</v>
      </c>
      <c r="B963" s="89" t="s">
        <v>2498</v>
      </c>
      <c r="C963" s="96" t="s">
        <v>996</v>
      </c>
    </row>
    <row r="964" spans="1:3" ht="15">
      <c r="A964" s="90" t="s">
        <v>364</v>
      </c>
      <c r="B964" s="89" t="s">
        <v>2499</v>
      </c>
      <c r="C964" s="96" t="s">
        <v>996</v>
      </c>
    </row>
    <row r="965" spans="1:3" ht="15">
      <c r="A965" s="90" t="s">
        <v>364</v>
      </c>
      <c r="B965" s="89" t="s">
        <v>2500</v>
      </c>
      <c r="C965" s="96" t="s">
        <v>996</v>
      </c>
    </row>
    <row r="966" spans="1:3" ht="15">
      <c r="A966" s="90" t="s">
        <v>364</v>
      </c>
      <c r="B966" s="89" t="s">
        <v>2194</v>
      </c>
      <c r="C966" s="96" t="s">
        <v>996</v>
      </c>
    </row>
    <row r="967" spans="1:3" ht="15">
      <c r="A967" s="90" t="s">
        <v>364</v>
      </c>
      <c r="B967" s="89" t="s">
        <v>2501</v>
      </c>
      <c r="C967" s="96" t="s">
        <v>996</v>
      </c>
    </row>
    <row r="968" spans="1:3" ht="15">
      <c r="A968" s="90" t="s">
        <v>363</v>
      </c>
      <c r="B968" s="89" t="s">
        <v>2502</v>
      </c>
      <c r="C968" s="96" t="s">
        <v>993</v>
      </c>
    </row>
    <row r="969" spans="1:3" ht="15">
      <c r="A969" s="90" t="s">
        <v>363</v>
      </c>
      <c r="B969" s="89" t="s">
        <v>2503</v>
      </c>
      <c r="C969" s="96" t="s">
        <v>993</v>
      </c>
    </row>
    <row r="970" spans="1:3" ht="15">
      <c r="A970" s="90" t="s">
        <v>363</v>
      </c>
      <c r="B970" s="89" t="s">
        <v>442</v>
      </c>
      <c r="C970" s="96" t="s">
        <v>993</v>
      </c>
    </row>
    <row r="971" spans="1:3" ht="15">
      <c r="A971" s="90" t="s">
        <v>363</v>
      </c>
      <c r="B971" s="89" t="s">
        <v>2504</v>
      </c>
      <c r="C971" s="96" t="s">
        <v>993</v>
      </c>
    </row>
    <row r="972" spans="1:3" ht="15">
      <c r="A972" s="90" t="s">
        <v>363</v>
      </c>
      <c r="B972" s="89" t="s">
        <v>2505</v>
      </c>
      <c r="C972" s="96" t="s">
        <v>993</v>
      </c>
    </row>
    <row r="973" spans="1:3" ht="15">
      <c r="A973" s="90" t="s">
        <v>363</v>
      </c>
      <c r="B973" s="89" t="s">
        <v>2194</v>
      </c>
      <c r="C973" s="96" t="s">
        <v>993</v>
      </c>
    </row>
    <row r="974" spans="1:3" ht="15">
      <c r="A974" s="90" t="s">
        <v>363</v>
      </c>
      <c r="B974" s="89" t="s">
        <v>2431</v>
      </c>
      <c r="C974" s="96" t="s">
        <v>993</v>
      </c>
    </row>
    <row r="975" spans="1:3" ht="15">
      <c r="A975" s="90" t="s">
        <v>363</v>
      </c>
      <c r="B975" s="89" t="s">
        <v>416</v>
      </c>
      <c r="C975" s="96" t="s">
        <v>993</v>
      </c>
    </row>
    <row r="976" spans="1:3" ht="15">
      <c r="A976" s="90" t="s">
        <v>363</v>
      </c>
      <c r="B976" s="89" t="s">
        <v>2499</v>
      </c>
      <c r="C976" s="96" t="s">
        <v>993</v>
      </c>
    </row>
    <row r="977" spans="1:3" ht="15">
      <c r="A977" s="90" t="s">
        <v>363</v>
      </c>
      <c r="B977" s="89" t="s">
        <v>2506</v>
      </c>
      <c r="C977" s="96" t="s">
        <v>993</v>
      </c>
    </row>
    <row r="978" spans="1:3" ht="15">
      <c r="A978" s="90" t="s">
        <v>363</v>
      </c>
      <c r="B978" s="89" t="s">
        <v>2507</v>
      </c>
      <c r="C978" s="96" t="s">
        <v>993</v>
      </c>
    </row>
    <row r="979" spans="1:3" ht="15">
      <c r="A979" s="90" t="s">
        <v>363</v>
      </c>
      <c r="B979" s="89" t="s">
        <v>2508</v>
      </c>
      <c r="C979" s="96" t="s">
        <v>993</v>
      </c>
    </row>
    <row r="980" spans="1:3" ht="15">
      <c r="A980" s="90" t="s">
        <v>363</v>
      </c>
      <c r="B980" s="89" t="s">
        <v>2509</v>
      </c>
      <c r="C980" s="96" t="s">
        <v>993</v>
      </c>
    </row>
    <row r="981" spans="1:3" ht="15">
      <c r="A981" s="90" t="s">
        <v>363</v>
      </c>
      <c r="B981" s="89" t="s">
        <v>2361</v>
      </c>
      <c r="C981" s="96" t="s">
        <v>993</v>
      </c>
    </row>
    <row r="982" spans="1:3" ht="15">
      <c r="A982" s="90" t="s">
        <v>363</v>
      </c>
      <c r="B982" s="89" t="s">
        <v>2510</v>
      </c>
      <c r="C982" s="96" t="s">
        <v>993</v>
      </c>
    </row>
    <row r="983" spans="1:3" ht="15">
      <c r="A983" s="90" t="s">
        <v>363</v>
      </c>
      <c r="B983" s="89" t="s">
        <v>2511</v>
      </c>
      <c r="C983" s="96" t="s">
        <v>993</v>
      </c>
    </row>
    <row r="984" spans="1:3" ht="15">
      <c r="A984" s="90" t="s">
        <v>363</v>
      </c>
      <c r="B984" s="89" t="s">
        <v>2376</v>
      </c>
      <c r="C984" s="96" t="s">
        <v>993</v>
      </c>
    </row>
    <row r="985" spans="1:3" ht="15">
      <c r="A985" s="90" t="s">
        <v>363</v>
      </c>
      <c r="B985" s="89" t="s">
        <v>2360</v>
      </c>
      <c r="C985" s="96" t="s">
        <v>995</v>
      </c>
    </row>
    <row r="986" spans="1:3" ht="15">
      <c r="A986" s="90" t="s">
        <v>363</v>
      </c>
      <c r="B986" s="89" t="s">
        <v>2140</v>
      </c>
      <c r="C986" s="96" t="s">
        <v>995</v>
      </c>
    </row>
    <row r="987" spans="1:3" ht="15">
      <c r="A987" s="90" t="s">
        <v>363</v>
      </c>
      <c r="B987" s="89" t="s">
        <v>2124</v>
      </c>
      <c r="C987" s="96" t="s">
        <v>995</v>
      </c>
    </row>
    <row r="988" spans="1:3" ht="15">
      <c r="A988" s="90" t="s">
        <v>363</v>
      </c>
      <c r="B988" s="89" t="s">
        <v>2132</v>
      </c>
      <c r="C988" s="96" t="s">
        <v>995</v>
      </c>
    </row>
    <row r="989" spans="1:3" ht="15">
      <c r="A989" s="90" t="s">
        <v>363</v>
      </c>
      <c r="B989" s="89" t="s">
        <v>2361</v>
      </c>
      <c r="C989" s="96" t="s">
        <v>995</v>
      </c>
    </row>
    <row r="990" spans="1:3" ht="15">
      <c r="A990" s="90" t="s">
        <v>363</v>
      </c>
      <c r="B990" s="89" t="s">
        <v>2141</v>
      </c>
      <c r="C990" s="96" t="s">
        <v>995</v>
      </c>
    </row>
    <row r="991" spans="1:3" ht="15">
      <c r="A991" s="90" t="s">
        <v>363</v>
      </c>
      <c r="B991" s="89" t="s">
        <v>2362</v>
      </c>
      <c r="C991" s="96" t="s">
        <v>995</v>
      </c>
    </row>
    <row r="992" spans="1:3" ht="15">
      <c r="A992" s="90" t="s">
        <v>363</v>
      </c>
      <c r="B992" s="89" t="s">
        <v>2142</v>
      </c>
      <c r="C992" s="96" t="s">
        <v>995</v>
      </c>
    </row>
    <row r="993" spans="1:3" ht="15">
      <c r="A993" s="90" t="s">
        <v>363</v>
      </c>
      <c r="B993" s="89" t="s">
        <v>2363</v>
      </c>
      <c r="C993" s="96" t="s">
        <v>995</v>
      </c>
    </row>
    <row r="994" spans="1:3" ht="15">
      <c r="A994" s="90" t="s">
        <v>363</v>
      </c>
      <c r="B994" s="89" t="s">
        <v>2143</v>
      </c>
      <c r="C994" s="96" t="s">
        <v>995</v>
      </c>
    </row>
    <row r="995" spans="1:3" ht="15">
      <c r="A995" s="90" t="s">
        <v>363</v>
      </c>
      <c r="B995" s="89" t="s">
        <v>2144</v>
      </c>
      <c r="C995" s="96" t="s">
        <v>995</v>
      </c>
    </row>
    <row r="996" spans="1:3" ht="15">
      <c r="A996" s="90" t="s">
        <v>363</v>
      </c>
      <c r="B996" s="89" t="s">
        <v>2364</v>
      </c>
      <c r="C996" s="96" t="s">
        <v>995</v>
      </c>
    </row>
    <row r="997" spans="1:3" ht="15">
      <c r="A997" s="90" t="s">
        <v>363</v>
      </c>
      <c r="B997" s="89" t="s">
        <v>2133</v>
      </c>
      <c r="C997" s="96" t="s">
        <v>995</v>
      </c>
    </row>
    <row r="998" spans="1:3" ht="15">
      <c r="A998" s="90" t="s">
        <v>363</v>
      </c>
      <c r="B998" s="89" t="s">
        <v>2134</v>
      </c>
      <c r="C998" s="96" t="s">
        <v>995</v>
      </c>
    </row>
    <row r="999" spans="1:3" ht="15">
      <c r="A999" s="90" t="s">
        <v>363</v>
      </c>
      <c r="B999" s="89" t="s">
        <v>2135</v>
      </c>
      <c r="C999" s="96" t="s">
        <v>995</v>
      </c>
    </row>
    <row r="1000" spans="1:3" ht="15">
      <c r="A1000" s="90" t="s">
        <v>363</v>
      </c>
      <c r="B1000" s="89" t="s">
        <v>2136</v>
      </c>
      <c r="C1000" s="96" t="s">
        <v>995</v>
      </c>
    </row>
    <row r="1001" spans="1:3" ht="15">
      <c r="A1001" s="90" t="s">
        <v>363</v>
      </c>
      <c r="B1001" s="89" t="s">
        <v>2137</v>
      </c>
      <c r="C1001" s="96" t="s">
        <v>995</v>
      </c>
    </row>
    <row r="1002" spans="1:3" ht="15">
      <c r="A1002" s="90" t="s">
        <v>363</v>
      </c>
      <c r="B1002" s="89" t="s">
        <v>2365</v>
      </c>
      <c r="C1002" s="96" t="s">
        <v>995</v>
      </c>
    </row>
    <row r="1003" spans="1:3" ht="15">
      <c r="A1003" s="90" t="s">
        <v>363</v>
      </c>
      <c r="B1003" s="89" t="s">
        <v>2366</v>
      </c>
      <c r="C1003" s="96" t="s">
        <v>995</v>
      </c>
    </row>
    <row r="1004" spans="1:3" ht="15">
      <c r="A1004" s="90" t="s">
        <v>363</v>
      </c>
      <c r="B1004" s="89">
        <v>16</v>
      </c>
      <c r="C1004" s="96" t="s">
        <v>995</v>
      </c>
    </row>
    <row r="1005" spans="1:3" ht="15">
      <c r="A1005" s="90" t="s">
        <v>363</v>
      </c>
      <c r="B1005" s="89">
        <v>1</v>
      </c>
      <c r="C1005" s="96" t="s">
        <v>995</v>
      </c>
    </row>
    <row r="1006" spans="1:3" ht="15">
      <c r="A1006" s="90" t="s">
        <v>363</v>
      </c>
      <c r="B1006" s="89">
        <v>22</v>
      </c>
      <c r="C1006" s="96" t="s">
        <v>995</v>
      </c>
    </row>
    <row r="1007" spans="1:3" ht="15">
      <c r="A1007" s="90" t="s">
        <v>363</v>
      </c>
      <c r="B1007" s="89" t="s">
        <v>560</v>
      </c>
      <c r="C1007" s="96" t="s">
        <v>995</v>
      </c>
    </row>
    <row r="1008" spans="1:3" ht="15">
      <c r="A1008" s="90" t="s">
        <v>363</v>
      </c>
      <c r="B1008" s="89" t="s">
        <v>2367</v>
      </c>
      <c r="C1008" s="96" t="s">
        <v>995</v>
      </c>
    </row>
    <row r="1009" spans="1:3" ht="15">
      <c r="A1009" s="90" t="s">
        <v>363</v>
      </c>
      <c r="B1009" s="89" t="s">
        <v>2369</v>
      </c>
      <c r="C1009" s="96" t="s">
        <v>994</v>
      </c>
    </row>
    <row r="1010" spans="1:3" ht="15">
      <c r="A1010" s="90" t="s">
        <v>363</v>
      </c>
      <c r="B1010" s="89" t="s">
        <v>2370</v>
      </c>
      <c r="C1010" s="96" t="s">
        <v>994</v>
      </c>
    </row>
    <row r="1011" spans="1:3" ht="15">
      <c r="A1011" s="90" t="s">
        <v>363</v>
      </c>
      <c r="B1011" s="89" t="s">
        <v>2112</v>
      </c>
      <c r="C1011" s="96" t="s">
        <v>994</v>
      </c>
    </row>
    <row r="1012" spans="1:3" ht="15">
      <c r="A1012" s="90" t="s">
        <v>363</v>
      </c>
      <c r="B1012" s="89" t="s">
        <v>2113</v>
      </c>
      <c r="C1012" s="96" t="s">
        <v>994</v>
      </c>
    </row>
    <row r="1013" spans="1:3" ht="15">
      <c r="A1013" s="90" t="s">
        <v>362</v>
      </c>
      <c r="B1013" s="89" t="s">
        <v>2360</v>
      </c>
      <c r="C1013" s="96" t="s">
        <v>992</v>
      </c>
    </row>
    <row r="1014" spans="1:3" ht="15">
      <c r="A1014" s="90" t="s">
        <v>362</v>
      </c>
      <c r="B1014" s="89" t="s">
        <v>2140</v>
      </c>
      <c r="C1014" s="96" t="s">
        <v>992</v>
      </c>
    </row>
    <row r="1015" spans="1:3" ht="15">
      <c r="A1015" s="90" t="s">
        <v>362</v>
      </c>
      <c r="B1015" s="89" t="s">
        <v>2124</v>
      </c>
      <c r="C1015" s="96" t="s">
        <v>992</v>
      </c>
    </row>
    <row r="1016" spans="1:3" ht="15">
      <c r="A1016" s="90" t="s">
        <v>362</v>
      </c>
      <c r="B1016" s="89" t="s">
        <v>2132</v>
      </c>
      <c r="C1016" s="96" t="s">
        <v>992</v>
      </c>
    </row>
    <row r="1017" spans="1:3" ht="15">
      <c r="A1017" s="90" t="s">
        <v>362</v>
      </c>
      <c r="B1017" s="89" t="s">
        <v>2361</v>
      </c>
      <c r="C1017" s="96" t="s">
        <v>992</v>
      </c>
    </row>
    <row r="1018" spans="1:3" ht="15">
      <c r="A1018" s="90" t="s">
        <v>362</v>
      </c>
      <c r="B1018" s="89" t="s">
        <v>2141</v>
      </c>
      <c r="C1018" s="96" t="s">
        <v>992</v>
      </c>
    </row>
    <row r="1019" spans="1:3" ht="15">
      <c r="A1019" s="90" t="s">
        <v>362</v>
      </c>
      <c r="B1019" s="89" t="s">
        <v>2362</v>
      </c>
      <c r="C1019" s="96" t="s">
        <v>992</v>
      </c>
    </row>
    <row r="1020" spans="1:3" ht="15">
      <c r="A1020" s="90" t="s">
        <v>362</v>
      </c>
      <c r="B1020" s="89" t="s">
        <v>2142</v>
      </c>
      <c r="C1020" s="96" t="s">
        <v>992</v>
      </c>
    </row>
    <row r="1021" spans="1:3" ht="15">
      <c r="A1021" s="90" t="s">
        <v>362</v>
      </c>
      <c r="B1021" s="89" t="s">
        <v>2363</v>
      </c>
      <c r="C1021" s="96" t="s">
        <v>992</v>
      </c>
    </row>
    <row r="1022" spans="1:3" ht="15">
      <c r="A1022" s="90" t="s">
        <v>362</v>
      </c>
      <c r="B1022" s="89" t="s">
        <v>2143</v>
      </c>
      <c r="C1022" s="96" t="s">
        <v>992</v>
      </c>
    </row>
    <row r="1023" spans="1:3" ht="15">
      <c r="A1023" s="90" t="s">
        <v>362</v>
      </c>
      <c r="B1023" s="89" t="s">
        <v>2144</v>
      </c>
      <c r="C1023" s="96" t="s">
        <v>992</v>
      </c>
    </row>
    <row r="1024" spans="1:3" ht="15">
      <c r="A1024" s="90" t="s">
        <v>362</v>
      </c>
      <c r="B1024" s="89" t="s">
        <v>2364</v>
      </c>
      <c r="C1024" s="96" t="s">
        <v>992</v>
      </c>
    </row>
    <row r="1025" spans="1:3" ht="15">
      <c r="A1025" s="90" t="s">
        <v>362</v>
      </c>
      <c r="B1025" s="89" t="s">
        <v>2133</v>
      </c>
      <c r="C1025" s="96" t="s">
        <v>992</v>
      </c>
    </row>
    <row r="1026" spans="1:3" ht="15">
      <c r="A1026" s="90" t="s">
        <v>362</v>
      </c>
      <c r="B1026" s="89" t="s">
        <v>2134</v>
      </c>
      <c r="C1026" s="96" t="s">
        <v>992</v>
      </c>
    </row>
    <row r="1027" spans="1:3" ht="15">
      <c r="A1027" s="90" t="s">
        <v>362</v>
      </c>
      <c r="B1027" s="89" t="s">
        <v>2135</v>
      </c>
      <c r="C1027" s="96" t="s">
        <v>992</v>
      </c>
    </row>
    <row r="1028" spans="1:3" ht="15">
      <c r="A1028" s="90" t="s">
        <v>362</v>
      </c>
      <c r="B1028" s="89" t="s">
        <v>2136</v>
      </c>
      <c r="C1028" s="96" t="s">
        <v>992</v>
      </c>
    </row>
    <row r="1029" spans="1:3" ht="15">
      <c r="A1029" s="90" t="s">
        <v>362</v>
      </c>
      <c r="B1029" s="89" t="s">
        <v>2137</v>
      </c>
      <c r="C1029" s="96" t="s">
        <v>992</v>
      </c>
    </row>
    <row r="1030" spans="1:3" ht="15">
      <c r="A1030" s="90" t="s">
        <v>362</v>
      </c>
      <c r="B1030" s="89" t="s">
        <v>2365</v>
      </c>
      <c r="C1030" s="96" t="s">
        <v>992</v>
      </c>
    </row>
    <row r="1031" spans="1:3" ht="15">
      <c r="A1031" s="90" t="s">
        <v>362</v>
      </c>
      <c r="B1031" s="89" t="s">
        <v>2366</v>
      </c>
      <c r="C1031" s="96" t="s">
        <v>992</v>
      </c>
    </row>
    <row r="1032" spans="1:3" ht="15">
      <c r="A1032" s="90" t="s">
        <v>362</v>
      </c>
      <c r="B1032" s="89">
        <v>16</v>
      </c>
      <c r="C1032" s="96" t="s">
        <v>992</v>
      </c>
    </row>
    <row r="1033" spans="1:3" ht="15">
      <c r="A1033" s="90" t="s">
        <v>362</v>
      </c>
      <c r="B1033" s="89">
        <v>1</v>
      </c>
      <c r="C1033" s="96" t="s">
        <v>992</v>
      </c>
    </row>
    <row r="1034" spans="1:3" ht="15">
      <c r="A1034" s="90" t="s">
        <v>362</v>
      </c>
      <c r="B1034" s="89">
        <v>22</v>
      </c>
      <c r="C1034" s="96" t="s">
        <v>992</v>
      </c>
    </row>
    <row r="1035" spans="1:3" ht="15">
      <c r="A1035" s="90" t="s">
        <v>362</v>
      </c>
      <c r="B1035" s="89" t="s">
        <v>560</v>
      </c>
      <c r="C1035" s="96" t="s">
        <v>992</v>
      </c>
    </row>
    <row r="1036" spans="1:3" ht="15">
      <c r="A1036" s="90" t="s">
        <v>362</v>
      </c>
      <c r="B1036" s="89" t="s">
        <v>2367</v>
      </c>
      <c r="C1036" s="96" t="s">
        <v>992</v>
      </c>
    </row>
    <row r="1037" spans="1:3" ht="15">
      <c r="A1037" s="90" t="s">
        <v>361</v>
      </c>
      <c r="B1037" s="89" t="s">
        <v>2360</v>
      </c>
      <c r="C1037" s="96" t="s">
        <v>991</v>
      </c>
    </row>
    <row r="1038" spans="1:3" ht="15">
      <c r="A1038" s="90" t="s">
        <v>361</v>
      </c>
      <c r="B1038" s="89" t="s">
        <v>2140</v>
      </c>
      <c r="C1038" s="96" t="s">
        <v>991</v>
      </c>
    </row>
    <row r="1039" spans="1:3" ht="15">
      <c r="A1039" s="90" t="s">
        <v>361</v>
      </c>
      <c r="B1039" s="89" t="s">
        <v>2124</v>
      </c>
      <c r="C1039" s="96" t="s">
        <v>991</v>
      </c>
    </row>
    <row r="1040" spans="1:3" ht="15">
      <c r="A1040" s="90" t="s">
        <v>361</v>
      </c>
      <c r="B1040" s="89" t="s">
        <v>2132</v>
      </c>
      <c r="C1040" s="96" t="s">
        <v>991</v>
      </c>
    </row>
    <row r="1041" spans="1:3" ht="15">
      <c r="A1041" s="90" t="s">
        <v>361</v>
      </c>
      <c r="B1041" s="89" t="s">
        <v>2361</v>
      </c>
      <c r="C1041" s="96" t="s">
        <v>991</v>
      </c>
    </row>
    <row r="1042" spans="1:3" ht="15">
      <c r="A1042" s="90" t="s">
        <v>361</v>
      </c>
      <c r="B1042" s="89" t="s">
        <v>2141</v>
      </c>
      <c r="C1042" s="96" t="s">
        <v>991</v>
      </c>
    </row>
    <row r="1043" spans="1:3" ht="15">
      <c r="A1043" s="90" t="s">
        <v>361</v>
      </c>
      <c r="B1043" s="89" t="s">
        <v>2362</v>
      </c>
      <c r="C1043" s="96" t="s">
        <v>991</v>
      </c>
    </row>
    <row r="1044" spans="1:3" ht="15">
      <c r="A1044" s="90" t="s">
        <v>361</v>
      </c>
      <c r="B1044" s="89" t="s">
        <v>2142</v>
      </c>
      <c r="C1044" s="96" t="s">
        <v>991</v>
      </c>
    </row>
    <row r="1045" spans="1:3" ht="15">
      <c r="A1045" s="90" t="s">
        <v>361</v>
      </c>
      <c r="B1045" s="89" t="s">
        <v>2363</v>
      </c>
      <c r="C1045" s="96" t="s">
        <v>991</v>
      </c>
    </row>
    <row r="1046" spans="1:3" ht="15">
      <c r="A1046" s="90" t="s">
        <v>361</v>
      </c>
      <c r="B1046" s="89" t="s">
        <v>2143</v>
      </c>
      <c r="C1046" s="96" t="s">
        <v>991</v>
      </c>
    </row>
    <row r="1047" spans="1:3" ht="15">
      <c r="A1047" s="90" t="s">
        <v>361</v>
      </c>
      <c r="B1047" s="89" t="s">
        <v>2144</v>
      </c>
      <c r="C1047" s="96" t="s">
        <v>991</v>
      </c>
    </row>
    <row r="1048" spans="1:3" ht="15">
      <c r="A1048" s="90" t="s">
        <v>361</v>
      </c>
      <c r="B1048" s="89" t="s">
        <v>2364</v>
      </c>
      <c r="C1048" s="96" t="s">
        <v>991</v>
      </c>
    </row>
    <row r="1049" spans="1:3" ht="15">
      <c r="A1049" s="90" t="s">
        <v>361</v>
      </c>
      <c r="B1049" s="89" t="s">
        <v>2133</v>
      </c>
      <c r="C1049" s="96" t="s">
        <v>991</v>
      </c>
    </row>
    <row r="1050" spans="1:3" ht="15">
      <c r="A1050" s="90" t="s">
        <v>361</v>
      </c>
      <c r="B1050" s="89" t="s">
        <v>2134</v>
      </c>
      <c r="C1050" s="96" t="s">
        <v>991</v>
      </c>
    </row>
    <row r="1051" spans="1:3" ht="15">
      <c r="A1051" s="90" t="s">
        <v>361</v>
      </c>
      <c r="B1051" s="89" t="s">
        <v>2135</v>
      </c>
      <c r="C1051" s="96" t="s">
        <v>991</v>
      </c>
    </row>
    <row r="1052" spans="1:3" ht="15">
      <c r="A1052" s="90" t="s">
        <v>361</v>
      </c>
      <c r="B1052" s="89" t="s">
        <v>2136</v>
      </c>
      <c r="C1052" s="96" t="s">
        <v>991</v>
      </c>
    </row>
    <row r="1053" spans="1:3" ht="15">
      <c r="A1053" s="90" t="s">
        <v>361</v>
      </c>
      <c r="B1053" s="89" t="s">
        <v>2137</v>
      </c>
      <c r="C1053" s="96" t="s">
        <v>991</v>
      </c>
    </row>
    <row r="1054" spans="1:3" ht="15">
      <c r="A1054" s="90" t="s">
        <v>361</v>
      </c>
      <c r="B1054" s="89" t="s">
        <v>2365</v>
      </c>
      <c r="C1054" s="96" t="s">
        <v>991</v>
      </c>
    </row>
    <row r="1055" spans="1:3" ht="15">
      <c r="A1055" s="90" t="s">
        <v>361</v>
      </c>
      <c r="B1055" s="89" t="s">
        <v>2366</v>
      </c>
      <c r="C1055" s="96" t="s">
        <v>991</v>
      </c>
    </row>
    <row r="1056" spans="1:3" ht="15">
      <c r="A1056" s="90" t="s">
        <v>361</v>
      </c>
      <c r="B1056" s="89">
        <v>16</v>
      </c>
      <c r="C1056" s="96" t="s">
        <v>991</v>
      </c>
    </row>
    <row r="1057" spans="1:3" ht="15">
      <c r="A1057" s="90" t="s">
        <v>361</v>
      </c>
      <c r="B1057" s="89">
        <v>1</v>
      </c>
      <c r="C1057" s="96" t="s">
        <v>991</v>
      </c>
    </row>
    <row r="1058" spans="1:3" ht="15">
      <c r="A1058" s="90" t="s">
        <v>361</v>
      </c>
      <c r="B1058" s="89">
        <v>22</v>
      </c>
      <c r="C1058" s="96" t="s">
        <v>991</v>
      </c>
    </row>
    <row r="1059" spans="1:3" ht="15">
      <c r="A1059" s="90" t="s">
        <v>361</v>
      </c>
      <c r="B1059" s="89" t="s">
        <v>560</v>
      </c>
      <c r="C1059" s="96" t="s">
        <v>991</v>
      </c>
    </row>
    <row r="1060" spans="1:3" ht="15">
      <c r="A1060" s="90" t="s">
        <v>361</v>
      </c>
      <c r="B1060" s="89" t="s">
        <v>2367</v>
      </c>
      <c r="C1060" s="96" t="s">
        <v>991</v>
      </c>
    </row>
    <row r="1061" spans="1:3" ht="15">
      <c r="A1061" s="90" t="s">
        <v>360</v>
      </c>
      <c r="B1061" s="89" t="s">
        <v>2369</v>
      </c>
      <c r="C1061" s="96" t="s">
        <v>990</v>
      </c>
    </row>
    <row r="1062" spans="1:3" ht="15">
      <c r="A1062" s="90" t="s">
        <v>360</v>
      </c>
      <c r="B1062" s="89" t="s">
        <v>2370</v>
      </c>
      <c r="C1062" s="96" t="s">
        <v>990</v>
      </c>
    </row>
    <row r="1063" spans="1:3" ht="15">
      <c r="A1063" s="90" t="s">
        <v>360</v>
      </c>
      <c r="B1063" s="89" t="s">
        <v>2150</v>
      </c>
      <c r="C1063" s="96" t="s">
        <v>990</v>
      </c>
    </row>
    <row r="1064" spans="1:3" ht="15">
      <c r="A1064" s="90" t="s">
        <v>360</v>
      </c>
      <c r="B1064" s="89" t="s">
        <v>2151</v>
      </c>
      <c r="C1064" s="96" t="s">
        <v>990</v>
      </c>
    </row>
    <row r="1065" spans="1:3" ht="15">
      <c r="A1065" s="90" t="s">
        <v>360</v>
      </c>
      <c r="B1065" s="89" t="s">
        <v>2152</v>
      </c>
      <c r="C1065" s="96" t="s">
        <v>990</v>
      </c>
    </row>
    <row r="1066" spans="1:3" ht="15">
      <c r="A1066" s="90" t="s">
        <v>360</v>
      </c>
      <c r="B1066" s="89" t="s">
        <v>2391</v>
      </c>
      <c r="C1066" s="96" t="s">
        <v>990</v>
      </c>
    </row>
    <row r="1067" spans="1:3" ht="15">
      <c r="A1067" s="90" t="s">
        <v>360</v>
      </c>
      <c r="B1067" s="89" t="s">
        <v>2392</v>
      </c>
      <c r="C1067" s="96" t="s">
        <v>990</v>
      </c>
    </row>
    <row r="1068" spans="1:3" ht="15">
      <c r="A1068" s="90" t="s">
        <v>360</v>
      </c>
      <c r="B1068" s="89" t="s">
        <v>2393</v>
      </c>
      <c r="C1068" s="96" t="s">
        <v>990</v>
      </c>
    </row>
    <row r="1069" spans="1:3" ht="15">
      <c r="A1069" s="90" t="s">
        <v>360</v>
      </c>
      <c r="B1069" s="89" t="s">
        <v>2149</v>
      </c>
      <c r="C1069" s="96" t="s">
        <v>990</v>
      </c>
    </row>
    <row r="1070" spans="1:3" ht="15">
      <c r="A1070" s="90" t="s">
        <v>360</v>
      </c>
      <c r="B1070" s="89" t="s">
        <v>2153</v>
      </c>
      <c r="C1070" s="96" t="s">
        <v>990</v>
      </c>
    </row>
    <row r="1071" spans="1:3" ht="15">
      <c r="A1071" s="90" t="s">
        <v>360</v>
      </c>
      <c r="B1071" s="89" t="s">
        <v>2361</v>
      </c>
      <c r="C1071" s="96" t="s">
        <v>990</v>
      </c>
    </row>
    <row r="1072" spans="1:3" ht="15">
      <c r="A1072" s="90" t="s">
        <v>360</v>
      </c>
      <c r="B1072" s="89" t="s">
        <v>2394</v>
      </c>
      <c r="C1072" s="96" t="s">
        <v>990</v>
      </c>
    </row>
    <row r="1073" spans="1:3" ht="15">
      <c r="A1073" s="90" t="s">
        <v>360</v>
      </c>
      <c r="B1073" s="89" t="s">
        <v>2148</v>
      </c>
      <c r="C1073" s="96" t="s">
        <v>990</v>
      </c>
    </row>
    <row r="1074" spans="1:3" ht="15">
      <c r="A1074" s="90" t="s">
        <v>360</v>
      </c>
      <c r="B1074" s="89" t="s">
        <v>2395</v>
      </c>
      <c r="C1074" s="96" t="s">
        <v>990</v>
      </c>
    </row>
    <row r="1075" spans="1:3" ht="15">
      <c r="A1075" s="90" t="s">
        <v>360</v>
      </c>
      <c r="B1075" s="89" t="s">
        <v>2154</v>
      </c>
      <c r="C1075" s="96" t="s">
        <v>990</v>
      </c>
    </row>
    <row r="1076" spans="1:3" ht="15">
      <c r="A1076" s="90" t="s">
        <v>360</v>
      </c>
      <c r="B1076" s="89" t="s">
        <v>2155</v>
      </c>
      <c r="C1076" s="96" t="s">
        <v>990</v>
      </c>
    </row>
    <row r="1077" spans="1:3" ht="15">
      <c r="A1077" s="90" t="s">
        <v>403</v>
      </c>
      <c r="B1077" s="89" t="s">
        <v>2360</v>
      </c>
      <c r="C1077" s="96" t="s">
        <v>1051</v>
      </c>
    </row>
    <row r="1078" spans="1:3" ht="15">
      <c r="A1078" s="90" t="s">
        <v>403</v>
      </c>
      <c r="B1078" s="89" t="s">
        <v>2140</v>
      </c>
      <c r="C1078" s="96" t="s">
        <v>1051</v>
      </c>
    </row>
    <row r="1079" spans="1:3" ht="15">
      <c r="A1079" s="90" t="s">
        <v>403</v>
      </c>
      <c r="B1079" s="89" t="s">
        <v>2124</v>
      </c>
      <c r="C1079" s="96" t="s">
        <v>1051</v>
      </c>
    </row>
    <row r="1080" spans="1:3" ht="15">
      <c r="A1080" s="90" t="s">
        <v>403</v>
      </c>
      <c r="B1080" s="89" t="s">
        <v>2132</v>
      </c>
      <c r="C1080" s="96" t="s">
        <v>1051</v>
      </c>
    </row>
    <row r="1081" spans="1:3" ht="15">
      <c r="A1081" s="90" t="s">
        <v>403</v>
      </c>
      <c r="B1081" s="89" t="s">
        <v>2361</v>
      </c>
      <c r="C1081" s="96" t="s">
        <v>1051</v>
      </c>
    </row>
    <row r="1082" spans="1:3" ht="15">
      <c r="A1082" s="90" t="s">
        <v>403</v>
      </c>
      <c r="B1082" s="89" t="s">
        <v>2141</v>
      </c>
      <c r="C1082" s="96" t="s">
        <v>1051</v>
      </c>
    </row>
    <row r="1083" spans="1:3" ht="15">
      <c r="A1083" s="90" t="s">
        <v>403</v>
      </c>
      <c r="B1083" s="89" t="s">
        <v>2362</v>
      </c>
      <c r="C1083" s="96" t="s">
        <v>1051</v>
      </c>
    </row>
    <row r="1084" spans="1:3" ht="15">
      <c r="A1084" s="90" t="s">
        <v>403</v>
      </c>
      <c r="B1084" s="89" t="s">
        <v>2142</v>
      </c>
      <c r="C1084" s="96" t="s">
        <v>1051</v>
      </c>
    </row>
    <row r="1085" spans="1:3" ht="15">
      <c r="A1085" s="90" t="s">
        <v>403</v>
      </c>
      <c r="B1085" s="89" t="s">
        <v>2363</v>
      </c>
      <c r="C1085" s="96" t="s">
        <v>1051</v>
      </c>
    </row>
    <row r="1086" spans="1:3" ht="15">
      <c r="A1086" s="90" t="s">
        <v>403</v>
      </c>
      <c r="B1086" s="89" t="s">
        <v>2143</v>
      </c>
      <c r="C1086" s="96" t="s">
        <v>1051</v>
      </c>
    </row>
    <row r="1087" spans="1:3" ht="15">
      <c r="A1087" s="90" t="s">
        <v>403</v>
      </c>
      <c r="B1087" s="89" t="s">
        <v>2144</v>
      </c>
      <c r="C1087" s="96" t="s">
        <v>1051</v>
      </c>
    </row>
    <row r="1088" spans="1:3" ht="15">
      <c r="A1088" s="90" t="s">
        <v>403</v>
      </c>
      <c r="B1088" s="89" t="s">
        <v>2364</v>
      </c>
      <c r="C1088" s="96" t="s">
        <v>1051</v>
      </c>
    </row>
    <row r="1089" spans="1:3" ht="15">
      <c r="A1089" s="90" t="s">
        <v>403</v>
      </c>
      <c r="B1089" s="89" t="s">
        <v>2133</v>
      </c>
      <c r="C1089" s="96" t="s">
        <v>1051</v>
      </c>
    </row>
    <row r="1090" spans="1:3" ht="15">
      <c r="A1090" s="90" t="s">
        <v>403</v>
      </c>
      <c r="B1090" s="89" t="s">
        <v>2134</v>
      </c>
      <c r="C1090" s="96" t="s">
        <v>1051</v>
      </c>
    </row>
    <row r="1091" spans="1:3" ht="15">
      <c r="A1091" s="90" t="s">
        <v>403</v>
      </c>
      <c r="B1091" s="89" t="s">
        <v>2135</v>
      </c>
      <c r="C1091" s="96" t="s">
        <v>1051</v>
      </c>
    </row>
    <row r="1092" spans="1:3" ht="15">
      <c r="A1092" s="90" t="s">
        <v>403</v>
      </c>
      <c r="B1092" s="89" t="s">
        <v>2136</v>
      </c>
      <c r="C1092" s="96" t="s">
        <v>1051</v>
      </c>
    </row>
    <row r="1093" spans="1:3" ht="15">
      <c r="A1093" s="90" t="s">
        <v>403</v>
      </c>
      <c r="B1093" s="89" t="s">
        <v>2137</v>
      </c>
      <c r="C1093" s="96" t="s">
        <v>1051</v>
      </c>
    </row>
    <row r="1094" spans="1:3" ht="15">
      <c r="A1094" s="90" t="s">
        <v>403</v>
      </c>
      <c r="B1094" s="89" t="s">
        <v>2365</v>
      </c>
      <c r="C1094" s="96" t="s">
        <v>1051</v>
      </c>
    </row>
    <row r="1095" spans="1:3" ht="15">
      <c r="A1095" s="90" t="s">
        <v>403</v>
      </c>
      <c r="B1095" s="89" t="s">
        <v>2366</v>
      </c>
      <c r="C1095" s="96" t="s">
        <v>1051</v>
      </c>
    </row>
    <row r="1096" spans="1:3" ht="15">
      <c r="A1096" s="90" t="s">
        <v>403</v>
      </c>
      <c r="B1096" s="89">
        <v>16</v>
      </c>
      <c r="C1096" s="96" t="s">
        <v>1051</v>
      </c>
    </row>
    <row r="1097" spans="1:3" ht="15">
      <c r="A1097" s="90" t="s">
        <v>403</v>
      </c>
      <c r="B1097" s="89">
        <v>1</v>
      </c>
      <c r="C1097" s="96" t="s">
        <v>1051</v>
      </c>
    </row>
    <row r="1098" spans="1:3" ht="15">
      <c r="A1098" s="90" t="s">
        <v>403</v>
      </c>
      <c r="B1098" s="89">
        <v>22</v>
      </c>
      <c r="C1098" s="96" t="s">
        <v>1051</v>
      </c>
    </row>
    <row r="1099" spans="1:3" ht="15">
      <c r="A1099" s="90" t="s">
        <v>403</v>
      </c>
      <c r="B1099" s="89" t="s">
        <v>560</v>
      </c>
      <c r="C1099" s="96" t="s">
        <v>1051</v>
      </c>
    </row>
    <row r="1100" spans="1:3" ht="15">
      <c r="A1100" s="90" t="s">
        <v>403</v>
      </c>
      <c r="B1100" s="89" t="s">
        <v>2367</v>
      </c>
      <c r="C1100" s="96" t="s">
        <v>1051</v>
      </c>
    </row>
    <row r="1101" spans="1:3" ht="15">
      <c r="A1101" s="90" t="s">
        <v>403</v>
      </c>
      <c r="B1101" s="89" t="s">
        <v>2512</v>
      </c>
      <c r="C1101" s="96" t="s">
        <v>1050</v>
      </c>
    </row>
    <row r="1102" spans="1:3" ht="15">
      <c r="A1102" s="90" t="s">
        <v>403</v>
      </c>
      <c r="B1102" s="89" t="s">
        <v>2376</v>
      </c>
      <c r="C1102" s="96" t="s">
        <v>1050</v>
      </c>
    </row>
    <row r="1103" spans="1:3" ht="15">
      <c r="A1103" s="90" t="s">
        <v>403</v>
      </c>
      <c r="B1103" s="89" t="s">
        <v>2513</v>
      </c>
      <c r="C1103" s="96" t="s">
        <v>1050</v>
      </c>
    </row>
    <row r="1104" spans="1:3" ht="15">
      <c r="A1104" s="90" t="s">
        <v>403</v>
      </c>
      <c r="B1104" s="89" t="s">
        <v>2190</v>
      </c>
      <c r="C1104" s="96" t="s">
        <v>1050</v>
      </c>
    </row>
    <row r="1105" spans="1:3" ht="15">
      <c r="A1105" s="90" t="s">
        <v>403</v>
      </c>
      <c r="B1105" s="89" t="s">
        <v>2514</v>
      </c>
      <c r="C1105" s="96" t="s">
        <v>1050</v>
      </c>
    </row>
    <row r="1106" spans="1:3" ht="15">
      <c r="A1106" s="90" t="s">
        <v>403</v>
      </c>
      <c r="B1106" s="89" t="s">
        <v>2515</v>
      </c>
      <c r="C1106" s="96" t="s">
        <v>1050</v>
      </c>
    </row>
    <row r="1107" spans="1:3" ht="15">
      <c r="A1107" s="90" t="s">
        <v>403</v>
      </c>
      <c r="B1107" s="89" t="s">
        <v>2516</v>
      </c>
      <c r="C1107" s="96" t="s">
        <v>1050</v>
      </c>
    </row>
    <row r="1108" spans="1:3" ht="15">
      <c r="A1108" s="90" t="s">
        <v>403</v>
      </c>
      <c r="B1108" s="89" t="s">
        <v>2360</v>
      </c>
      <c r="C1108" s="96" t="s">
        <v>1050</v>
      </c>
    </row>
    <row r="1109" spans="1:3" ht="15">
      <c r="A1109" s="90" t="s">
        <v>403</v>
      </c>
      <c r="B1109" s="89" t="s">
        <v>2263</v>
      </c>
      <c r="C1109" s="96" t="s">
        <v>1050</v>
      </c>
    </row>
    <row r="1110" spans="1:3" ht="15">
      <c r="A1110" s="90" t="s">
        <v>403</v>
      </c>
      <c r="B1110" s="89" t="s">
        <v>2517</v>
      </c>
      <c r="C1110" s="96" t="s">
        <v>1050</v>
      </c>
    </row>
    <row r="1111" spans="1:3" ht="15">
      <c r="A1111" s="90" t="s">
        <v>403</v>
      </c>
      <c r="B1111" s="89" t="s">
        <v>2518</v>
      </c>
      <c r="C1111" s="96" t="s">
        <v>1050</v>
      </c>
    </row>
    <row r="1112" spans="1:3" ht="15">
      <c r="A1112" s="90" t="s">
        <v>403</v>
      </c>
      <c r="B1112" s="89" t="s">
        <v>2519</v>
      </c>
      <c r="C1112" s="96" t="s">
        <v>1050</v>
      </c>
    </row>
    <row r="1113" spans="1:3" ht="15">
      <c r="A1113" s="90" t="s">
        <v>403</v>
      </c>
      <c r="B1113" s="89" t="s">
        <v>2520</v>
      </c>
      <c r="C1113" s="96" t="s">
        <v>1050</v>
      </c>
    </row>
    <row r="1114" spans="1:3" ht="15">
      <c r="A1114" s="90" t="s">
        <v>403</v>
      </c>
      <c r="B1114" s="89" t="s">
        <v>2521</v>
      </c>
      <c r="C1114" s="96" t="s">
        <v>1050</v>
      </c>
    </row>
    <row r="1115" spans="1:3" ht="15">
      <c r="A1115" s="90" t="s">
        <v>403</v>
      </c>
      <c r="B1115" s="89" t="s">
        <v>2522</v>
      </c>
      <c r="C1115" s="96" t="s">
        <v>1050</v>
      </c>
    </row>
    <row r="1116" spans="1:3" ht="15">
      <c r="A1116" s="90" t="s">
        <v>403</v>
      </c>
      <c r="B1116" s="89" t="s">
        <v>2364</v>
      </c>
      <c r="C1116" s="96" t="s">
        <v>1050</v>
      </c>
    </row>
    <row r="1117" spans="1:3" ht="15">
      <c r="A1117" s="90" t="s">
        <v>403</v>
      </c>
      <c r="B1117" s="89" t="s">
        <v>2523</v>
      </c>
      <c r="C1117" s="96" t="s">
        <v>1050</v>
      </c>
    </row>
    <row r="1118" spans="1:3" ht="15">
      <c r="A1118" s="90" t="s">
        <v>403</v>
      </c>
      <c r="B1118" s="89" t="s">
        <v>2524</v>
      </c>
      <c r="C1118" s="96" t="s">
        <v>1050</v>
      </c>
    </row>
    <row r="1119" spans="1:3" ht="15">
      <c r="A1119" s="90" t="s">
        <v>403</v>
      </c>
      <c r="B1119" s="89" t="s">
        <v>2114</v>
      </c>
      <c r="C1119" s="96" t="s">
        <v>1050</v>
      </c>
    </row>
    <row r="1120" spans="1:3" ht="15">
      <c r="A1120" s="90" t="s">
        <v>403</v>
      </c>
      <c r="B1120" s="89" t="s">
        <v>2525</v>
      </c>
      <c r="C1120" s="96" t="s">
        <v>1050</v>
      </c>
    </row>
    <row r="1121" spans="1:3" ht="15">
      <c r="A1121" s="90" t="s">
        <v>403</v>
      </c>
      <c r="B1121" s="89" t="s">
        <v>2526</v>
      </c>
      <c r="C1121" s="96" t="s">
        <v>1050</v>
      </c>
    </row>
    <row r="1122" spans="1:3" ht="15">
      <c r="A1122" s="90" t="s">
        <v>403</v>
      </c>
      <c r="B1122" s="89" t="s">
        <v>2527</v>
      </c>
      <c r="C1122" s="96" t="s">
        <v>1050</v>
      </c>
    </row>
    <row r="1123" spans="1:3" ht="15">
      <c r="A1123" s="90" t="s">
        <v>403</v>
      </c>
      <c r="B1123" s="89" t="s">
        <v>2528</v>
      </c>
      <c r="C1123" s="96" t="s">
        <v>1050</v>
      </c>
    </row>
    <row r="1124" spans="1:3" ht="15">
      <c r="A1124" s="90" t="s">
        <v>403</v>
      </c>
      <c r="B1124" s="89" t="s">
        <v>2529</v>
      </c>
      <c r="C1124" s="96" t="s">
        <v>1050</v>
      </c>
    </row>
    <row r="1125" spans="1:3" ht="15">
      <c r="A1125" s="90" t="s">
        <v>403</v>
      </c>
      <c r="B1125" s="89" t="s">
        <v>560</v>
      </c>
      <c r="C1125" s="96" t="s">
        <v>1050</v>
      </c>
    </row>
    <row r="1126" spans="1:3" ht="15">
      <c r="A1126" s="90" t="s">
        <v>403</v>
      </c>
      <c r="B1126" s="89" t="s">
        <v>2530</v>
      </c>
      <c r="C1126" s="96" t="s">
        <v>1050</v>
      </c>
    </row>
    <row r="1127" spans="1:3" ht="15">
      <c r="A1127" s="90" t="s">
        <v>369</v>
      </c>
      <c r="B1127" s="89" t="s">
        <v>2360</v>
      </c>
      <c r="C1127" s="96" t="s">
        <v>1004</v>
      </c>
    </row>
    <row r="1128" spans="1:3" ht="15">
      <c r="A1128" s="90" t="s">
        <v>369</v>
      </c>
      <c r="B1128" s="89" t="s">
        <v>2140</v>
      </c>
      <c r="C1128" s="96" t="s">
        <v>1004</v>
      </c>
    </row>
    <row r="1129" spans="1:3" ht="15">
      <c r="A1129" s="90" t="s">
        <v>369</v>
      </c>
      <c r="B1129" s="89" t="s">
        <v>2124</v>
      </c>
      <c r="C1129" s="96" t="s">
        <v>1004</v>
      </c>
    </row>
    <row r="1130" spans="1:3" ht="15">
      <c r="A1130" s="90" t="s">
        <v>369</v>
      </c>
      <c r="B1130" s="89" t="s">
        <v>2132</v>
      </c>
      <c r="C1130" s="96" t="s">
        <v>1004</v>
      </c>
    </row>
    <row r="1131" spans="1:3" ht="15">
      <c r="A1131" s="90" t="s">
        <v>369</v>
      </c>
      <c r="B1131" s="89" t="s">
        <v>2361</v>
      </c>
      <c r="C1131" s="96" t="s">
        <v>1004</v>
      </c>
    </row>
    <row r="1132" spans="1:3" ht="15">
      <c r="A1132" s="90" t="s">
        <v>369</v>
      </c>
      <c r="B1132" s="89" t="s">
        <v>2141</v>
      </c>
      <c r="C1132" s="96" t="s">
        <v>1004</v>
      </c>
    </row>
    <row r="1133" spans="1:3" ht="15">
      <c r="A1133" s="90" t="s">
        <v>369</v>
      </c>
      <c r="B1133" s="89" t="s">
        <v>2362</v>
      </c>
      <c r="C1133" s="96" t="s">
        <v>1004</v>
      </c>
    </row>
    <row r="1134" spans="1:3" ht="15">
      <c r="A1134" s="90" t="s">
        <v>369</v>
      </c>
      <c r="B1134" s="89" t="s">
        <v>2142</v>
      </c>
      <c r="C1134" s="96" t="s">
        <v>1004</v>
      </c>
    </row>
    <row r="1135" spans="1:3" ht="15">
      <c r="A1135" s="90" t="s">
        <v>369</v>
      </c>
      <c r="B1135" s="89" t="s">
        <v>2363</v>
      </c>
      <c r="C1135" s="96" t="s">
        <v>1004</v>
      </c>
    </row>
    <row r="1136" spans="1:3" ht="15">
      <c r="A1136" s="90" t="s">
        <v>369</v>
      </c>
      <c r="B1136" s="89" t="s">
        <v>2143</v>
      </c>
      <c r="C1136" s="96" t="s">
        <v>1004</v>
      </c>
    </row>
    <row r="1137" spans="1:3" ht="15">
      <c r="A1137" s="90" t="s">
        <v>369</v>
      </c>
      <c r="B1137" s="89" t="s">
        <v>2144</v>
      </c>
      <c r="C1137" s="96" t="s">
        <v>1004</v>
      </c>
    </row>
    <row r="1138" spans="1:3" ht="15">
      <c r="A1138" s="90" t="s">
        <v>369</v>
      </c>
      <c r="B1138" s="89" t="s">
        <v>2364</v>
      </c>
      <c r="C1138" s="96" t="s">
        <v>1004</v>
      </c>
    </row>
    <row r="1139" spans="1:3" ht="15">
      <c r="A1139" s="90" t="s">
        <v>369</v>
      </c>
      <c r="B1139" s="89" t="s">
        <v>2133</v>
      </c>
      <c r="C1139" s="96" t="s">
        <v>1004</v>
      </c>
    </row>
    <row r="1140" spans="1:3" ht="15">
      <c r="A1140" s="90" t="s">
        <v>369</v>
      </c>
      <c r="B1140" s="89" t="s">
        <v>2134</v>
      </c>
      <c r="C1140" s="96" t="s">
        <v>1004</v>
      </c>
    </row>
    <row r="1141" spans="1:3" ht="15">
      <c r="A1141" s="90" t="s">
        <v>369</v>
      </c>
      <c r="B1141" s="89" t="s">
        <v>2135</v>
      </c>
      <c r="C1141" s="96" t="s">
        <v>1004</v>
      </c>
    </row>
    <row r="1142" spans="1:3" ht="15">
      <c r="A1142" s="90" t="s">
        <v>369</v>
      </c>
      <c r="B1142" s="89" t="s">
        <v>2136</v>
      </c>
      <c r="C1142" s="96" t="s">
        <v>1004</v>
      </c>
    </row>
    <row r="1143" spans="1:3" ht="15">
      <c r="A1143" s="90" t="s">
        <v>369</v>
      </c>
      <c r="B1143" s="89" t="s">
        <v>2137</v>
      </c>
      <c r="C1143" s="96" t="s">
        <v>1004</v>
      </c>
    </row>
    <row r="1144" spans="1:3" ht="15">
      <c r="A1144" s="90" t="s">
        <v>369</v>
      </c>
      <c r="B1144" s="89" t="s">
        <v>2365</v>
      </c>
      <c r="C1144" s="96" t="s">
        <v>1004</v>
      </c>
    </row>
    <row r="1145" spans="1:3" ht="15">
      <c r="A1145" s="90" t="s">
        <v>369</v>
      </c>
      <c r="B1145" s="89" t="s">
        <v>2366</v>
      </c>
      <c r="C1145" s="96" t="s">
        <v>1004</v>
      </c>
    </row>
    <row r="1146" spans="1:3" ht="15">
      <c r="A1146" s="90" t="s">
        <v>369</v>
      </c>
      <c r="B1146" s="89">
        <v>16</v>
      </c>
      <c r="C1146" s="96" t="s">
        <v>1004</v>
      </c>
    </row>
    <row r="1147" spans="1:3" ht="15">
      <c r="A1147" s="90" t="s">
        <v>369</v>
      </c>
      <c r="B1147" s="89">
        <v>1</v>
      </c>
      <c r="C1147" s="96" t="s">
        <v>1004</v>
      </c>
    </row>
    <row r="1148" spans="1:3" ht="15">
      <c r="A1148" s="90" t="s">
        <v>369</v>
      </c>
      <c r="B1148" s="89">
        <v>22</v>
      </c>
      <c r="C1148" s="96" t="s">
        <v>1004</v>
      </c>
    </row>
    <row r="1149" spans="1:3" ht="15">
      <c r="A1149" s="90" t="s">
        <v>369</v>
      </c>
      <c r="B1149" s="89" t="s">
        <v>560</v>
      </c>
      <c r="C1149" s="96" t="s">
        <v>1004</v>
      </c>
    </row>
    <row r="1150" spans="1:3" ht="15">
      <c r="A1150" s="90" t="s">
        <v>369</v>
      </c>
      <c r="B1150" s="89" t="s">
        <v>2367</v>
      </c>
      <c r="C1150" s="96" t="s">
        <v>1004</v>
      </c>
    </row>
    <row r="1151" spans="1:3" ht="15">
      <c r="A1151" s="90" t="s">
        <v>359</v>
      </c>
      <c r="B1151" s="89" t="s">
        <v>403</v>
      </c>
      <c r="C1151" s="96" t="s">
        <v>989</v>
      </c>
    </row>
    <row r="1152" spans="1:3" ht="15">
      <c r="A1152" s="90" t="s">
        <v>359</v>
      </c>
      <c r="B1152" s="89" t="s">
        <v>2531</v>
      </c>
      <c r="C1152" s="96" t="s">
        <v>989</v>
      </c>
    </row>
    <row r="1153" spans="1:3" ht="15">
      <c r="A1153" s="90" t="s">
        <v>359</v>
      </c>
      <c r="B1153" s="89" t="s">
        <v>2532</v>
      </c>
      <c r="C1153" s="96" t="s">
        <v>989</v>
      </c>
    </row>
    <row r="1154" spans="1:3" ht="15">
      <c r="A1154" s="90" t="s">
        <v>359</v>
      </c>
      <c r="B1154" s="89" t="s">
        <v>2533</v>
      </c>
      <c r="C1154" s="96" t="s">
        <v>989</v>
      </c>
    </row>
    <row r="1155" spans="1:3" ht="15">
      <c r="A1155" s="90" t="s">
        <v>359</v>
      </c>
      <c r="B1155" s="89" t="s">
        <v>2534</v>
      </c>
      <c r="C1155" s="96" t="s">
        <v>989</v>
      </c>
    </row>
    <row r="1156" spans="1:3" ht="15">
      <c r="A1156" s="90" t="s">
        <v>359</v>
      </c>
      <c r="B1156" s="89" t="s">
        <v>2535</v>
      </c>
      <c r="C1156" s="96" t="s">
        <v>989</v>
      </c>
    </row>
    <row r="1157" spans="1:3" ht="15">
      <c r="A1157" s="90" t="s">
        <v>359</v>
      </c>
      <c r="B1157" s="89" t="s">
        <v>2536</v>
      </c>
      <c r="C1157" s="96" t="s">
        <v>989</v>
      </c>
    </row>
    <row r="1158" spans="1:3" ht="15">
      <c r="A1158" s="90" t="s">
        <v>359</v>
      </c>
      <c r="B1158" s="89" t="s">
        <v>2264</v>
      </c>
      <c r="C1158" s="96" t="s">
        <v>989</v>
      </c>
    </row>
    <row r="1159" spans="1:3" ht="15">
      <c r="A1159" s="90" t="s">
        <v>359</v>
      </c>
      <c r="B1159" s="89" t="s">
        <v>2376</v>
      </c>
      <c r="C1159" s="96" t="s">
        <v>989</v>
      </c>
    </row>
    <row r="1160" spans="1:3" ht="15">
      <c r="A1160" s="90" t="s">
        <v>359</v>
      </c>
      <c r="B1160" s="89" t="s">
        <v>2537</v>
      </c>
      <c r="C1160" s="96" t="s">
        <v>989</v>
      </c>
    </row>
    <row r="1161" spans="1:3" ht="15">
      <c r="A1161" s="90" t="s">
        <v>359</v>
      </c>
      <c r="B1161" s="89" t="s">
        <v>2538</v>
      </c>
      <c r="C1161" s="96" t="s">
        <v>989</v>
      </c>
    </row>
    <row r="1162" spans="1:3" ht="15">
      <c r="A1162" s="90" t="s">
        <v>359</v>
      </c>
      <c r="B1162" s="89" t="s">
        <v>2374</v>
      </c>
      <c r="C1162" s="96" t="s">
        <v>989</v>
      </c>
    </row>
    <row r="1163" spans="1:3" ht="15">
      <c r="A1163" s="90" t="s">
        <v>359</v>
      </c>
      <c r="B1163" s="89" t="s">
        <v>2539</v>
      </c>
      <c r="C1163" s="96" t="s">
        <v>989</v>
      </c>
    </row>
    <row r="1164" spans="1:3" ht="15">
      <c r="A1164" s="90" t="s">
        <v>359</v>
      </c>
      <c r="B1164" s="89" t="s">
        <v>2540</v>
      </c>
      <c r="C1164" s="96" t="s">
        <v>989</v>
      </c>
    </row>
    <row r="1165" spans="1:3" ht="15">
      <c r="A1165" s="90" t="s">
        <v>359</v>
      </c>
      <c r="B1165" s="89" t="s">
        <v>2541</v>
      </c>
      <c r="C1165" s="96" t="s">
        <v>989</v>
      </c>
    </row>
    <row r="1166" spans="1:3" ht="15">
      <c r="A1166" s="90" t="s">
        <v>359</v>
      </c>
      <c r="B1166" s="89" t="s">
        <v>2542</v>
      </c>
      <c r="C1166" s="96" t="s">
        <v>989</v>
      </c>
    </row>
    <row r="1167" spans="1:3" ht="15">
      <c r="A1167" s="90" t="s">
        <v>359</v>
      </c>
      <c r="B1167" s="89" t="s">
        <v>2543</v>
      </c>
      <c r="C1167" s="96" t="s">
        <v>989</v>
      </c>
    </row>
    <row r="1168" spans="1:3" ht="15">
      <c r="A1168" s="90" t="s">
        <v>359</v>
      </c>
      <c r="B1168" s="89" t="s">
        <v>2544</v>
      </c>
      <c r="C1168" s="96" t="s">
        <v>989</v>
      </c>
    </row>
    <row r="1169" spans="1:3" ht="15">
      <c r="A1169" s="90" t="s">
        <v>359</v>
      </c>
      <c r="B1169" s="89" t="s">
        <v>2382</v>
      </c>
      <c r="C1169" s="96" t="s">
        <v>989</v>
      </c>
    </row>
    <row r="1170" spans="1:3" ht="15">
      <c r="A1170" s="90" t="s">
        <v>359</v>
      </c>
      <c r="B1170" s="89" t="s">
        <v>2545</v>
      </c>
      <c r="C1170" s="96" t="s">
        <v>989</v>
      </c>
    </row>
    <row r="1171" spans="1:3" ht="15">
      <c r="A1171" s="90" t="s">
        <v>359</v>
      </c>
      <c r="B1171" s="89" t="s">
        <v>2546</v>
      </c>
      <c r="C1171" s="96" t="s">
        <v>989</v>
      </c>
    </row>
    <row r="1172" spans="1:3" ht="15">
      <c r="A1172" s="90" t="s">
        <v>359</v>
      </c>
      <c r="B1172" s="89" t="s">
        <v>2265</v>
      </c>
      <c r="C1172" s="96" t="s">
        <v>989</v>
      </c>
    </row>
    <row r="1173" spans="1:3" ht="15">
      <c r="A1173" s="90" t="s">
        <v>359</v>
      </c>
      <c r="B1173" s="89" t="s">
        <v>2547</v>
      </c>
      <c r="C1173" s="96" t="s">
        <v>989</v>
      </c>
    </row>
    <row r="1174" spans="1:3" ht="15">
      <c r="A1174" s="90" t="s">
        <v>359</v>
      </c>
      <c r="B1174" s="89" t="s">
        <v>2548</v>
      </c>
      <c r="C1174" s="96" t="s">
        <v>989</v>
      </c>
    </row>
    <row r="1175" spans="1:3" ht="15">
      <c r="A1175" s="90" t="s">
        <v>359</v>
      </c>
      <c r="B1175" s="89" t="s">
        <v>2549</v>
      </c>
      <c r="C1175" s="96" t="s">
        <v>989</v>
      </c>
    </row>
    <row r="1176" spans="1:3" ht="15">
      <c r="A1176" s="90" t="s">
        <v>359</v>
      </c>
      <c r="B1176" s="89" t="s">
        <v>2550</v>
      </c>
      <c r="C1176" s="96" t="s">
        <v>989</v>
      </c>
    </row>
    <row r="1177" spans="1:3" ht="15">
      <c r="A1177" s="90" t="s">
        <v>359</v>
      </c>
      <c r="B1177" s="89" t="s">
        <v>2551</v>
      </c>
      <c r="C1177" s="96" t="s">
        <v>989</v>
      </c>
    </row>
    <row r="1178" spans="1:3" ht="15">
      <c r="A1178" s="90" t="s">
        <v>359</v>
      </c>
      <c r="B1178" s="89" t="s">
        <v>2266</v>
      </c>
      <c r="C1178" s="96" t="s">
        <v>989</v>
      </c>
    </row>
    <row r="1179" spans="1:3" ht="15">
      <c r="A1179" s="90" t="s">
        <v>358</v>
      </c>
      <c r="B1179" s="89" t="s">
        <v>2369</v>
      </c>
      <c r="C1179" s="96" t="s">
        <v>988</v>
      </c>
    </row>
    <row r="1180" spans="1:3" ht="15">
      <c r="A1180" s="90" t="s">
        <v>358</v>
      </c>
      <c r="B1180" s="89" t="s">
        <v>2370</v>
      </c>
      <c r="C1180" s="96" t="s">
        <v>988</v>
      </c>
    </row>
    <row r="1181" spans="1:3" ht="15">
      <c r="A1181" s="90" t="s">
        <v>358</v>
      </c>
      <c r="B1181" s="89" t="s">
        <v>2112</v>
      </c>
      <c r="C1181" s="96" t="s">
        <v>988</v>
      </c>
    </row>
    <row r="1182" spans="1:3" ht="15">
      <c r="A1182" s="90" t="s">
        <v>358</v>
      </c>
      <c r="B1182" s="89" t="s">
        <v>2113</v>
      </c>
      <c r="C1182" s="96" t="s">
        <v>988</v>
      </c>
    </row>
    <row r="1183" spans="1:3" ht="15">
      <c r="A1183" s="90" t="s">
        <v>357</v>
      </c>
      <c r="B1183" s="89" t="s">
        <v>2369</v>
      </c>
      <c r="C1183" s="96" t="s">
        <v>987</v>
      </c>
    </row>
    <row r="1184" spans="1:3" ht="15">
      <c r="A1184" s="90" t="s">
        <v>357</v>
      </c>
      <c r="B1184" s="89" t="s">
        <v>2370</v>
      </c>
      <c r="C1184" s="96" t="s">
        <v>987</v>
      </c>
    </row>
    <row r="1185" spans="1:3" ht="15">
      <c r="A1185" s="90" t="s">
        <v>357</v>
      </c>
      <c r="B1185" s="89" t="s">
        <v>2376</v>
      </c>
      <c r="C1185" s="96" t="s">
        <v>987</v>
      </c>
    </row>
    <row r="1186" spans="1:3" ht="15">
      <c r="A1186" s="90" t="s">
        <v>357</v>
      </c>
      <c r="B1186" s="89" t="s">
        <v>2552</v>
      </c>
      <c r="C1186" s="96" t="s">
        <v>987</v>
      </c>
    </row>
    <row r="1187" spans="1:3" ht="15">
      <c r="A1187" s="90" t="s">
        <v>357</v>
      </c>
      <c r="B1187" s="89" t="s">
        <v>2195</v>
      </c>
      <c r="C1187" s="96" t="s">
        <v>987</v>
      </c>
    </row>
    <row r="1188" spans="1:3" ht="15">
      <c r="A1188" s="90" t="s">
        <v>357</v>
      </c>
      <c r="B1188" s="89" t="s">
        <v>2196</v>
      </c>
      <c r="C1188" s="96" t="s">
        <v>987</v>
      </c>
    </row>
    <row r="1189" spans="1:3" ht="15">
      <c r="A1189" s="90" t="s">
        <v>357</v>
      </c>
      <c r="B1189" s="89" t="s">
        <v>2197</v>
      </c>
      <c r="C1189" s="96" t="s">
        <v>987</v>
      </c>
    </row>
    <row r="1190" spans="1:3" ht="15">
      <c r="A1190" s="90" t="s">
        <v>357</v>
      </c>
      <c r="B1190" s="89" t="s">
        <v>2553</v>
      </c>
      <c r="C1190" s="96" t="s">
        <v>987</v>
      </c>
    </row>
    <row r="1191" spans="1:3" ht="15">
      <c r="A1191" s="90" t="s">
        <v>357</v>
      </c>
      <c r="B1191" s="89" t="s">
        <v>2382</v>
      </c>
      <c r="C1191" s="96" t="s">
        <v>987</v>
      </c>
    </row>
    <row r="1192" spans="1:3" ht="15">
      <c r="A1192" s="90" t="s">
        <v>357</v>
      </c>
      <c r="B1192" s="89" t="s">
        <v>2383</v>
      </c>
      <c r="C1192" s="96" t="s">
        <v>987</v>
      </c>
    </row>
    <row r="1193" spans="1:3" ht="15">
      <c r="A1193" s="90" t="s">
        <v>357</v>
      </c>
      <c r="B1193" s="89" t="s">
        <v>2541</v>
      </c>
      <c r="C1193" s="96" t="s">
        <v>987</v>
      </c>
    </row>
    <row r="1194" spans="1:3" ht="15">
      <c r="A1194" s="90" t="s">
        <v>357</v>
      </c>
      <c r="B1194" s="89" t="s">
        <v>2554</v>
      </c>
      <c r="C1194" s="96" t="s">
        <v>987</v>
      </c>
    </row>
    <row r="1195" spans="1:3" ht="15">
      <c r="A1195" s="90" t="s">
        <v>357</v>
      </c>
      <c r="B1195" s="89" t="s">
        <v>2418</v>
      </c>
      <c r="C1195" s="96" t="s">
        <v>987</v>
      </c>
    </row>
    <row r="1196" spans="1:3" ht="15">
      <c r="A1196" s="90" t="s">
        <v>357</v>
      </c>
      <c r="B1196" s="89" t="s">
        <v>2199</v>
      </c>
      <c r="C1196" s="96" t="s">
        <v>987</v>
      </c>
    </row>
    <row r="1197" spans="1:3" ht="15">
      <c r="A1197" s="90" t="s">
        <v>357</v>
      </c>
      <c r="B1197" s="89" t="s">
        <v>2501</v>
      </c>
      <c r="C1197" s="96" t="s">
        <v>987</v>
      </c>
    </row>
    <row r="1198" spans="1:3" ht="15">
      <c r="A1198" s="90" t="s">
        <v>357</v>
      </c>
      <c r="B1198" s="89" t="s">
        <v>2555</v>
      </c>
      <c r="C1198" s="96" t="s">
        <v>987</v>
      </c>
    </row>
    <row r="1199" spans="1:3" ht="15">
      <c r="A1199" s="90" t="s">
        <v>357</v>
      </c>
      <c r="B1199" s="89" t="s">
        <v>2200</v>
      </c>
      <c r="C1199" s="96" t="s">
        <v>987</v>
      </c>
    </row>
    <row r="1200" spans="1:3" ht="15">
      <c r="A1200" s="90" t="s">
        <v>357</v>
      </c>
      <c r="B1200" s="89" t="s">
        <v>2556</v>
      </c>
      <c r="C1200" s="96" t="s">
        <v>987</v>
      </c>
    </row>
    <row r="1201" spans="1:3" ht="15">
      <c r="A1201" s="90" t="s">
        <v>357</v>
      </c>
      <c r="B1201" s="89" t="s">
        <v>2201</v>
      </c>
      <c r="C1201" s="96" t="s">
        <v>987</v>
      </c>
    </row>
    <row r="1202" spans="1:3" ht="15">
      <c r="A1202" s="90" t="s">
        <v>357</v>
      </c>
      <c r="B1202" s="89" t="s">
        <v>2181</v>
      </c>
      <c r="C1202" s="96" t="s">
        <v>987</v>
      </c>
    </row>
    <row r="1203" spans="1:3" ht="15">
      <c r="A1203" s="90" t="s">
        <v>357</v>
      </c>
      <c r="B1203" s="89" t="s">
        <v>2202</v>
      </c>
      <c r="C1203" s="96" t="s">
        <v>987</v>
      </c>
    </row>
    <row r="1204" spans="1:3" ht="15">
      <c r="A1204" s="90" t="s">
        <v>357</v>
      </c>
      <c r="B1204" s="89" t="s">
        <v>2557</v>
      </c>
      <c r="C1204" s="96" t="s">
        <v>987</v>
      </c>
    </row>
    <row r="1205" spans="1:3" ht="15">
      <c r="A1205" s="90" t="s">
        <v>357</v>
      </c>
      <c r="B1205" s="89" t="s">
        <v>2203</v>
      </c>
      <c r="C1205" s="96" t="s">
        <v>987</v>
      </c>
    </row>
    <row r="1206" spans="1:3" ht="15">
      <c r="A1206" s="90" t="s">
        <v>357</v>
      </c>
      <c r="B1206" s="89" t="s">
        <v>2204</v>
      </c>
      <c r="C1206" s="96" t="s">
        <v>987</v>
      </c>
    </row>
    <row r="1207" spans="1:3" ht="15">
      <c r="A1207" s="90" t="s">
        <v>357</v>
      </c>
      <c r="B1207" s="89" t="s">
        <v>2205</v>
      </c>
      <c r="C1207" s="96" t="s">
        <v>987</v>
      </c>
    </row>
    <row r="1208" spans="1:3" ht="15">
      <c r="A1208" s="90" t="s">
        <v>357</v>
      </c>
      <c r="B1208" s="89" t="s">
        <v>2558</v>
      </c>
      <c r="C1208" s="96" t="s">
        <v>987</v>
      </c>
    </row>
    <row r="1209" spans="1:3" ht="15">
      <c r="A1209" s="90" t="s">
        <v>357</v>
      </c>
      <c r="B1209" s="89" t="s">
        <v>2520</v>
      </c>
      <c r="C1209" s="96" t="s">
        <v>987</v>
      </c>
    </row>
    <row r="1210" spans="1:3" ht="15">
      <c r="A1210" s="90" t="s">
        <v>357</v>
      </c>
      <c r="B1210" s="89" t="s">
        <v>2206</v>
      </c>
      <c r="C1210" s="96" t="s">
        <v>987</v>
      </c>
    </row>
    <row r="1211" spans="1:3" ht="15">
      <c r="A1211" s="90" t="s">
        <v>357</v>
      </c>
      <c r="B1211" s="89" t="s">
        <v>2368</v>
      </c>
      <c r="C1211" s="96" t="s">
        <v>987</v>
      </c>
    </row>
    <row r="1212" spans="1:3" ht="15">
      <c r="A1212" s="90" t="s">
        <v>357</v>
      </c>
      <c r="B1212" s="89" t="s">
        <v>2207</v>
      </c>
      <c r="C1212" s="96" t="s">
        <v>987</v>
      </c>
    </row>
    <row r="1213" spans="1:3" ht="15">
      <c r="A1213" s="90" t="s">
        <v>357</v>
      </c>
      <c r="B1213" s="89" t="s">
        <v>2559</v>
      </c>
      <c r="C1213" s="96" t="s">
        <v>987</v>
      </c>
    </row>
    <row r="1214" spans="1:3" ht="15">
      <c r="A1214" s="90" t="s">
        <v>355</v>
      </c>
      <c r="B1214" s="89" t="s">
        <v>2369</v>
      </c>
      <c r="C1214" s="96" t="s">
        <v>985</v>
      </c>
    </row>
    <row r="1215" spans="1:3" ht="15">
      <c r="A1215" s="90" t="s">
        <v>355</v>
      </c>
      <c r="B1215" s="89" t="s">
        <v>2370</v>
      </c>
      <c r="C1215" s="96" t="s">
        <v>985</v>
      </c>
    </row>
    <row r="1216" spans="1:3" ht="15">
      <c r="A1216" s="90" t="s">
        <v>355</v>
      </c>
      <c r="B1216" s="89" t="s">
        <v>2112</v>
      </c>
      <c r="C1216" s="96" t="s">
        <v>985</v>
      </c>
    </row>
    <row r="1217" spans="1:3" ht="15">
      <c r="A1217" s="90" t="s">
        <v>355</v>
      </c>
      <c r="B1217" s="89" t="s">
        <v>2113</v>
      </c>
      <c r="C1217" s="96" t="s">
        <v>985</v>
      </c>
    </row>
    <row r="1218" spans="1:3" ht="15">
      <c r="A1218" s="90" t="s">
        <v>355</v>
      </c>
      <c r="B1218" s="89" t="s">
        <v>2369</v>
      </c>
      <c r="C1218" s="96" t="s">
        <v>984</v>
      </c>
    </row>
    <row r="1219" spans="1:3" ht="15">
      <c r="A1219" s="90" t="s">
        <v>355</v>
      </c>
      <c r="B1219" s="89" t="s">
        <v>2370</v>
      </c>
      <c r="C1219" s="96" t="s">
        <v>984</v>
      </c>
    </row>
    <row r="1220" spans="1:3" ht="15">
      <c r="A1220" s="90" t="s">
        <v>355</v>
      </c>
      <c r="B1220" s="89" t="s">
        <v>2150</v>
      </c>
      <c r="C1220" s="96" t="s">
        <v>984</v>
      </c>
    </row>
    <row r="1221" spans="1:3" ht="15">
      <c r="A1221" s="90" t="s">
        <v>355</v>
      </c>
      <c r="B1221" s="89" t="s">
        <v>2151</v>
      </c>
      <c r="C1221" s="96" t="s">
        <v>984</v>
      </c>
    </row>
    <row r="1222" spans="1:3" ht="15">
      <c r="A1222" s="90" t="s">
        <v>355</v>
      </c>
      <c r="B1222" s="89" t="s">
        <v>2152</v>
      </c>
      <c r="C1222" s="96" t="s">
        <v>984</v>
      </c>
    </row>
    <row r="1223" spans="1:3" ht="15">
      <c r="A1223" s="90" t="s">
        <v>355</v>
      </c>
      <c r="B1223" s="89" t="s">
        <v>2391</v>
      </c>
      <c r="C1223" s="96" t="s">
        <v>984</v>
      </c>
    </row>
    <row r="1224" spans="1:3" ht="15">
      <c r="A1224" s="90" t="s">
        <v>355</v>
      </c>
      <c r="B1224" s="89" t="s">
        <v>2392</v>
      </c>
      <c r="C1224" s="96" t="s">
        <v>984</v>
      </c>
    </row>
    <row r="1225" spans="1:3" ht="15">
      <c r="A1225" s="90" t="s">
        <v>355</v>
      </c>
      <c r="B1225" s="89" t="s">
        <v>2393</v>
      </c>
      <c r="C1225" s="96" t="s">
        <v>984</v>
      </c>
    </row>
    <row r="1226" spans="1:3" ht="15">
      <c r="A1226" s="90" t="s">
        <v>355</v>
      </c>
      <c r="B1226" s="89" t="s">
        <v>2149</v>
      </c>
      <c r="C1226" s="96" t="s">
        <v>984</v>
      </c>
    </row>
    <row r="1227" spans="1:3" ht="15">
      <c r="A1227" s="90" t="s">
        <v>355</v>
      </c>
      <c r="B1227" s="89" t="s">
        <v>2153</v>
      </c>
      <c r="C1227" s="96" t="s">
        <v>984</v>
      </c>
    </row>
    <row r="1228" spans="1:3" ht="15">
      <c r="A1228" s="90" t="s">
        <v>355</v>
      </c>
      <c r="B1228" s="89" t="s">
        <v>2361</v>
      </c>
      <c r="C1228" s="96" t="s">
        <v>984</v>
      </c>
    </row>
    <row r="1229" spans="1:3" ht="15">
      <c r="A1229" s="90" t="s">
        <v>355</v>
      </c>
      <c r="B1229" s="89" t="s">
        <v>2394</v>
      </c>
      <c r="C1229" s="96" t="s">
        <v>984</v>
      </c>
    </row>
    <row r="1230" spans="1:3" ht="15">
      <c r="A1230" s="90" t="s">
        <v>355</v>
      </c>
      <c r="B1230" s="89" t="s">
        <v>2148</v>
      </c>
      <c r="C1230" s="96" t="s">
        <v>984</v>
      </c>
    </row>
    <row r="1231" spans="1:3" ht="15">
      <c r="A1231" s="90" t="s">
        <v>355</v>
      </c>
      <c r="B1231" s="89" t="s">
        <v>2395</v>
      </c>
      <c r="C1231" s="96" t="s">
        <v>984</v>
      </c>
    </row>
    <row r="1232" spans="1:3" ht="15">
      <c r="A1232" s="90" t="s">
        <v>355</v>
      </c>
      <c r="B1232" s="89" t="s">
        <v>2154</v>
      </c>
      <c r="C1232" s="96" t="s">
        <v>984</v>
      </c>
    </row>
    <row r="1233" spans="1:3" ht="15">
      <c r="A1233" s="90" t="s">
        <v>355</v>
      </c>
      <c r="B1233" s="89" t="s">
        <v>2155</v>
      </c>
      <c r="C1233" s="96" t="s">
        <v>984</v>
      </c>
    </row>
    <row r="1234" spans="1:3" ht="15">
      <c r="A1234" s="90" t="s">
        <v>354</v>
      </c>
      <c r="B1234" s="89" t="s">
        <v>2560</v>
      </c>
      <c r="C1234" s="96" t="s">
        <v>983</v>
      </c>
    </row>
    <row r="1235" spans="1:3" ht="15">
      <c r="A1235" s="90" t="s">
        <v>354</v>
      </c>
      <c r="B1235" s="89" t="s">
        <v>2369</v>
      </c>
      <c r="C1235" s="96" t="s">
        <v>983</v>
      </c>
    </row>
    <row r="1236" spans="1:3" ht="15">
      <c r="A1236" s="90" t="s">
        <v>354</v>
      </c>
      <c r="B1236" s="89" t="s">
        <v>2370</v>
      </c>
      <c r="C1236" s="96" t="s">
        <v>983</v>
      </c>
    </row>
    <row r="1237" spans="1:3" ht="15">
      <c r="A1237" s="90" t="s">
        <v>354</v>
      </c>
      <c r="B1237" s="89" t="s">
        <v>2371</v>
      </c>
      <c r="C1237" s="96" t="s">
        <v>983</v>
      </c>
    </row>
    <row r="1238" spans="1:3" ht="15">
      <c r="A1238" s="90" t="s">
        <v>354</v>
      </c>
      <c r="B1238" s="89" t="s">
        <v>2428</v>
      </c>
      <c r="C1238" s="96" t="s">
        <v>983</v>
      </c>
    </row>
    <row r="1239" spans="1:3" ht="15">
      <c r="A1239" s="90" t="s">
        <v>354</v>
      </c>
      <c r="B1239" s="89" t="s">
        <v>2561</v>
      </c>
      <c r="C1239" s="96" t="s">
        <v>983</v>
      </c>
    </row>
    <row r="1240" spans="1:3" ht="15">
      <c r="A1240" s="90" t="s">
        <v>354</v>
      </c>
      <c r="B1240" s="89" t="s">
        <v>2562</v>
      </c>
      <c r="C1240" s="96" t="s">
        <v>983</v>
      </c>
    </row>
    <row r="1241" spans="1:3" ht="15">
      <c r="A1241" s="90" t="s">
        <v>354</v>
      </c>
      <c r="B1241" s="89" t="s">
        <v>2563</v>
      </c>
      <c r="C1241" s="96" t="s">
        <v>983</v>
      </c>
    </row>
    <row r="1242" spans="1:3" ht="15">
      <c r="A1242" s="90" t="s">
        <v>354</v>
      </c>
      <c r="B1242" s="89" t="s">
        <v>2376</v>
      </c>
      <c r="C1242" s="96" t="s">
        <v>983</v>
      </c>
    </row>
    <row r="1243" spans="1:3" ht="15">
      <c r="A1243" s="90" t="s">
        <v>354</v>
      </c>
      <c r="B1243" s="89" t="s">
        <v>2564</v>
      </c>
      <c r="C1243" s="96" t="s">
        <v>983</v>
      </c>
    </row>
    <row r="1244" spans="1:3" ht="15">
      <c r="A1244" s="90" t="s">
        <v>354</v>
      </c>
      <c r="B1244" s="89" t="s">
        <v>2361</v>
      </c>
      <c r="C1244" s="96" t="s">
        <v>983</v>
      </c>
    </row>
    <row r="1245" spans="1:3" ht="15">
      <c r="A1245" s="90" t="s">
        <v>354</v>
      </c>
      <c r="B1245" s="89" t="s">
        <v>2565</v>
      </c>
      <c r="C1245" s="96" t="s">
        <v>983</v>
      </c>
    </row>
    <row r="1246" spans="1:3" ht="15">
      <c r="A1246" s="90" t="s">
        <v>354</v>
      </c>
      <c r="B1246" s="89" t="s">
        <v>2566</v>
      </c>
      <c r="C1246" s="96" t="s">
        <v>983</v>
      </c>
    </row>
    <row r="1247" spans="1:3" ht="15">
      <c r="A1247" s="90" t="s">
        <v>354</v>
      </c>
      <c r="B1247" s="89" t="s">
        <v>2567</v>
      </c>
      <c r="C1247" s="96" t="s">
        <v>983</v>
      </c>
    </row>
    <row r="1248" spans="1:3" ht="15">
      <c r="A1248" s="90" t="s">
        <v>354</v>
      </c>
      <c r="B1248" s="89" t="s">
        <v>2568</v>
      </c>
      <c r="C1248" s="96" t="s">
        <v>983</v>
      </c>
    </row>
    <row r="1249" spans="1:3" ht="15">
      <c r="A1249" s="90" t="s">
        <v>354</v>
      </c>
      <c r="B1249" s="89" t="s">
        <v>2569</v>
      </c>
      <c r="C1249" s="96" t="s">
        <v>983</v>
      </c>
    </row>
    <row r="1250" spans="1:3" ht="15">
      <c r="A1250" s="90" t="s">
        <v>354</v>
      </c>
      <c r="B1250" s="89" t="s">
        <v>2192</v>
      </c>
      <c r="C1250" s="96" t="s">
        <v>983</v>
      </c>
    </row>
    <row r="1251" spans="1:3" ht="15">
      <c r="A1251" s="90" t="s">
        <v>354</v>
      </c>
      <c r="B1251" s="89" t="s">
        <v>2175</v>
      </c>
      <c r="C1251" s="96" t="s">
        <v>983</v>
      </c>
    </row>
    <row r="1252" spans="1:3" ht="15">
      <c r="A1252" s="90" t="s">
        <v>354</v>
      </c>
      <c r="B1252" s="89" t="s">
        <v>2570</v>
      </c>
      <c r="C1252" s="96" t="s">
        <v>983</v>
      </c>
    </row>
    <row r="1253" spans="1:3" ht="15">
      <c r="A1253" s="90" t="s">
        <v>354</v>
      </c>
      <c r="B1253" s="89" t="s">
        <v>2571</v>
      </c>
      <c r="C1253" s="96" t="s">
        <v>983</v>
      </c>
    </row>
    <row r="1254" spans="1:3" ht="15">
      <c r="A1254" s="90" t="s">
        <v>354</v>
      </c>
      <c r="B1254" s="89" t="s">
        <v>2381</v>
      </c>
      <c r="C1254" s="96" t="s">
        <v>983</v>
      </c>
    </row>
    <row r="1255" spans="1:3" ht="15">
      <c r="A1255" s="90" t="s">
        <v>354</v>
      </c>
      <c r="B1255" s="89" t="s">
        <v>2572</v>
      </c>
      <c r="C1255" s="96" t="s">
        <v>983</v>
      </c>
    </row>
    <row r="1256" spans="1:3" ht="15">
      <c r="A1256" s="90" t="s">
        <v>354</v>
      </c>
      <c r="B1256" s="89" t="s">
        <v>2573</v>
      </c>
      <c r="C1256" s="96" t="s">
        <v>983</v>
      </c>
    </row>
    <row r="1257" spans="1:3" ht="15">
      <c r="A1257" s="90" t="s">
        <v>354</v>
      </c>
      <c r="B1257" s="89" t="s">
        <v>2574</v>
      </c>
      <c r="C1257" s="96" t="s">
        <v>983</v>
      </c>
    </row>
    <row r="1258" spans="1:3" ht="15">
      <c r="A1258" s="90" t="s">
        <v>354</v>
      </c>
      <c r="B1258" s="89" t="s">
        <v>2575</v>
      </c>
      <c r="C1258" s="96" t="s">
        <v>983</v>
      </c>
    </row>
    <row r="1259" spans="1:3" ht="15">
      <c r="A1259" s="90" t="s">
        <v>354</v>
      </c>
      <c r="B1259" s="89" t="s">
        <v>2576</v>
      </c>
      <c r="C1259" s="96" t="s">
        <v>983</v>
      </c>
    </row>
    <row r="1260" spans="1:3" ht="15">
      <c r="A1260" s="90" t="s">
        <v>354</v>
      </c>
      <c r="B1260" s="89" t="s">
        <v>2577</v>
      </c>
      <c r="C1260" s="96" t="s">
        <v>983</v>
      </c>
    </row>
    <row r="1261" spans="1:3" ht="15">
      <c r="A1261" s="90" t="s">
        <v>354</v>
      </c>
      <c r="B1261" s="89" t="s">
        <v>2578</v>
      </c>
      <c r="C1261" s="96" t="s">
        <v>983</v>
      </c>
    </row>
    <row r="1262" spans="1:3" ht="15">
      <c r="A1262" s="90" t="s">
        <v>354</v>
      </c>
      <c r="B1262" s="89" t="s">
        <v>2267</v>
      </c>
      <c r="C1262" s="96" t="s">
        <v>983</v>
      </c>
    </row>
    <row r="1263" spans="1:3" ht="15">
      <c r="A1263" s="90" t="s">
        <v>354</v>
      </c>
      <c r="B1263" s="89" t="s">
        <v>2579</v>
      </c>
      <c r="C1263" s="96" t="s">
        <v>983</v>
      </c>
    </row>
    <row r="1264" spans="1:3" ht="15">
      <c r="A1264" s="90" t="s">
        <v>354</v>
      </c>
      <c r="B1264" s="89" t="s">
        <v>2580</v>
      </c>
      <c r="C1264" s="96" t="s">
        <v>983</v>
      </c>
    </row>
    <row r="1265" spans="1:3" ht="15">
      <c r="A1265" s="90" t="s">
        <v>354</v>
      </c>
      <c r="B1265" s="89" t="s">
        <v>2581</v>
      </c>
      <c r="C1265" s="96" t="s">
        <v>983</v>
      </c>
    </row>
    <row r="1266" spans="1:3" ht="15">
      <c r="A1266" s="90" t="s">
        <v>354</v>
      </c>
      <c r="B1266" s="89" t="s">
        <v>2582</v>
      </c>
      <c r="C1266" s="96" t="s">
        <v>983</v>
      </c>
    </row>
    <row r="1267" spans="1:3" ht="15">
      <c r="A1267" s="90" t="s">
        <v>354</v>
      </c>
      <c r="B1267" s="89" t="s">
        <v>2583</v>
      </c>
      <c r="C1267" s="96" t="s">
        <v>983</v>
      </c>
    </row>
    <row r="1268" spans="1:3" ht="15">
      <c r="A1268" s="90" t="s">
        <v>356</v>
      </c>
      <c r="B1268" s="89" t="s">
        <v>2369</v>
      </c>
      <c r="C1268" s="96" t="s">
        <v>986</v>
      </c>
    </row>
    <row r="1269" spans="1:3" ht="15">
      <c r="A1269" s="90" t="s">
        <v>356</v>
      </c>
      <c r="B1269" s="89" t="s">
        <v>2370</v>
      </c>
      <c r="C1269" s="96" t="s">
        <v>986</v>
      </c>
    </row>
    <row r="1270" spans="1:3" ht="15">
      <c r="A1270" s="90" t="s">
        <v>356</v>
      </c>
      <c r="B1270" s="89" t="s">
        <v>2376</v>
      </c>
      <c r="C1270" s="96" t="s">
        <v>986</v>
      </c>
    </row>
    <row r="1271" spans="1:3" ht="15">
      <c r="A1271" s="90" t="s">
        <v>356</v>
      </c>
      <c r="B1271" s="89" t="s">
        <v>2552</v>
      </c>
      <c r="C1271" s="96" t="s">
        <v>986</v>
      </c>
    </row>
    <row r="1272" spans="1:3" ht="15">
      <c r="A1272" s="90" t="s">
        <v>356</v>
      </c>
      <c r="B1272" s="89" t="s">
        <v>2195</v>
      </c>
      <c r="C1272" s="96" t="s">
        <v>986</v>
      </c>
    </row>
    <row r="1273" spans="1:3" ht="15">
      <c r="A1273" s="90" t="s">
        <v>356</v>
      </c>
      <c r="B1273" s="89" t="s">
        <v>2196</v>
      </c>
      <c r="C1273" s="96" t="s">
        <v>986</v>
      </c>
    </row>
    <row r="1274" spans="1:3" ht="15">
      <c r="A1274" s="90" t="s">
        <v>356</v>
      </c>
      <c r="B1274" s="89" t="s">
        <v>2197</v>
      </c>
      <c r="C1274" s="96" t="s">
        <v>986</v>
      </c>
    </row>
    <row r="1275" spans="1:3" ht="15">
      <c r="A1275" s="90" t="s">
        <v>356</v>
      </c>
      <c r="B1275" s="89" t="s">
        <v>2553</v>
      </c>
      <c r="C1275" s="96" t="s">
        <v>986</v>
      </c>
    </row>
    <row r="1276" spans="1:3" ht="15">
      <c r="A1276" s="90" t="s">
        <v>356</v>
      </c>
      <c r="B1276" s="89" t="s">
        <v>2382</v>
      </c>
      <c r="C1276" s="96" t="s">
        <v>986</v>
      </c>
    </row>
    <row r="1277" spans="1:3" ht="15">
      <c r="A1277" s="90" t="s">
        <v>356</v>
      </c>
      <c r="B1277" s="89" t="s">
        <v>2383</v>
      </c>
      <c r="C1277" s="96" t="s">
        <v>986</v>
      </c>
    </row>
    <row r="1278" spans="1:3" ht="15">
      <c r="A1278" s="90" t="s">
        <v>356</v>
      </c>
      <c r="B1278" s="89" t="s">
        <v>2541</v>
      </c>
      <c r="C1278" s="96" t="s">
        <v>986</v>
      </c>
    </row>
    <row r="1279" spans="1:3" ht="15">
      <c r="A1279" s="90" t="s">
        <v>356</v>
      </c>
      <c r="B1279" s="89" t="s">
        <v>2554</v>
      </c>
      <c r="C1279" s="96" t="s">
        <v>986</v>
      </c>
    </row>
    <row r="1280" spans="1:3" ht="15">
      <c r="A1280" s="90" t="s">
        <v>356</v>
      </c>
      <c r="B1280" s="89" t="s">
        <v>2418</v>
      </c>
      <c r="C1280" s="96" t="s">
        <v>986</v>
      </c>
    </row>
    <row r="1281" spans="1:3" ht="15">
      <c r="A1281" s="90" t="s">
        <v>356</v>
      </c>
      <c r="B1281" s="89" t="s">
        <v>2199</v>
      </c>
      <c r="C1281" s="96" t="s">
        <v>986</v>
      </c>
    </row>
    <row r="1282" spans="1:3" ht="15">
      <c r="A1282" s="90" t="s">
        <v>356</v>
      </c>
      <c r="B1282" s="89" t="s">
        <v>2501</v>
      </c>
      <c r="C1282" s="96" t="s">
        <v>986</v>
      </c>
    </row>
    <row r="1283" spans="1:3" ht="15">
      <c r="A1283" s="90" t="s">
        <v>356</v>
      </c>
      <c r="B1283" s="89" t="s">
        <v>2555</v>
      </c>
      <c r="C1283" s="96" t="s">
        <v>986</v>
      </c>
    </row>
    <row r="1284" spans="1:3" ht="15">
      <c r="A1284" s="90" t="s">
        <v>356</v>
      </c>
      <c r="B1284" s="89" t="s">
        <v>2200</v>
      </c>
      <c r="C1284" s="96" t="s">
        <v>986</v>
      </c>
    </row>
    <row r="1285" spans="1:3" ht="15">
      <c r="A1285" s="90" t="s">
        <v>356</v>
      </c>
      <c r="B1285" s="89" t="s">
        <v>2556</v>
      </c>
      <c r="C1285" s="96" t="s">
        <v>986</v>
      </c>
    </row>
    <row r="1286" spans="1:3" ht="15">
      <c r="A1286" s="90" t="s">
        <v>356</v>
      </c>
      <c r="B1286" s="89" t="s">
        <v>2201</v>
      </c>
      <c r="C1286" s="96" t="s">
        <v>986</v>
      </c>
    </row>
    <row r="1287" spans="1:3" ht="15">
      <c r="A1287" s="90" t="s">
        <v>356</v>
      </c>
      <c r="B1287" s="89" t="s">
        <v>2181</v>
      </c>
      <c r="C1287" s="96" t="s">
        <v>986</v>
      </c>
    </row>
    <row r="1288" spans="1:3" ht="15">
      <c r="A1288" s="90" t="s">
        <v>356</v>
      </c>
      <c r="B1288" s="89" t="s">
        <v>2202</v>
      </c>
      <c r="C1288" s="96" t="s">
        <v>986</v>
      </c>
    </row>
    <row r="1289" spans="1:3" ht="15">
      <c r="A1289" s="90" t="s">
        <v>356</v>
      </c>
      <c r="B1289" s="89" t="s">
        <v>2557</v>
      </c>
      <c r="C1289" s="96" t="s">
        <v>986</v>
      </c>
    </row>
    <row r="1290" spans="1:3" ht="15">
      <c r="A1290" s="90" t="s">
        <v>356</v>
      </c>
      <c r="B1290" s="89" t="s">
        <v>2203</v>
      </c>
      <c r="C1290" s="96" t="s">
        <v>986</v>
      </c>
    </row>
    <row r="1291" spans="1:3" ht="15">
      <c r="A1291" s="90" t="s">
        <v>356</v>
      </c>
      <c r="B1291" s="89" t="s">
        <v>2204</v>
      </c>
      <c r="C1291" s="96" t="s">
        <v>986</v>
      </c>
    </row>
    <row r="1292" spans="1:3" ht="15">
      <c r="A1292" s="90" t="s">
        <v>356</v>
      </c>
      <c r="B1292" s="89" t="s">
        <v>2205</v>
      </c>
      <c r="C1292" s="96" t="s">
        <v>986</v>
      </c>
    </row>
    <row r="1293" spans="1:3" ht="15">
      <c r="A1293" s="90" t="s">
        <v>356</v>
      </c>
      <c r="B1293" s="89" t="s">
        <v>2558</v>
      </c>
      <c r="C1293" s="96" t="s">
        <v>986</v>
      </c>
    </row>
    <row r="1294" spans="1:3" ht="15">
      <c r="A1294" s="90" t="s">
        <v>356</v>
      </c>
      <c r="B1294" s="89" t="s">
        <v>2520</v>
      </c>
      <c r="C1294" s="96" t="s">
        <v>986</v>
      </c>
    </row>
    <row r="1295" spans="1:3" ht="15">
      <c r="A1295" s="90" t="s">
        <v>356</v>
      </c>
      <c r="B1295" s="89" t="s">
        <v>2206</v>
      </c>
      <c r="C1295" s="96" t="s">
        <v>986</v>
      </c>
    </row>
    <row r="1296" spans="1:3" ht="15">
      <c r="A1296" s="90" t="s">
        <v>356</v>
      </c>
      <c r="B1296" s="89" t="s">
        <v>2368</v>
      </c>
      <c r="C1296" s="96" t="s">
        <v>986</v>
      </c>
    </row>
    <row r="1297" spans="1:3" ht="15">
      <c r="A1297" s="90" t="s">
        <v>356</v>
      </c>
      <c r="B1297" s="89" t="s">
        <v>2207</v>
      </c>
      <c r="C1297" s="96" t="s">
        <v>986</v>
      </c>
    </row>
    <row r="1298" spans="1:3" ht="15">
      <c r="A1298" s="90" t="s">
        <v>356</v>
      </c>
      <c r="B1298" s="89" t="s">
        <v>2559</v>
      </c>
      <c r="C1298" s="96" t="s">
        <v>986</v>
      </c>
    </row>
    <row r="1299" spans="1:3" ht="15">
      <c r="A1299" s="90" t="s">
        <v>353</v>
      </c>
      <c r="B1299" s="89" t="s">
        <v>2369</v>
      </c>
      <c r="C1299" s="96" t="s">
        <v>982</v>
      </c>
    </row>
    <row r="1300" spans="1:3" ht="15">
      <c r="A1300" s="90" t="s">
        <v>353</v>
      </c>
      <c r="B1300" s="89" t="s">
        <v>2370</v>
      </c>
      <c r="C1300" s="96" t="s">
        <v>982</v>
      </c>
    </row>
    <row r="1301" spans="1:3" ht="15">
      <c r="A1301" s="90" t="s">
        <v>353</v>
      </c>
      <c r="B1301" s="89" t="s">
        <v>2376</v>
      </c>
      <c r="C1301" s="96" t="s">
        <v>982</v>
      </c>
    </row>
    <row r="1302" spans="1:3" ht="15">
      <c r="A1302" s="90" t="s">
        <v>353</v>
      </c>
      <c r="B1302" s="89" t="s">
        <v>2552</v>
      </c>
      <c r="C1302" s="96" t="s">
        <v>982</v>
      </c>
    </row>
    <row r="1303" spans="1:3" ht="15">
      <c r="A1303" s="90" t="s">
        <v>353</v>
      </c>
      <c r="B1303" s="89" t="s">
        <v>2195</v>
      </c>
      <c r="C1303" s="96" t="s">
        <v>982</v>
      </c>
    </row>
    <row r="1304" spans="1:3" ht="15">
      <c r="A1304" s="90" t="s">
        <v>353</v>
      </c>
      <c r="B1304" s="89" t="s">
        <v>2196</v>
      </c>
      <c r="C1304" s="96" t="s">
        <v>982</v>
      </c>
    </row>
    <row r="1305" spans="1:3" ht="15">
      <c r="A1305" s="90" t="s">
        <v>353</v>
      </c>
      <c r="B1305" s="89" t="s">
        <v>2197</v>
      </c>
      <c r="C1305" s="96" t="s">
        <v>982</v>
      </c>
    </row>
    <row r="1306" spans="1:3" ht="15">
      <c r="A1306" s="90" t="s">
        <v>353</v>
      </c>
      <c r="B1306" s="89" t="s">
        <v>2553</v>
      </c>
      <c r="C1306" s="96" t="s">
        <v>982</v>
      </c>
    </row>
    <row r="1307" spans="1:3" ht="15">
      <c r="A1307" s="90" t="s">
        <v>353</v>
      </c>
      <c r="B1307" s="89" t="s">
        <v>2382</v>
      </c>
      <c r="C1307" s="96" t="s">
        <v>982</v>
      </c>
    </row>
    <row r="1308" spans="1:3" ht="15">
      <c r="A1308" s="90" t="s">
        <v>353</v>
      </c>
      <c r="B1308" s="89" t="s">
        <v>2383</v>
      </c>
      <c r="C1308" s="96" t="s">
        <v>982</v>
      </c>
    </row>
    <row r="1309" spans="1:3" ht="15">
      <c r="A1309" s="90" t="s">
        <v>353</v>
      </c>
      <c r="B1309" s="89" t="s">
        <v>2541</v>
      </c>
      <c r="C1309" s="96" t="s">
        <v>982</v>
      </c>
    </row>
    <row r="1310" spans="1:3" ht="15">
      <c r="A1310" s="90" t="s">
        <v>353</v>
      </c>
      <c r="B1310" s="89" t="s">
        <v>2554</v>
      </c>
      <c r="C1310" s="96" t="s">
        <v>982</v>
      </c>
    </row>
    <row r="1311" spans="1:3" ht="15">
      <c r="A1311" s="90" t="s">
        <v>353</v>
      </c>
      <c r="B1311" s="89" t="s">
        <v>2418</v>
      </c>
      <c r="C1311" s="96" t="s">
        <v>982</v>
      </c>
    </row>
    <row r="1312" spans="1:3" ht="15">
      <c r="A1312" s="90" t="s">
        <v>353</v>
      </c>
      <c r="B1312" s="89" t="s">
        <v>2199</v>
      </c>
      <c r="C1312" s="96" t="s">
        <v>982</v>
      </c>
    </row>
    <row r="1313" spans="1:3" ht="15">
      <c r="A1313" s="90" t="s">
        <v>353</v>
      </c>
      <c r="B1313" s="89" t="s">
        <v>2501</v>
      </c>
      <c r="C1313" s="96" t="s">
        <v>982</v>
      </c>
    </row>
    <row r="1314" spans="1:3" ht="15">
      <c r="A1314" s="90" t="s">
        <v>353</v>
      </c>
      <c r="B1314" s="89" t="s">
        <v>2555</v>
      </c>
      <c r="C1314" s="96" t="s">
        <v>982</v>
      </c>
    </row>
    <row r="1315" spans="1:3" ht="15">
      <c r="A1315" s="90" t="s">
        <v>353</v>
      </c>
      <c r="B1315" s="89" t="s">
        <v>2200</v>
      </c>
      <c r="C1315" s="96" t="s">
        <v>982</v>
      </c>
    </row>
    <row r="1316" spans="1:3" ht="15">
      <c r="A1316" s="90" t="s">
        <v>353</v>
      </c>
      <c r="B1316" s="89" t="s">
        <v>2556</v>
      </c>
      <c r="C1316" s="96" t="s">
        <v>982</v>
      </c>
    </row>
    <row r="1317" spans="1:3" ht="15">
      <c r="A1317" s="90" t="s">
        <v>353</v>
      </c>
      <c r="B1317" s="89" t="s">
        <v>2201</v>
      </c>
      <c r="C1317" s="96" t="s">
        <v>982</v>
      </c>
    </row>
    <row r="1318" spans="1:3" ht="15">
      <c r="A1318" s="90" t="s">
        <v>353</v>
      </c>
      <c r="B1318" s="89" t="s">
        <v>2181</v>
      </c>
      <c r="C1318" s="96" t="s">
        <v>982</v>
      </c>
    </row>
    <row r="1319" spans="1:3" ht="15">
      <c r="A1319" s="90" t="s">
        <v>353</v>
      </c>
      <c r="B1319" s="89" t="s">
        <v>2202</v>
      </c>
      <c r="C1319" s="96" t="s">
        <v>982</v>
      </c>
    </row>
    <row r="1320" spans="1:3" ht="15">
      <c r="A1320" s="90" t="s">
        <v>353</v>
      </c>
      <c r="B1320" s="89" t="s">
        <v>2557</v>
      </c>
      <c r="C1320" s="96" t="s">
        <v>982</v>
      </c>
    </row>
    <row r="1321" spans="1:3" ht="15">
      <c r="A1321" s="90" t="s">
        <v>353</v>
      </c>
      <c r="B1321" s="89" t="s">
        <v>2203</v>
      </c>
      <c r="C1321" s="96" t="s">
        <v>982</v>
      </c>
    </row>
    <row r="1322" spans="1:3" ht="15">
      <c r="A1322" s="90" t="s">
        <v>353</v>
      </c>
      <c r="B1322" s="89" t="s">
        <v>2204</v>
      </c>
      <c r="C1322" s="96" t="s">
        <v>982</v>
      </c>
    </row>
    <row r="1323" spans="1:3" ht="15">
      <c r="A1323" s="90" t="s">
        <v>353</v>
      </c>
      <c r="B1323" s="89" t="s">
        <v>2205</v>
      </c>
      <c r="C1323" s="96" t="s">
        <v>982</v>
      </c>
    </row>
    <row r="1324" spans="1:3" ht="15">
      <c r="A1324" s="90" t="s">
        <v>353</v>
      </c>
      <c r="B1324" s="89" t="s">
        <v>2558</v>
      </c>
      <c r="C1324" s="96" t="s">
        <v>982</v>
      </c>
    </row>
    <row r="1325" spans="1:3" ht="15">
      <c r="A1325" s="90" t="s">
        <v>353</v>
      </c>
      <c r="B1325" s="89" t="s">
        <v>2520</v>
      </c>
      <c r="C1325" s="96" t="s">
        <v>982</v>
      </c>
    </row>
    <row r="1326" spans="1:3" ht="15">
      <c r="A1326" s="90" t="s">
        <v>353</v>
      </c>
      <c r="B1326" s="89" t="s">
        <v>2206</v>
      </c>
      <c r="C1326" s="96" t="s">
        <v>982</v>
      </c>
    </row>
    <row r="1327" spans="1:3" ht="15">
      <c r="A1327" s="90" t="s">
        <v>353</v>
      </c>
      <c r="B1327" s="89" t="s">
        <v>2368</v>
      </c>
      <c r="C1327" s="96" t="s">
        <v>982</v>
      </c>
    </row>
    <row r="1328" spans="1:3" ht="15">
      <c r="A1328" s="90" t="s">
        <v>353</v>
      </c>
      <c r="B1328" s="89" t="s">
        <v>2207</v>
      </c>
      <c r="C1328" s="96" t="s">
        <v>982</v>
      </c>
    </row>
    <row r="1329" spans="1:3" ht="15">
      <c r="A1329" s="90" t="s">
        <v>353</v>
      </c>
      <c r="B1329" s="89" t="s">
        <v>2559</v>
      </c>
      <c r="C1329" s="96" t="s">
        <v>982</v>
      </c>
    </row>
    <row r="1330" spans="1:3" ht="15">
      <c r="A1330" s="90" t="s">
        <v>352</v>
      </c>
      <c r="B1330" s="89" t="s">
        <v>2369</v>
      </c>
      <c r="C1330" s="96" t="s">
        <v>981</v>
      </c>
    </row>
    <row r="1331" spans="1:3" ht="15">
      <c r="A1331" s="90" t="s">
        <v>352</v>
      </c>
      <c r="B1331" s="89" t="s">
        <v>2370</v>
      </c>
      <c r="C1331" s="96" t="s">
        <v>981</v>
      </c>
    </row>
    <row r="1332" spans="1:3" ht="15">
      <c r="A1332" s="90" t="s">
        <v>352</v>
      </c>
      <c r="B1332" s="89" t="s">
        <v>2112</v>
      </c>
      <c r="C1332" s="96" t="s">
        <v>981</v>
      </c>
    </row>
    <row r="1333" spans="1:3" ht="15">
      <c r="A1333" s="90" t="s">
        <v>352</v>
      </c>
      <c r="B1333" s="89" t="s">
        <v>2113</v>
      </c>
      <c r="C1333" s="96" t="s">
        <v>981</v>
      </c>
    </row>
    <row r="1334" spans="1:3" ht="15">
      <c r="A1334" s="90" t="s">
        <v>351</v>
      </c>
      <c r="B1334" s="89" t="s">
        <v>2369</v>
      </c>
      <c r="C1334" s="96" t="s">
        <v>980</v>
      </c>
    </row>
    <row r="1335" spans="1:3" ht="15">
      <c r="A1335" s="90" t="s">
        <v>351</v>
      </c>
      <c r="B1335" s="89" t="s">
        <v>2370</v>
      </c>
      <c r="C1335" s="96" t="s">
        <v>980</v>
      </c>
    </row>
    <row r="1336" spans="1:3" ht="15">
      <c r="A1336" s="90" t="s">
        <v>351</v>
      </c>
      <c r="B1336" s="89" t="s">
        <v>2150</v>
      </c>
      <c r="C1336" s="96" t="s">
        <v>980</v>
      </c>
    </row>
    <row r="1337" spans="1:3" ht="15">
      <c r="A1337" s="90" t="s">
        <v>351</v>
      </c>
      <c r="B1337" s="89" t="s">
        <v>2151</v>
      </c>
      <c r="C1337" s="96" t="s">
        <v>980</v>
      </c>
    </row>
    <row r="1338" spans="1:3" ht="15">
      <c r="A1338" s="90" t="s">
        <v>351</v>
      </c>
      <c r="B1338" s="89" t="s">
        <v>2152</v>
      </c>
      <c r="C1338" s="96" t="s">
        <v>980</v>
      </c>
    </row>
    <row r="1339" spans="1:3" ht="15">
      <c r="A1339" s="90" t="s">
        <v>351</v>
      </c>
      <c r="B1339" s="89" t="s">
        <v>2391</v>
      </c>
      <c r="C1339" s="96" t="s">
        <v>980</v>
      </c>
    </row>
    <row r="1340" spans="1:3" ht="15">
      <c r="A1340" s="90" t="s">
        <v>351</v>
      </c>
      <c r="B1340" s="89" t="s">
        <v>2392</v>
      </c>
      <c r="C1340" s="96" t="s">
        <v>980</v>
      </c>
    </row>
    <row r="1341" spans="1:3" ht="15">
      <c r="A1341" s="90" t="s">
        <v>351</v>
      </c>
      <c r="B1341" s="89" t="s">
        <v>2393</v>
      </c>
      <c r="C1341" s="96" t="s">
        <v>980</v>
      </c>
    </row>
    <row r="1342" spans="1:3" ht="15">
      <c r="A1342" s="90" t="s">
        <v>351</v>
      </c>
      <c r="B1342" s="89" t="s">
        <v>2149</v>
      </c>
      <c r="C1342" s="96" t="s">
        <v>980</v>
      </c>
    </row>
    <row r="1343" spans="1:3" ht="15">
      <c r="A1343" s="90" t="s">
        <v>351</v>
      </c>
      <c r="B1343" s="89" t="s">
        <v>2153</v>
      </c>
      <c r="C1343" s="96" t="s">
        <v>980</v>
      </c>
    </row>
    <row r="1344" spans="1:3" ht="15">
      <c r="A1344" s="90" t="s">
        <v>351</v>
      </c>
      <c r="B1344" s="89" t="s">
        <v>2361</v>
      </c>
      <c r="C1344" s="96" t="s">
        <v>980</v>
      </c>
    </row>
    <row r="1345" spans="1:3" ht="15">
      <c r="A1345" s="90" t="s">
        <v>351</v>
      </c>
      <c r="B1345" s="89" t="s">
        <v>2394</v>
      </c>
      <c r="C1345" s="96" t="s">
        <v>980</v>
      </c>
    </row>
    <row r="1346" spans="1:3" ht="15">
      <c r="A1346" s="90" t="s">
        <v>351</v>
      </c>
      <c r="B1346" s="89" t="s">
        <v>2148</v>
      </c>
      <c r="C1346" s="96" t="s">
        <v>980</v>
      </c>
    </row>
    <row r="1347" spans="1:3" ht="15">
      <c r="A1347" s="90" t="s">
        <v>351</v>
      </c>
      <c r="B1347" s="89" t="s">
        <v>2395</v>
      </c>
      <c r="C1347" s="96" t="s">
        <v>980</v>
      </c>
    </row>
    <row r="1348" spans="1:3" ht="15">
      <c r="A1348" s="90" t="s">
        <v>351</v>
      </c>
      <c r="B1348" s="89" t="s">
        <v>2154</v>
      </c>
      <c r="C1348" s="96" t="s">
        <v>980</v>
      </c>
    </row>
    <row r="1349" spans="1:3" ht="15">
      <c r="A1349" s="90" t="s">
        <v>351</v>
      </c>
      <c r="B1349" s="89" t="s">
        <v>2155</v>
      </c>
      <c r="C1349" s="96" t="s">
        <v>980</v>
      </c>
    </row>
    <row r="1350" spans="1:3" ht="15">
      <c r="A1350" s="90" t="s">
        <v>350</v>
      </c>
      <c r="B1350" s="89" t="s">
        <v>2369</v>
      </c>
      <c r="C1350" s="96" t="s">
        <v>979</v>
      </c>
    </row>
    <row r="1351" spans="1:3" ht="15">
      <c r="A1351" s="90" t="s">
        <v>350</v>
      </c>
      <c r="B1351" s="89" t="s">
        <v>2370</v>
      </c>
      <c r="C1351" s="96" t="s">
        <v>979</v>
      </c>
    </row>
    <row r="1352" spans="1:3" ht="15">
      <c r="A1352" s="90" t="s">
        <v>350</v>
      </c>
      <c r="B1352" s="89" t="s">
        <v>2112</v>
      </c>
      <c r="C1352" s="96" t="s">
        <v>979</v>
      </c>
    </row>
    <row r="1353" spans="1:3" ht="15">
      <c r="A1353" s="90" t="s">
        <v>350</v>
      </c>
      <c r="B1353" s="89" t="s">
        <v>2113</v>
      </c>
      <c r="C1353" s="96" t="s">
        <v>979</v>
      </c>
    </row>
    <row r="1354" spans="1:3" ht="15">
      <c r="A1354" s="90" t="s">
        <v>350</v>
      </c>
      <c r="B1354" s="89" t="s">
        <v>2369</v>
      </c>
      <c r="C1354" s="96" t="s">
        <v>978</v>
      </c>
    </row>
    <row r="1355" spans="1:3" ht="15">
      <c r="A1355" s="90" t="s">
        <v>350</v>
      </c>
      <c r="B1355" s="89" t="s">
        <v>2370</v>
      </c>
      <c r="C1355" s="96" t="s">
        <v>978</v>
      </c>
    </row>
    <row r="1356" spans="1:3" ht="15">
      <c r="A1356" s="90" t="s">
        <v>350</v>
      </c>
      <c r="B1356" s="89" t="s">
        <v>2150</v>
      </c>
      <c r="C1356" s="96" t="s">
        <v>978</v>
      </c>
    </row>
    <row r="1357" spans="1:3" ht="15">
      <c r="A1357" s="90" t="s">
        <v>350</v>
      </c>
      <c r="B1357" s="89" t="s">
        <v>2151</v>
      </c>
      <c r="C1357" s="96" t="s">
        <v>978</v>
      </c>
    </row>
    <row r="1358" spans="1:3" ht="15">
      <c r="A1358" s="90" t="s">
        <v>350</v>
      </c>
      <c r="B1358" s="89" t="s">
        <v>2152</v>
      </c>
      <c r="C1358" s="96" t="s">
        <v>978</v>
      </c>
    </row>
    <row r="1359" spans="1:3" ht="15">
      <c r="A1359" s="90" t="s">
        <v>350</v>
      </c>
      <c r="B1359" s="89" t="s">
        <v>2391</v>
      </c>
      <c r="C1359" s="96" t="s">
        <v>978</v>
      </c>
    </row>
    <row r="1360" spans="1:3" ht="15">
      <c r="A1360" s="90" t="s">
        <v>350</v>
      </c>
      <c r="B1360" s="89" t="s">
        <v>2392</v>
      </c>
      <c r="C1360" s="96" t="s">
        <v>978</v>
      </c>
    </row>
    <row r="1361" spans="1:3" ht="15">
      <c r="A1361" s="90" t="s">
        <v>350</v>
      </c>
      <c r="B1361" s="89" t="s">
        <v>2393</v>
      </c>
      <c r="C1361" s="96" t="s">
        <v>978</v>
      </c>
    </row>
    <row r="1362" spans="1:3" ht="15">
      <c r="A1362" s="90" t="s">
        <v>350</v>
      </c>
      <c r="B1362" s="89" t="s">
        <v>2149</v>
      </c>
      <c r="C1362" s="96" t="s">
        <v>978</v>
      </c>
    </row>
    <row r="1363" spans="1:3" ht="15">
      <c r="A1363" s="90" t="s">
        <v>350</v>
      </c>
      <c r="B1363" s="89" t="s">
        <v>2153</v>
      </c>
      <c r="C1363" s="96" t="s">
        <v>978</v>
      </c>
    </row>
    <row r="1364" spans="1:3" ht="15">
      <c r="A1364" s="90" t="s">
        <v>350</v>
      </c>
      <c r="B1364" s="89" t="s">
        <v>2361</v>
      </c>
      <c r="C1364" s="96" t="s">
        <v>978</v>
      </c>
    </row>
    <row r="1365" spans="1:3" ht="15">
      <c r="A1365" s="90" t="s">
        <v>350</v>
      </c>
      <c r="B1365" s="89" t="s">
        <v>2394</v>
      </c>
      <c r="C1365" s="96" t="s">
        <v>978</v>
      </c>
    </row>
    <row r="1366" spans="1:3" ht="15">
      <c r="A1366" s="90" t="s">
        <v>350</v>
      </c>
      <c r="B1366" s="89" t="s">
        <v>2148</v>
      </c>
      <c r="C1366" s="96" t="s">
        <v>978</v>
      </c>
    </row>
    <row r="1367" spans="1:3" ht="15">
      <c r="A1367" s="90" t="s">
        <v>350</v>
      </c>
      <c r="B1367" s="89" t="s">
        <v>2395</v>
      </c>
      <c r="C1367" s="96" t="s">
        <v>978</v>
      </c>
    </row>
    <row r="1368" spans="1:3" ht="15">
      <c r="A1368" s="90" t="s">
        <v>350</v>
      </c>
      <c r="B1368" s="89" t="s">
        <v>2154</v>
      </c>
      <c r="C1368" s="96" t="s">
        <v>978</v>
      </c>
    </row>
    <row r="1369" spans="1:3" ht="15">
      <c r="A1369" s="90" t="s">
        <v>350</v>
      </c>
      <c r="B1369" s="89" t="s">
        <v>2155</v>
      </c>
      <c r="C1369" s="96" t="s">
        <v>978</v>
      </c>
    </row>
    <row r="1370" spans="1:3" ht="15">
      <c r="A1370" s="90" t="s">
        <v>350</v>
      </c>
      <c r="B1370" s="89" t="s">
        <v>2369</v>
      </c>
      <c r="C1370" s="96" t="s">
        <v>977</v>
      </c>
    </row>
    <row r="1371" spans="1:3" ht="15">
      <c r="A1371" s="90" t="s">
        <v>350</v>
      </c>
      <c r="B1371" s="89" t="s">
        <v>2370</v>
      </c>
      <c r="C1371" s="96" t="s">
        <v>977</v>
      </c>
    </row>
    <row r="1372" spans="1:3" ht="15">
      <c r="A1372" s="90" t="s">
        <v>350</v>
      </c>
      <c r="B1372" s="89" t="s">
        <v>2399</v>
      </c>
      <c r="C1372" s="96" t="s">
        <v>977</v>
      </c>
    </row>
    <row r="1373" spans="1:3" ht="15">
      <c r="A1373" s="90" t="s">
        <v>350</v>
      </c>
      <c r="B1373" s="89" t="s">
        <v>2110</v>
      </c>
      <c r="C1373" s="96" t="s">
        <v>977</v>
      </c>
    </row>
    <row r="1374" spans="1:3" ht="15">
      <c r="A1374" s="90" t="s">
        <v>350</v>
      </c>
      <c r="B1374" s="89" t="s">
        <v>2125</v>
      </c>
      <c r="C1374" s="96" t="s">
        <v>977</v>
      </c>
    </row>
    <row r="1375" spans="1:3" ht="15">
      <c r="A1375" s="90" t="s">
        <v>350</v>
      </c>
      <c r="B1375" s="89" t="s">
        <v>2400</v>
      </c>
      <c r="C1375" s="96" t="s">
        <v>977</v>
      </c>
    </row>
    <row r="1376" spans="1:3" ht="15">
      <c r="A1376" s="90" t="s">
        <v>350</v>
      </c>
      <c r="B1376" s="89" t="s">
        <v>2127</v>
      </c>
      <c r="C1376" s="96" t="s">
        <v>977</v>
      </c>
    </row>
    <row r="1377" spans="1:3" ht="15">
      <c r="A1377" s="90" t="s">
        <v>350</v>
      </c>
      <c r="B1377" s="89" t="s">
        <v>2401</v>
      </c>
      <c r="C1377" s="96" t="s">
        <v>977</v>
      </c>
    </row>
    <row r="1378" spans="1:3" ht="15">
      <c r="A1378" s="90" t="s">
        <v>350</v>
      </c>
      <c r="B1378" s="89" t="s">
        <v>2402</v>
      </c>
      <c r="C1378" s="96" t="s">
        <v>977</v>
      </c>
    </row>
    <row r="1379" spans="1:3" ht="15">
      <c r="A1379" s="90" t="s">
        <v>350</v>
      </c>
      <c r="B1379" s="89" t="s">
        <v>2403</v>
      </c>
      <c r="C1379" s="96" t="s">
        <v>977</v>
      </c>
    </row>
    <row r="1380" spans="1:3" ht="15">
      <c r="A1380" s="90" t="s">
        <v>350</v>
      </c>
      <c r="B1380" s="89" t="s">
        <v>2404</v>
      </c>
      <c r="C1380" s="96" t="s">
        <v>977</v>
      </c>
    </row>
    <row r="1381" spans="1:3" ht="15">
      <c r="A1381" s="90" t="s">
        <v>350</v>
      </c>
      <c r="B1381" s="89" t="s">
        <v>2115</v>
      </c>
      <c r="C1381" s="96" t="s">
        <v>977</v>
      </c>
    </row>
    <row r="1382" spans="1:3" ht="15">
      <c r="A1382" s="90" t="s">
        <v>350</v>
      </c>
      <c r="B1382" s="89" t="s">
        <v>2116</v>
      </c>
      <c r="C1382" s="96" t="s">
        <v>977</v>
      </c>
    </row>
    <row r="1383" spans="1:3" ht="15">
      <c r="A1383" s="90" t="s">
        <v>350</v>
      </c>
      <c r="B1383" s="89" t="s">
        <v>2117</v>
      </c>
      <c r="C1383" s="96" t="s">
        <v>977</v>
      </c>
    </row>
    <row r="1384" spans="1:3" ht="15">
      <c r="A1384" s="90" t="s">
        <v>350</v>
      </c>
      <c r="B1384" s="89" t="s">
        <v>2118</v>
      </c>
      <c r="C1384" s="96" t="s">
        <v>977</v>
      </c>
    </row>
    <row r="1385" spans="1:3" ht="15">
      <c r="A1385" s="90" t="s">
        <v>350</v>
      </c>
      <c r="B1385" s="89" t="s">
        <v>2119</v>
      </c>
      <c r="C1385" s="96" t="s">
        <v>977</v>
      </c>
    </row>
    <row r="1386" spans="1:3" ht="15">
      <c r="A1386" s="90" t="s">
        <v>350</v>
      </c>
      <c r="B1386" s="89" t="s">
        <v>2129</v>
      </c>
      <c r="C1386" s="96" t="s">
        <v>977</v>
      </c>
    </row>
    <row r="1387" spans="1:3" ht="15">
      <c r="A1387" s="90" t="s">
        <v>350</v>
      </c>
      <c r="B1387" s="89" t="s">
        <v>2120</v>
      </c>
      <c r="C1387" s="96" t="s">
        <v>977</v>
      </c>
    </row>
    <row r="1388" spans="1:3" ht="15">
      <c r="A1388" s="90" t="s">
        <v>350</v>
      </c>
      <c r="B1388" s="89" t="s">
        <v>2121</v>
      </c>
      <c r="C1388" s="96" t="s">
        <v>977</v>
      </c>
    </row>
    <row r="1389" spans="1:3" ht="15">
      <c r="A1389" s="90" t="s">
        <v>350</v>
      </c>
      <c r="B1389" s="89" t="s">
        <v>2122</v>
      </c>
      <c r="C1389" s="96" t="s">
        <v>977</v>
      </c>
    </row>
    <row r="1390" spans="1:3" ht="15">
      <c r="A1390" s="90" t="s">
        <v>350</v>
      </c>
      <c r="B1390" s="89" t="s">
        <v>2130</v>
      </c>
      <c r="C1390" s="96" t="s">
        <v>977</v>
      </c>
    </row>
    <row r="1391" spans="1:3" ht="15">
      <c r="A1391" s="90" t="s">
        <v>350</v>
      </c>
      <c r="B1391" s="89" t="s">
        <v>2131</v>
      </c>
      <c r="C1391" s="96" t="s">
        <v>977</v>
      </c>
    </row>
    <row r="1392" spans="1:3" ht="15">
      <c r="A1392" s="90" t="s">
        <v>350</v>
      </c>
      <c r="B1392" s="89" t="s">
        <v>2123</v>
      </c>
      <c r="C1392" s="96" t="s">
        <v>977</v>
      </c>
    </row>
    <row r="1393" spans="1:3" ht="15">
      <c r="A1393" s="90" t="s">
        <v>350</v>
      </c>
      <c r="B1393" s="89" t="s">
        <v>2114</v>
      </c>
      <c r="C1393" s="96" t="s">
        <v>977</v>
      </c>
    </row>
    <row r="1394" spans="1:3" ht="15">
      <c r="A1394" s="90" t="s">
        <v>350</v>
      </c>
      <c r="B1394" s="89" t="s">
        <v>2360</v>
      </c>
      <c r="C1394" s="96" t="s">
        <v>976</v>
      </c>
    </row>
    <row r="1395" spans="1:3" ht="15">
      <c r="A1395" s="90" t="s">
        <v>350</v>
      </c>
      <c r="B1395" s="89" t="s">
        <v>2159</v>
      </c>
      <c r="C1395" s="96" t="s">
        <v>976</v>
      </c>
    </row>
    <row r="1396" spans="1:3" ht="15">
      <c r="A1396" s="90" t="s">
        <v>350</v>
      </c>
      <c r="B1396" s="89" t="s">
        <v>2160</v>
      </c>
      <c r="C1396" s="96" t="s">
        <v>976</v>
      </c>
    </row>
    <row r="1397" spans="1:3" ht="15">
      <c r="A1397" s="90" t="s">
        <v>350</v>
      </c>
      <c r="B1397" s="89" t="s">
        <v>2442</v>
      </c>
      <c r="C1397" s="96" t="s">
        <v>976</v>
      </c>
    </row>
    <row r="1398" spans="1:3" ht="15">
      <c r="A1398" s="90" t="s">
        <v>350</v>
      </c>
      <c r="B1398" s="89" t="s">
        <v>2584</v>
      </c>
      <c r="C1398" s="96" t="s">
        <v>976</v>
      </c>
    </row>
    <row r="1399" spans="1:3" ht="15">
      <c r="A1399" s="90" t="s">
        <v>350</v>
      </c>
      <c r="B1399" s="89" t="s">
        <v>2428</v>
      </c>
      <c r="C1399" s="96" t="s">
        <v>976</v>
      </c>
    </row>
    <row r="1400" spans="1:3" ht="15">
      <c r="A1400" s="90" t="s">
        <v>350</v>
      </c>
      <c r="B1400" s="89" t="s">
        <v>2585</v>
      </c>
      <c r="C1400" s="96" t="s">
        <v>976</v>
      </c>
    </row>
    <row r="1401" spans="1:3" ht="15">
      <c r="A1401" s="90" t="s">
        <v>350</v>
      </c>
      <c r="B1401" s="89" t="s">
        <v>2109</v>
      </c>
      <c r="C1401" s="96" t="s">
        <v>976</v>
      </c>
    </row>
    <row r="1402" spans="1:3" ht="15">
      <c r="A1402" s="90" t="s">
        <v>350</v>
      </c>
      <c r="B1402" s="89" t="s">
        <v>2586</v>
      </c>
      <c r="C1402" s="96" t="s">
        <v>976</v>
      </c>
    </row>
    <row r="1403" spans="1:3" ht="15">
      <c r="A1403" s="90" t="s">
        <v>350</v>
      </c>
      <c r="B1403" s="89" t="s">
        <v>2158</v>
      </c>
      <c r="C1403" s="96" t="s">
        <v>976</v>
      </c>
    </row>
    <row r="1404" spans="1:3" ht="15">
      <c r="A1404" s="90" t="s">
        <v>350</v>
      </c>
      <c r="B1404" s="89" t="s">
        <v>2162</v>
      </c>
      <c r="C1404" s="96" t="s">
        <v>976</v>
      </c>
    </row>
    <row r="1405" spans="1:3" ht="15">
      <c r="A1405" s="90" t="s">
        <v>350</v>
      </c>
      <c r="B1405" s="89" t="s">
        <v>2587</v>
      </c>
      <c r="C1405" s="96" t="s">
        <v>976</v>
      </c>
    </row>
    <row r="1406" spans="1:3" ht="15">
      <c r="A1406" s="90" t="s">
        <v>350</v>
      </c>
      <c r="B1406" s="89" t="s">
        <v>2588</v>
      </c>
      <c r="C1406" s="96" t="s">
        <v>976</v>
      </c>
    </row>
    <row r="1407" spans="1:3" ht="15">
      <c r="A1407" s="90" t="s">
        <v>350</v>
      </c>
      <c r="B1407" s="89" t="s">
        <v>2589</v>
      </c>
      <c r="C1407" s="96" t="s">
        <v>976</v>
      </c>
    </row>
    <row r="1408" spans="1:3" ht="15">
      <c r="A1408" s="90" t="s">
        <v>350</v>
      </c>
      <c r="B1408" s="89" t="s">
        <v>2369</v>
      </c>
      <c r="C1408" s="96" t="s">
        <v>976</v>
      </c>
    </row>
    <row r="1409" spans="1:3" ht="15">
      <c r="A1409" s="90" t="s">
        <v>350</v>
      </c>
      <c r="B1409" s="89" t="s">
        <v>2376</v>
      </c>
      <c r="C1409" s="96" t="s">
        <v>976</v>
      </c>
    </row>
    <row r="1410" spans="1:3" ht="15">
      <c r="A1410" s="90" t="s">
        <v>350</v>
      </c>
      <c r="B1410" s="89" t="s">
        <v>2590</v>
      </c>
      <c r="C1410" s="96" t="s">
        <v>976</v>
      </c>
    </row>
    <row r="1411" spans="1:3" ht="15">
      <c r="A1411" s="90" t="s">
        <v>350</v>
      </c>
      <c r="B1411" s="89" t="s">
        <v>2165</v>
      </c>
      <c r="C1411" s="96" t="s">
        <v>976</v>
      </c>
    </row>
    <row r="1412" spans="1:3" ht="15">
      <c r="A1412" s="90" t="s">
        <v>350</v>
      </c>
      <c r="B1412" s="89" t="s">
        <v>2591</v>
      </c>
      <c r="C1412" s="96" t="s">
        <v>976</v>
      </c>
    </row>
    <row r="1413" spans="1:3" ht="15">
      <c r="A1413" s="90" t="s">
        <v>350</v>
      </c>
      <c r="B1413" s="89" t="s">
        <v>2167</v>
      </c>
      <c r="C1413" s="96" t="s">
        <v>976</v>
      </c>
    </row>
    <row r="1414" spans="1:3" ht="15">
      <c r="A1414" s="90" t="s">
        <v>350</v>
      </c>
      <c r="B1414" s="89" t="s">
        <v>2168</v>
      </c>
      <c r="C1414" s="96" t="s">
        <v>976</v>
      </c>
    </row>
    <row r="1415" spans="1:3" ht="15">
      <c r="A1415" s="90" t="s">
        <v>350</v>
      </c>
      <c r="B1415" s="89" t="s">
        <v>2169</v>
      </c>
      <c r="C1415" s="96" t="s">
        <v>976</v>
      </c>
    </row>
    <row r="1416" spans="1:3" ht="15">
      <c r="A1416" s="90" t="s">
        <v>350</v>
      </c>
      <c r="B1416" s="89" t="s">
        <v>2170</v>
      </c>
      <c r="C1416" s="96" t="s">
        <v>976</v>
      </c>
    </row>
    <row r="1417" spans="1:3" ht="15">
      <c r="A1417" s="90" t="s">
        <v>350</v>
      </c>
      <c r="B1417" s="89" t="s">
        <v>2361</v>
      </c>
      <c r="C1417" s="96" t="s">
        <v>976</v>
      </c>
    </row>
    <row r="1418" spans="1:3" ht="15">
      <c r="A1418" s="90" t="s">
        <v>350</v>
      </c>
      <c r="B1418" s="89" t="s">
        <v>2171</v>
      </c>
      <c r="C1418" s="96" t="s">
        <v>976</v>
      </c>
    </row>
    <row r="1419" spans="1:3" ht="15">
      <c r="A1419" s="90" t="s">
        <v>350</v>
      </c>
      <c r="B1419" s="89" t="s">
        <v>2172</v>
      </c>
      <c r="C1419" s="96" t="s">
        <v>976</v>
      </c>
    </row>
    <row r="1420" spans="1:3" ht="15">
      <c r="A1420" s="90" t="s">
        <v>350</v>
      </c>
      <c r="B1420" s="89" t="s">
        <v>2173</v>
      </c>
      <c r="C1420" s="96" t="s">
        <v>976</v>
      </c>
    </row>
    <row r="1421" spans="1:3" ht="15">
      <c r="A1421" s="90" t="s">
        <v>350</v>
      </c>
      <c r="B1421" s="89" t="s">
        <v>2592</v>
      </c>
      <c r="C1421" s="96" t="s">
        <v>976</v>
      </c>
    </row>
    <row r="1422" spans="1:3" ht="15">
      <c r="A1422" s="90" t="s">
        <v>350</v>
      </c>
      <c r="B1422" s="89" t="s">
        <v>2174</v>
      </c>
      <c r="C1422" s="96" t="s">
        <v>976</v>
      </c>
    </row>
    <row r="1423" spans="1:3" ht="15">
      <c r="A1423" s="90" t="s">
        <v>348</v>
      </c>
      <c r="B1423" s="89" t="s">
        <v>2593</v>
      </c>
      <c r="C1423" s="96" t="s">
        <v>974</v>
      </c>
    </row>
    <row r="1424" spans="1:3" ht="15">
      <c r="A1424" s="90" t="s">
        <v>348</v>
      </c>
      <c r="B1424" s="89" t="s">
        <v>2370</v>
      </c>
      <c r="C1424" s="96" t="s">
        <v>974</v>
      </c>
    </row>
    <row r="1425" spans="1:3" ht="15">
      <c r="A1425" s="90" t="s">
        <v>348</v>
      </c>
      <c r="B1425" s="89" t="s">
        <v>2381</v>
      </c>
      <c r="C1425" s="96" t="s">
        <v>974</v>
      </c>
    </row>
    <row r="1426" spans="1:3" ht="15">
      <c r="A1426" s="90" t="s">
        <v>348</v>
      </c>
      <c r="B1426" s="89" t="s">
        <v>2594</v>
      </c>
      <c r="C1426" s="96" t="s">
        <v>974</v>
      </c>
    </row>
    <row r="1427" spans="1:3" ht="15">
      <c r="A1427" s="90" t="s">
        <v>348</v>
      </c>
      <c r="B1427" s="89" t="s">
        <v>2595</v>
      </c>
      <c r="C1427" s="96" t="s">
        <v>974</v>
      </c>
    </row>
    <row r="1428" spans="1:3" ht="15">
      <c r="A1428" s="90" t="s">
        <v>348</v>
      </c>
      <c r="B1428" s="89" t="s">
        <v>2596</v>
      </c>
      <c r="C1428" s="96" t="s">
        <v>974</v>
      </c>
    </row>
    <row r="1429" spans="1:3" ht="15">
      <c r="A1429" s="90" t="s">
        <v>348</v>
      </c>
      <c r="B1429" s="89" t="s">
        <v>2369</v>
      </c>
      <c r="C1429" s="96" t="s">
        <v>974</v>
      </c>
    </row>
    <row r="1430" spans="1:3" ht="15">
      <c r="A1430" s="90" t="s">
        <v>348</v>
      </c>
      <c r="B1430" s="89" t="s">
        <v>2185</v>
      </c>
      <c r="C1430" s="96" t="s">
        <v>974</v>
      </c>
    </row>
    <row r="1431" spans="1:3" ht="15">
      <c r="A1431" s="90" t="s">
        <v>348</v>
      </c>
      <c r="B1431" s="89" t="s">
        <v>2597</v>
      </c>
      <c r="C1431" s="96" t="s">
        <v>974</v>
      </c>
    </row>
    <row r="1432" spans="1:3" ht="15">
      <c r="A1432" s="90" t="s">
        <v>348</v>
      </c>
      <c r="B1432" s="89" t="s">
        <v>2598</v>
      </c>
      <c r="C1432" s="96" t="s">
        <v>974</v>
      </c>
    </row>
    <row r="1433" spans="1:3" ht="15">
      <c r="A1433" s="90" t="s">
        <v>347</v>
      </c>
      <c r="B1433" s="89" t="s">
        <v>2369</v>
      </c>
      <c r="C1433" s="96" t="s">
        <v>973</v>
      </c>
    </row>
    <row r="1434" spans="1:3" ht="15">
      <c r="A1434" s="90" t="s">
        <v>347</v>
      </c>
      <c r="B1434" s="89" t="s">
        <v>2370</v>
      </c>
      <c r="C1434" s="96" t="s">
        <v>973</v>
      </c>
    </row>
    <row r="1435" spans="1:3" ht="15">
      <c r="A1435" s="90" t="s">
        <v>347</v>
      </c>
      <c r="B1435" s="89" t="s">
        <v>2150</v>
      </c>
      <c r="C1435" s="96" t="s">
        <v>973</v>
      </c>
    </row>
    <row r="1436" spans="1:3" ht="15">
      <c r="A1436" s="90" t="s">
        <v>347</v>
      </c>
      <c r="B1436" s="89" t="s">
        <v>2151</v>
      </c>
      <c r="C1436" s="96" t="s">
        <v>973</v>
      </c>
    </row>
    <row r="1437" spans="1:3" ht="15">
      <c r="A1437" s="90" t="s">
        <v>347</v>
      </c>
      <c r="B1437" s="89" t="s">
        <v>2152</v>
      </c>
      <c r="C1437" s="96" t="s">
        <v>973</v>
      </c>
    </row>
    <row r="1438" spans="1:3" ht="15">
      <c r="A1438" s="90" t="s">
        <v>347</v>
      </c>
      <c r="B1438" s="89" t="s">
        <v>2391</v>
      </c>
      <c r="C1438" s="96" t="s">
        <v>973</v>
      </c>
    </row>
    <row r="1439" spans="1:3" ht="15">
      <c r="A1439" s="90" t="s">
        <v>347</v>
      </c>
      <c r="B1439" s="89" t="s">
        <v>2392</v>
      </c>
      <c r="C1439" s="96" t="s">
        <v>973</v>
      </c>
    </row>
    <row r="1440" spans="1:3" ht="15">
      <c r="A1440" s="90" t="s">
        <v>347</v>
      </c>
      <c r="B1440" s="89" t="s">
        <v>2393</v>
      </c>
      <c r="C1440" s="96" t="s">
        <v>973</v>
      </c>
    </row>
    <row r="1441" spans="1:3" ht="15">
      <c r="A1441" s="90" t="s">
        <v>347</v>
      </c>
      <c r="B1441" s="89" t="s">
        <v>2149</v>
      </c>
      <c r="C1441" s="96" t="s">
        <v>973</v>
      </c>
    </row>
    <row r="1442" spans="1:3" ht="15">
      <c r="A1442" s="90" t="s">
        <v>347</v>
      </c>
      <c r="B1442" s="89" t="s">
        <v>2153</v>
      </c>
      <c r="C1442" s="96" t="s">
        <v>973</v>
      </c>
    </row>
    <row r="1443" spans="1:3" ht="15">
      <c r="A1443" s="90" t="s">
        <v>347</v>
      </c>
      <c r="B1443" s="89" t="s">
        <v>2361</v>
      </c>
      <c r="C1443" s="96" t="s">
        <v>973</v>
      </c>
    </row>
    <row r="1444" spans="1:3" ht="15">
      <c r="A1444" s="90" t="s">
        <v>347</v>
      </c>
      <c r="B1444" s="89" t="s">
        <v>2394</v>
      </c>
      <c r="C1444" s="96" t="s">
        <v>973</v>
      </c>
    </row>
    <row r="1445" spans="1:3" ht="15">
      <c r="A1445" s="90" t="s">
        <v>347</v>
      </c>
      <c r="B1445" s="89" t="s">
        <v>2148</v>
      </c>
      <c r="C1445" s="96" t="s">
        <v>973</v>
      </c>
    </row>
    <row r="1446" spans="1:3" ht="15">
      <c r="A1446" s="90" t="s">
        <v>347</v>
      </c>
      <c r="B1446" s="89" t="s">
        <v>2395</v>
      </c>
      <c r="C1446" s="96" t="s">
        <v>973</v>
      </c>
    </row>
    <row r="1447" spans="1:3" ht="15">
      <c r="A1447" s="90" t="s">
        <v>347</v>
      </c>
      <c r="B1447" s="89" t="s">
        <v>2154</v>
      </c>
      <c r="C1447" s="96" t="s">
        <v>973</v>
      </c>
    </row>
    <row r="1448" spans="1:3" ht="15">
      <c r="A1448" s="90" t="s">
        <v>347</v>
      </c>
      <c r="B1448" s="89" t="s">
        <v>2155</v>
      </c>
      <c r="C1448" s="96" t="s">
        <v>973</v>
      </c>
    </row>
    <row r="1449" spans="1:3" ht="15">
      <c r="A1449" s="90" t="s">
        <v>347</v>
      </c>
      <c r="B1449" s="89" t="s">
        <v>2599</v>
      </c>
      <c r="C1449" s="96" t="s">
        <v>972</v>
      </c>
    </row>
    <row r="1450" spans="1:3" ht="15">
      <c r="A1450" s="90" t="s">
        <v>347</v>
      </c>
      <c r="B1450" s="89" t="s">
        <v>2600</v>
      </c>
      <c r="C1450" s="96" t="s">
        <v>972</v>
      </c>
    </row>
    <row r="1451" spans="1:3" ht="15">
      <c r="A1451" s="90" t="s">
        <v>347</v>
      </c>
      <c r="B1451" s="89" t="s">
        <v>2601</v>
      </c>
      <c r="C1451" s="96" t="s">
        <v>972</v>
      </c>
    </row>
    <row r="1452" spans="1:3" ht="15">
      <c r="A1452" s="90" t="s">
        <v>347</v>
      </c>
      <c r="B1452" s="89" t="s">
        <v>2269</v>
      </c>
      <c r="C1452" s="96" t="s">
        <v>972</v>
      </c>
    </row>
    <row r="1453" spans="1:3" ht="15">
      <c r="A1453" s="90" t="s">
        <v>347</v>
      </c>
      <c r="B1453" s="89" t="s">
        <v>2270</v>
      </c>
      <c r="C1453" s="96" t="s">
        <v>972</v>
      </c>
    </row>
    <row r="1454" spans="1:3" ht="15">
      <c r="A1454" s="90" t="s">
        <v>347</v>
      </c>
      <c r="B1454" s="89" t="s">
        <v>2271</v>
      </c>
      <c r="C1454" s="96" t="s">
        <v>972</v>
      </c>
    </row>
    <row r="1455" spans="1:3" ht="15">
      <c r="A1455" s="90" t="s">
        <v>347</v>
      </c>
      <c r="B1455" s="89" t="s">
        <v>2272</v>
      </c>
      <c r="C1455" s="96" t="s">
        <v>972</v>
      </c>
    </row>
    <row r="1456" spans="1:3" ht="15">
      <c r="A1456" s="90" t="s">
        <v>347</v>
      </c>
      <c r="B1456" s="89" t="s">
        <v>1242</v>
      </c>
      <c r="C1456" s="96" t="s">
        <v>972</v>
      </c>
    </row>
    <row r="1457" spans="1:3" ht="15">
      <c r="A1457" s="90" t="s">
        <v>347</v>
      </c>
      <c r="B1457" s="89" t="s">
        <v>2602</v>
      </c>
      <c r="C1457" s="96" t="s">
        <v>972</v>
      </c>
    </row>
    <row r="1458" spans="1:3" ht="15">
      <c r="A1458" s="90" t="s">
        <v>347</v>
      </c>
      <c r="B1458" s="89" t="s">
        <v>2603</v>
      </c>
      <c r="C1458" s="96" t="s">
        <v>972</v>
      </c>
    </row>
    <row r="1459" spans="1:3" ht="15">
      <c r="A1459" s="90" t="s">
        <v>347</v>
      </c>
      <c r="B1459" s="89" t="s">
        <v>2604</v>
      </c>
      <c r="C1459" s="96" t="s">
        <v>972</v>
      </c>
    </row>
    <row r="1460" spans="1:3" ht="15">
      <c r="A1460" s="90" t="s">
        <v>347</v>
      </c>
      <c r="B1460" s="89" t="s">
        <v>2369</v>
      </c>
      <c r="C1460" s="96" t="s">
        <v>972</v>
      </c>
    </row>
    <row r="1461" spans="1:3" ht="15">
      <c r="A1461" s="90" t="s">
        <v>347</v>
      </c>
      <c r="B1461" s="89" t="s">
        <v>2370</v>
      </c>
      <c r="C1461" s="96" t="s">
        <v>972</v>
      </c>
    </row>
    <row r="1462" spans="1:3" ht="15">
      <c r="A1462" s="90" t="s">
        <v>346</v>
      </c>
      <c r="B1462" s="89" t="s">
        <v>2599</v>
      </c>
      <c r="C1462" s="96" t="s">
        <v>971</v>
      </c>
    </row>
    <row r="1463" spans="1:3" ht="15">
      <c r="A1463" s="90" t="s">
        <v>346</v>
      </c>
      <c r="B1463" s="89" t="s">
        <v>2600</v>
      </c>
      <c r="C1463" s="96" t="s">
        <v>971</v>
      </c>
    </row>
    <row r="1464" spans="1:3" ht="15">
      <c r="A1464" s="90" t="s">
        <v>346</v>
      </c>
      <c r="B1464" s="89" t="s">
        <v>2601</v>
      </c>
      <c r="C1464" s="96" t="s">
        <v>971</v>
      </c>
    </row>
    <row r="1465" spans="1:3" ht="15">
      <c r="A1465" s="90" t="s">
        <v>346</v>
      </c>
      <c r="B1465" s="89" t="s">
        <v>2269</v>
      </c>
      <c r="C1465" s="96" t="s">
        <v>971</v>
      </c>
    </row>
    <row r="1466" spans="1:3" ht="15">
      <c r="A1466" s="90" t="s">
        <v>346</v>
      </c>
      <c r="B1466" s="89" t="s">
        <v>2270</v>
      </c>
      <c r="C1466" s="96" t="s">
        <v>971</v>
      </c>
    </row>
    <row r="1467" spans="1:3" ht="15">
      <c r="A1467" s="90" t="s">
        <v>346</v>
      </c>
      <c r="B1467" s="89" t="s">
        <v>2271</v>
      </c>
      <c r="C1467" s="96" t="s">
        <v>971</v>
      </c>
    </row>
    <row r="1468" spans="1:3" ht="15">
      <c r="A1468" s="90" t="s">
        <v>346</v>
      </c>
      <c r="B1468" s="89" t="s">
        <v>2272</v>
      </c>
      <c r="C1468" s="96" t="s">
        <v>971</v>
      </c>
    </row>
    <row r="1469" spans="1:3" ht="15">
      <c r="A1469" s="90" t="s">
        <v>346</v>
      </c>
      <c r="B1469" s="89" t="s">
        <v>1242</v>
      </c>
      <c r="C1469" s="96" t="s">
        <v>971</v>
      </c>
    </row>
    <row r="1470" spans="1:3" ht="15">
      <c r="A1470" s="90" t="s">
        <v>346</v>
      </c>
      <c r="B1470" s="89" t="s">
        <v>2602</v>
      </c>
      <c r="C1470" s="96" t="s">
        <v>971</v>
      </c>
    </row>
    <row r="1471" spans="1:3" ht="15">
      <c r="A1471" s="90" t="s">
        <v>346</v>
      </c>
      <c r="B1471" s="89" t="s">
        <v>2603</v>
      </c>
      <c r="C1471" s="96" t="s">
        <v>971</v>
      </c>
    </row>
    <row r="1472" spans="1:3" ht="15">
      <c r="A1472" s="90" t="s">
        <v>346</v>
      </c>
      <c r="B1472" s="89" t="s">
        <v>2604</v>
      </c>
      <c r="C1472" s="96" t="s">
        <v>971</v>
      </c>
    </row>
    <row r="1473" spans="1:3" ht="15">
      <c r="A1473" s="90" t="s">
        <v>346</v>
      </c>
      <c r="B1473" s="89" t="s">
        <v>2369</v>
      </c>
      <c r="C1473" s="96" t="s">
        <v>971</v>
      </c>
    </row>
    <row r="1474" spans="1:3" ht="15">
      <c r="A1474" s="90" t="s">
        <v>346</v>
      </c>
      <c r="B1474" s="89" t="s">
        <v>2370</v>
      </c>
      <c r="C1474" s="96" t="s">
        <v>971</v>
      </c>
    </row>
    <row r="1475" spans="1:3" ht="15">
      <c r="A1475" s="90" t="s">
        <v>345</v>
      </c>
      <c r="B1475" s="89" t="s">
        <v>2369</v>
      </c>
      <c r="C1475" s="96" t="s">
        <v>970</v>
      </c>
    </row>
    <row r="1476" spans="1:3" ht="15">
      <c r="A1476" s="90" t="s">
        <v>345</v>
      </c>
      <c r="B1476" s="89" t="s">
        <v>2370</v>
      </c>
      <c r="C1476" s="96" t="s">
        <v>970</v>
      </c>
    </row>
    <row r="1477" spans="1:3" ht="15">
      <c r="A1477" s="90" t="s">
        <v>345</v>
      </c>
      <c r="B1477" s="89" t="s">
        <v>2371</v>
      </c>
      <c r="C1477" s="96" t="s">
        <v>970</v>
      </c>
    </row>
    <row r="1478" spans="1:3" ht="15">
      <c r="A1478" s="90" t="s">
        <v>345</v>
      </c>
      <c r="B1478" s="89" t="s">
        <v>2372</v>
      </c>
      <c r="C1478" s="96" t="s">
        <v>970</v>
      </c>
    </row>
    <row r="1479" spans="1:3" ht="15">
      <c r="A1479" s="90" t="s">
        <v>345</v>
      </c>
      <c r="B1479" s="89" t="s">
        <v>2176</v>
      </c>
      <c r="C1479" s="96" t="s">
        <v>970</v>
      </c>
    </row>
    <row r="1480" spans="1:3" ht="15">
      <c r="A1480" s="90" t="s">
        <v>345</v>
      </c>
      <c r="B1480" s="89" t="s">
        <v>2175</v>
      </c>
      <c r="C1480" s="96" t="s">
        <v>970</v>
      </c>
    </row>
    <row r="1481" spans="1:3" ht="15">
      <c r="A1481" s="90" t="s">
        <v>345</v>
      </c>
      <c r="B1481" s="89" t="s">
        <v>2157</v>
      </c>
      <c r="C1481" s="96" t="s">
        <v>970</v>
      </c>
    </row>
    <row r="1482" spans="1:3" ht="15">
      <c r="A1482" s="90" t="s">
        <v>345</v>
      </c>
      <c r="B1482" s="89" t="s">
        <v>2373</v>
      </c>
      <c r="C1482" s="96" t="s">
        <v>970</v>
      </c>
    </row>
    <row r="1483" spans="1:3" ht="15">
      <c r="A1483" s="90" t="s">
        <v>345</v>
      </c>
      <c r="B1483" s="89" t="s">
        <v>2178</v>
      </c>
      <c r="C1483" s="96" t="s">
        <v>970</v>
      </c>
    </row>
    <row r="1484" spans="1:3" ht="15">
      <c r="A1484" s="90" t="s">
        <v>345</v>
      </c>
      <c r="B1484" s="89" t="s">
        <v>2374</v>
      </c>
      <c r="C1484" s="96" t="s">
        <v>970</v>
      </c>
    </row>
    <row r="1485" spans="1:3" ht="15">
      <c r="A1485" s="90" t="s">
        <v>345</v>
      </c>
      <c r="B1485" s="89" t="s">
        <v>2375</v>
      </c>
      <c r="C1485" s="96" t="s">
        <v>970</v>
      </c>
    </row>
    <row r="1486" spans="1:3" ht="15">
      <c r="A1486" s="90" t="s">
        <v>345</v>
      </c>
      <c r="B1486" s="89" t="s">
        <v>2376</v>
      </c>
      <c r="C1486" s="96" t="s">
        <v>970</v>
      </c>
    </row>
    <row r="1487" spans="1:3" ht="15">
      <c r="A1487" s="90" t="s">
        <v>345</v>
      </c>
      <c r="B1487" s="89" t="s">
        <v>2377</v>
      </c>
      <c r="C1487" s="96" t="s">
        <v>970</v>
      </c>
    </row>
    <row r="1488" spans="1:3" ht="15">
      <c r="A1488" s="90" t="s">
        <v>344</v>
      </c>
      <c r="B1488" s="89" t="s">
        <v>2369</v>
      </c>
      <c r="C1488" s="96" t="s">
        <v>969</v>
      </c>
    </row>
    <row r="1489" spans="1:3" ht="15">
      <c r="A1489" s="90" t="s">
        <v>344</v>
      </c>
      <c r="B1489" s="89" t="s">
        <v>2370</v>
      </c>
      <c r="C1489" s="96" t="s">
        <v>969</v>
      </c>
    </row>
    <row r="1490" spans="1:3" ht="15">
      <c r="A1490" s="90" t="s">
        <v>344</v>
      </c>
      <c r="B1490" s="89" t="s">
        <v>2150</v>
      </c>
      <c r="C1490" s="96" t="s">
        <v>969</v>
      </c>
    </row>
    <row r="1491" spans="1:3" ht="15">
      <c r="A1491" s="90" t="s">
        <v>344</v>
      </c>
      <c r="B1491" s="89" t="s">
        <v>2151</v>
      </c>
      <c r="C1491" s="96" t="s">
        <v>969</v>
      </c>
    </row>
    <row r="1492" spans="1:3" ht="15">
      <c r="A1492" s="90" t="s">
        <v>344</v>
      </c>
      <c r="B1492" s="89" t="s">
        <v>2152</v>
      </c>
      <c r="C1492" s="96" t="s">
        <v>969</v>
      </c>
    </row>
    <row r="1493" spans="1:3" ht="15">
      <c r="A1493" s="90" t="s">
        <v>344</v>
      </c>
      <c r="B1493" s="89" t="s">
        <v>2391</v>
      </c>
      <c r="C1493" s="96" t="s">
        <v>969</v>
      </c>
    </row>
    <row r="1494" spans="1:3" ht="15">
      <c r="A1494" s="90" t="s">
        <v>344</v>
      </c>
      <c r="B1494" s="89" t="s">
        <v>2392</v>
      </c>
      <c r="C1494" s="96" t="s">
        <v>969</v>
      </c>
    </row>
    <row r="1495" spans="1:3" ht="15">
      <c r="A1495" s="90" t="s">
        <v>344</v>
      </c>
      <c r="B1495" s="89" t="s">
        <v>2393</v>
      </c>
      <c r="C1495" s="96" t="s">
        <v>969</v>
      </c>
    </row>
    <row r="1496" spans="1:3" ht="15">
      <c r="A1496" s="90" t="s">
        <v>344</v>
      </c>
      <c r="B1496" s="89" t="s">
        <v>2149</v>
      </c>
      <c r="C1496" s="96" t="s">
        <v>969</v>
      </c>
    </row>
    <row r="1497" spans="1:3" ht="15">
      <c r="A1497" s="90" t="s">
        <v>344</v>
      </c>
      <c r="B1497" s="89" t="s">
        <v>2153</v>
      </c>
      <c r="C1497" s="96" t="s">
        <v>969</v>
      </c>
    </row>
    <row r="1498" spans="1:3" ht="15">
      <c r="A1498" s="90" t="s">
        <v>344</v>
      </c>
      <c r="B1498" s="89" t="s">
        <v>2361</v>
      </c>
      <c r="C1498" s="96" t="s">
        <v>969</v>
      </c>
    </row>
    <row r="1499" spans="1:3" ht="15">
      <c r="A1499" s="90" t="s">
        <v>344</v>
      </c>
      <c r="B1499" s="89" t="s">
        <v>2394</v>
      </c>
      <c r="C1499" s="96" t="s">
        <v>969</v>
      </c>
    </row>
    <row r="1500" spans="1:3" ht="15">
      <c r="A1500" s="90" t="s">
        <v>344</v>
      </c>
      <c r="B1500" s="89" t="s">
        <v>2148</v>
      </c>
      <c r="C1500" s="96" t="s">
        <v>969</v>
      </c>
    </row>
    <row r="1501" spans="1:3" ht="15">
      <c r="A1501" s="90" t="s">
        <v>344</v>
      </c>
      <c r="B1501" s="89" t="s">
        <v>2395</v>
      </c>
      <c r="C1501" s="96" t="s">
        <v>969</v>
      </c>
    </row>
    <row r="1502" spans="1:3" ht="15">
      <c r="A1502" s="90" t="s">
        <v>344</v>
      </c>
      <c r="B1502" s="89" t="s">
        <v>2154</v>
      </c>
      <c r="C1502" s="96" t="s">
        <v>969</v>
      </c>
    </row>
    <row r="1503" spans="1:3" ht="15">
      <c r="A1503" s="90" t="s">
        <v>344</v>
      </c>
      <c r="B1503" s="89" t="s">
        <v>2155</v>
      </c>
      <c r="C1503" s="96" t="s">
        <v>969</v>
      </c>
    </row>
    <row r="1504" spans="1:3" ht="15">
      <c r="A1504" s="90" t="s">
        <v>343</v>
      </c>
      <c r="B1504" s="89" t="s">
        <v>2369</v>
      </c>
      <c r="C1504" s="96" t="s">
        <v>968</v>
      </c>
    </row>
    <row r="1505" spans="1:3" ht="15">
      <c r="A1505" s="90" t="s">
        <v>343</v>
      </c>
      <c r="B1505" s="89" t="s">
        <v>2370</v>
      </c>
      <c r="C1505" s="96" t="s">
        <v>968</v>
      </c>
    </row>
    <row r="1506" spans="1:3" ht="15">
      <c r="A1506" s="90" t="s">
        <v>343</v>
      </c>
      <c r="B1506" s="89" t="s">
        <v>2112</v>
      </c>
      <c r="C1506" s="96" t="s">
        <v>968</v>
      </c>
    </row>
    <row r="1507" spans="1:3" ht="15">
      <c r="A1507" s="90" t="s">
        <v>343</v>
      </c>
      <c r="B1507" s="89" t="s">
        <v>2113</v>
      </c>
      <c r="C1507" s="96" t="s">
        <v>968</v>
      </c>
    </row>
    <row r="1508" spans="1:3" ht="15">
      <c r="A1508" s="90" t="s">
        <v>342</v>
      </c>
      <c r="B1508" s="89" t="s">
        <v>2605</v>
      </c>
      <c r="C1508" s="96" t="s">
        <v>967</v>
      </c>
    </row>
    <row r="1509" spans="1:3" ht="15">
      <c r="A1509" s="90" t="s">
        <v>342</v>
      </c>
      <c r="B1509" s="89" t="s">
        <v>2369</v>
      </c>
      <c r="C1509" s="96" t="s">
        <v>967</v>
      </c>
    </row>
    <row r="1510" spans="1:3" ht="15">
      <c r="A1510" s="90" t="s">
        <v>342</v>
      </c>
      <c r="B1510" s="89" t="s">
        <v>2370</v>
      </c>
      <c r="C1510" s="96" t="s">
        <v>967</v>
      </c>
    </row>
    <row r="1511" spans="1:3" ht="15">
      <c r="A1511" s="90" t="s">
        <v>342</v>
      </c>
      <c r="B1511" s="89" t="s">
        <v>2606</v>
      </c>
      <c r="C1511" s="96" t="s">
        <v>967</v>
      </c>
    </row>
    <row r="1512" spans="1:3" ht="15">
      <c r="A1512" s="90" t="s">
        <v>342</v>
      </c>
      <c r="B1512" s="89" t="s">
        <v>2607</v>
      </c>
      <c r="C1512" s="96" t="s">
        <v>967</v>
      </c>
    </row>
    <row r="1513" spans="1:3" ht="15">
      <c r="A1513" s="90" t="s">
        <v>342</v>
      </c>
      <c r="B1513" s="89" t="s">
        <v>2608</v>
      </c>
      <c r="C1513" s="96" t="s">
        <v>967</v>
      </c>
    </row>
    <row r="1514" spans="1:3" ht="15">
      <c r="A1514" s="90" t="s">
        <v>342</v>
      </c>
      <c r="B1514" s="89" t="s">
        <v>2609</v>
      </c>
      <c r="C1514" s="96" t="s">
        <v>967</v>
      </c>
    </row>
    <row r="1515" spans="1:3" ht="15">
      <c r="A1515" s="90" t="s">
        <v>342</v>
      </c>
      <c r="B1515" s="89" t="s">
        <v>2610</v>
      </c>
      <c r="C1515" s="96" t="s">
        <v>967</v>
      </c>
    </row>
    <row r="1516" spans="1:3" ht="15">
      <c r="A1516" s="90" t="s">
        <v>342</v>
      </c>
      <c r="B1516" s="89" t="s">
        <v>2611</v>
      </c>
      <c r="C1516" s="96" t="s">
        <v>967</v>
      </c>
    </row>
    <row r="1517" spans="1:3" ht="15">
      <c r="A1517" s="90" t="s">
        <v>342</v>
      </c>
      <c r="B1517" s="89" t="s">
        <v>2361</v>
      </c>
      <c r="C1517" s="96" t="s">
        <v>967</v>
      </c>
    </row>
    <row r="1518" spans="1:3" ht="15">
      <c r="A1518" s="90" t="s">
        <v>342</v>
      </c>
      <c r="B1518" s="89" t="s">
        <v>2612</v>
      </c>
      <c r="C1518" s="96" t="s">
        <v>967</v>
      </c>
    </row>
    <row r="1519" spans="1:3" ht="15">
      <c r="A1519" s="90" t="s">
        <v>342</v>
      </c>
      <c r="B1519" s="89" t="s">
        <v>2613</v>
      </c>
      <c r="C1519" s="96" t="s">
        <v>967</v>
      </c>
    </row>
    <row r="1520" spans="1:3" ht="15">
      <c r="A1520" s="90" t="s">
        <v>342</v>
      </c>
      <c r="B1520" s="89" t="s">
        <v>2382</v>
      </c>
      <c r="C1520" s="96" t="s">
        <v>967</v>
      </c>
    </row>
    <row r="1521" spans="1:3" ht="15">
      <c r="A1521" s="90" t="s">
        <v>342</v>
      </c>
      <c r="B1521" s="89" t="s">
        <v>2383</v>
      </c>
      <c r="C1521" s="96" t="s">
        <v>967</v>
      </c>
    </row>
    <row r="1522" spans="1:3" ht="15">
      <c r="A1522" s="90" t="s">
        <v>342</v>
      </c>
      <c r="B1522" s="89" t="s">
        <v>2614</v>
      </c>
      <c r="C1522" s="96" t="s">
        <v>967</v>
      </c>
    </row>
    <row r="1523" spans="1:3" ht="15">
      <c r="A1523" s="90" t="s">
        <v>342</v>
      </c>
      <c r="B1523" s="89" t="s">
        <v>2615</v>
      </c>
      <c r="C1523" s="96" t="s">
        <v>967</v>
      </c>
    </row>
    <row r="1524" spans="1:3" ht="15">
      <c r="A1524" s="90" t="s">
        <v>342</v>
      </c>
      <c r="B1524" s="89" t="s">
        <v>2616</v>
      </c>
      <c r="C1524" s="96" t="s">
        <v>967</v>
      </c>
    </row>
    <row r="1525" spans="1:3" ht="15">
      <c r="A1525" s="90" t="s">
        <v>342</v>
      </c>
      <c r="B1525" s="89" t="s">
        <v>2617</v>
      </c>
      <c r="C1525" s="96" t="s">
        <v>967</v>
      </c>
    </row>
    <row r="1526" spans="1:3" ht="15">
      <c r="A1526" s="90" t="s">
        <v>342</v>
      </c>
      <c r="B1526" s="89" t="s">
        <v>2618</v>
      </c>
      <c r="C1526" s="96" t="s">
        <v>967</v>
      </c>
    </row>
    <row r="1527" spans="1:3" ht="15">
      <c r="A1527" s="90" t="s">
        <v>342</v>
      </c>
      <c r="B1527" s="89" t="s">
        <v>2180</v>
      </c>
      <c r="C1527" s="96" t="s">
        <v>967</v>
      </c>
    </row>
    <row r="1528" spans="1:3" ht="15">
      <c r="A1528" s="90" t="s">
        <v>342</v>
      </c>
      <c r="B1528" s="89" t="s">
        <v>2619</v>
      </c>
      <c r="C1528" s="96" t="s">
        <v>967</v>
      </c>
    </row>
    <row r="1529" spans="1:3" ht="15">
      <c r="A1529" s="90" t="s">
        <v>342</v>
      </c>
      <c r="B1529" s="89" t="s">
        <v>2620</v>
      </c>
      <c r="C1529" s="96" t="s">
        <v>967</v>
      </c>
    </row>
    <row r="1530" spans="1:3" ht="15">
      <c r="A1530" s="90" t="s">
        <v>342</v>
      </c>
      <c r="B1530" s="89" t="s">
        <v>2621</v>
      </c>
      <c r="C1530" s="96" t="s">
        <v>967</v>
      </c>
    </row>
    <row r="1531" spans="1:3" ht="15">
      <c r="A1531" s="90" t="s">
        <v>342</v>
      </c>
      <c r="B1531" s="89" t="s">
        <v>2376</v>
      </c>
      <c r="C1531" s="96" t="s">
        <v>967</v>
      </c>
    </row>
    <row r="1532" spans="1:3" ht="15">
      <c r="A1532" s="90" t="s">
        <v>342</v>
      </c>
      <c r="B1532" s="89" t="s">
        <v>2622</v>
      </c>
      <c r="C1532" s="96" t="s">
        <v>967</v>
      </c>
    </row>
    <row r="1533" spans="1:3" ht="15">
      <c r="A1533" s="90" t="s">
        <v>342</v>
      </c>
      <c r="B1533" s="89" t="s">
        <v>2623</v>
      </c>
      <c r="C1533" s="96" t="s">
        <v>967</v>
      </c>
    </row>
    <row r="1534" spans="1:3" ht="15">
      <c r="A1534" s="90" t="s">
        <v>342</v>
      </c>
      <c r="B1534" s="89" t="s">
        <v>2624</v>
      </c>
      <c r="C1534" s="96" t="s">
        <v>967</v>
      </c>
    </row>
    <row r="1535" spans="1:3" ht="15">
      <c r="A1535" s="90" t="s">
        <v>341</v>
      </c>
      <c r="B1535" s="89" t="s">
        <v>2625</v>
      </c>
      <c r="C1535" s="96" t="s">
        <v>966</v>
      </c>
    </row>
    <row r="1536" spans="1:3" ht="15">
      <c r="A1536" s="90" t="s">
        <v>341</v>
      </c>
      <c r="B1536" s="89" t="s">
        <v>2276</v>
      </c>
      <c r="C1536" s="96" t="s">
        <v>966</v>
      </c>
    </row>
    <row r="1537" spans="1:3" ht="15">
      <c r="A1537" s="90" t="s">
        <v>341</v>
      </c>
      <c r="B1537" s="89" t="s">
        <v>2360</v>
      </c>
      <c r="C1537" s="96" t="s">
        <v>966</v>
      </c>
    </row>
    <row r="1538" spans="1:3" ht="15">
      <c r="A1538" s="90" t="s">
        <v>341</v>
      </c>
      <c r="B1538" s="89" t="s">
        <v>2376</v>
      </c>
      <c r="C1538" s="96" t="s">
        <v>966</v>
      </c>
    </row>
    <row r="1539" spans="1:3" ht="15">
      <c r="A1539" s="90" t="s">
        <v>341</v>
      </c>
      <c r="B1539" s="89" t="s">
        <v>2277</v>
      </c>
      <c r="C1539" s="96" t="s">
        <v>966</v>
      </c>
    </row>
    <row r="1540" spans="1:3" ht="15">
      <c r="A1540" s="90" t="s">
        <v>341</v>
      </c>
      <c r="B1540" s="89" t="s">
        <v>2278</v>
      </c>
      <c r="C1540" s="96" t="s">
        <v>966</v>
      </c>
    </row>
    <row r="1541" spans="1:3" ht="15">
      <c r="A1541" s="90" t="s">
        <v>341</v>
      </c>
      <c r="B1541" s="89" t="s">
        <v>2279</v>
      </c>
      <c r="C1541" s="96" t="s">
        <v>966</v>
      </c>
    </row>
    <row r="1542" spans="1:3" ht="15">
      <c r="A1542" s="90" t="s">
        <v>341</v>
      </c>
      <c r="B1542" s="89" t="s">
        <v>2280</v>
      </c>
      <c r="C1542" s="96" t="s">
        <v>966</v>
      </c>
    </row>
    <row r="1543" spans="1:3" ht="15">
      <c r="A1543" s="90" t="s">
        <v>340</v>
      </c>
      <c r="B1543" s="89" t="s">
        <v>2625</v>
      </c>
      <c r="C1543" s="96" t="s">
        <v>965</v>
      </c>
    </row>
    <row r="1544" spans="1:3" ht="15">
      <c r="A1544" s="90" t="s">
        <v>340</v>
      </c>
      <c r="B1544" s="89" t="s">
        <v>2276</v>
      </c>
      <c r="C1544" s="96" t="s">
        <v>965</v>
      </c>
    </row>
    <row r="1545" spans="1:3" ht="15">
      <c r="A1545" s="90" t="s">
        <v>340</v>
      </c>
      <c r="B1545" s="89" t="s">
        <v>2360</v>
      </c>
      <c r="C1545" s="96" t="s">
        <v>965</v>
      </c>
    </row>
    <row r="1546" spans="1:3" ht="15">
      <c r="A1546" s="90" t="s">
        <v>340</v>
      </c>
      <c r="B1546" s="89" t="s">
        <v>2376</v>
      </c>
      <c r="C1546" s="96" t="s">
        <v>965</v>
      </c>
    </row>
    <row r="1547" spans="1:3" ht="15">
      <c r="A1547" s="90" t="s">
        <v>340</v>
      </c>
      <c r="B1547" s="89" t="s">
        <v>2277</v>
      </c>
      <c r="C1547" s="96" t="s">
        <v>965</v>
      </c>
    </row>
    <row r="1548" spans="1:3" ht="15">
      <c r="A1548" s="90" t="s">
        <v>340</v>
      </c>
      <c r="B1548" s="89" t="s">
        <v>2278</v>
      </c>
      <c r="C1548" s="96" t="s">
        <v>965</v>
      </c>
    </row>
    <row r="1549" spans="1:3" ht="15">
      <c r="A1549" s="90" t="s">
        <v>340</v>
      </c>
      <c r="B1549" s="89" t="s">
        <v>2279</v>
      </c>
      <c r="C1549" s="96" t="s">
        <v>965</v>
      </c>
    </row>
    <row r="1550" spans="1:3" ht="15">
      <c r="A1550" s="90" t="s">
        <v>340</v>
      </c>
      <c r="B1550" s="89" t="s">
        <v>2280</v>
      </c>
      <c r="C1550" s="96" t="s">
        <v>965</v>
      </c>
    </row>
    <row r="1551" spans="1:3" ht="15">
      <c r="A1551" s="90" t="s">
        <v>339</v>
      </c>
      <c r="B1551" s="89" t="s">
        <v>2369</v>
      </c>
      <c r="C1551" s="96" t="s">
        <v>964</v>
      </c>
    </row>
    <row r="1552" spans="1:3" ht="15">
      <c r="A1552" s="90" t="s">
        <v>339</v>
      </c>
      <c r="B1552" s="89" t="s">
        <v>2370</v>
      </c>
      <c r="C1552" s="96" t="s">
        <v>964</v>
      </c>
    </row>
    <row r="1553" spans="1:3" ht="15">
      <c r="A1553" s="90" t="s">
        <v>339</v>
      </c>
      <c r="B1553" s="89" t="s">
        <v>2371</v>
      </c>
      <c r="C1553" s="96" t="s">
        <v>964</v>
      </c>
    </row>
    <row r="1554" spans="1:3" ht="15">
      <c r="A1554" s="90" t="s">
        <v>339</v>
      </c>
      <c r="B1554" s="89" t="s">
        <v>2372</v>
      </c>
      <c r="C1554" s="96" t="s">
        <v>964</v>
      </c>
    </row>
    <row r="1555" spans="1:3" ht="15">
      <c r="A1555" s="90" t="s">
        <v>339</v>
      </c>
      <c r="B1555" s="89" t="s">
        <v>2176</v>
      </c>
      <c r="C1555" s="96" t="s">
        <v>964</v>
      </c>
    </row>
    <row r="1556" spans="1:3" ht="15">
      <c r="A1556" s="90" t="s">
        <v>339</v>
      </c>
      <c r="B1556" s="89" t="s">
        <v>2175</v>
      </c>
      <c r="C1556" s="96" t="s">
        <v>964</v>
      </c>
    </row>
    <row r="1557" spans="1:3" ht="15">
      <c r="A1557" s="90" t="s">
        <v>339</v>
      </c>
      <c r="B1557" s="89" t="s">
        <v>2157</v>
      </c>
      <c r="C1557" s="96" t="s">
        <v>964</v>
      </c>
    </row>
    <row r="1558" spans="1:3" ht="15">
      <c r="A1558" s="90" t="s">
        <v>339</v>
      </c>
      <c r="B1558" s="89" t="s">
        <v>2373</v>
      </c>
      <c r="C1558" s="96" t="s">
        <v>964</v>
      </c>
    </row>
    <row r="1559" spans="1:3" ht="15">
      <c r="A1559" s="90" t="s">
        <v>339</v>
      </c>
      <c r="B1559" s="89" t="s">
        <v>2178</v>
      </c>
      <c r="C1559" s="96" t="s">
        <v>964</v>
      </c>
    </row>
    <row r="1560" spans="1:3" ht="15">
      <c r="A1560" s="90" t="s">
        <v>339</v>
      </c>
      <c r="B1560" s="89" t="s">
        <v>2374</v>
      </c>
      <c r="C1560" s="96" t="s">
        <v>964</v>
      </c>
    </row>
    <row r="1561" spans="1:3" ht="15">
      <c r="A1561" s="90" t="s">
        <v>339</v>
      </c>
      <c r="B1561" s="89" t="s">
        <v>2375</v>
      </c>
      <c r="C1561" s="96" t="s">
        <v>964</v>
      </c>
    </row>
    <row r="1562" spans="1:3" ht="15">
      <c r="A1562" s="90" t="s">
        <v>339</v>
      </c>
      <c r="B1562" s="89" t="s">
        <v>2376</v>
      </c>
      <c r="C1562" s="96" t="s">
        <v>964</v>
      </c>
    </row>
    <row r="1563" spans="1:3" ht="15">
      <c r="A1563" s="90" t="s">
        <v>339</v>
      </c>
      <c r="B1563" s="89" t="s">
        <v>2377</v>
      </c>
      <c r="C1563" s="96" t="s">
        <v>964</v>
      </c>
    </row>
    <row r="1564" spans="1:3" ht="15">
      <c r="A1564" s="90" t="s">
        <v>338</v>
      </c>
      <c r="B1564" s="89" t="s">
        <v>2369</v>
      </c>
      <c r="C1564" s="96" t="s">
        <v>963</v>
      </c>
    </row>
    <row r="1565" spans="1:3" ht="15">
      <c r="A1565" s="90" t="s">
        <v>338</v>
      </c>
      <c r="B1565" s="89" t="s">
        <v>2370</v>
      </c>
      <c r="C1565" s="96" t="s">
        <v>963</v>
      </c>
    </row>
    <row r="1566" spans="1:3" ht="15">
      <c r="A1566" s="90" t="s">
        <v>338</v>
      </c>
      <c r="B1566" s="89" t="s">
        <v>2150</v>
      </c>
      <c r="C1566" s="96" t="s">
        <v>963</v>
      </c>
    </row>
    <row r="1567" spans="1:3" ht="15">
      <c r="A1567" s="90" t="s">
        <v>338</v>
      </c>
      <c r="B1567" s="89" t="s">
        <v>2151</v>
      </c>
      <c r="C1567" s="96" t="s">
        <v>963</v>
      </c>
    </row>
    <row r="1568" spans="1:3" ht="15">
      <c r="A1568" s="90" t="s">
        <v>338</v>
      </c>
      <c r="B1568" s="89" t="s">
        <v>2152</v>
      </c>
      <c r="C1568" s="96" t="s">
        <v>963</v>
      </c>
    </row>
    <row r="1569" spans="1:3" ht="15">
      <c r="A1569" s="90" t="s">
        <v>338</v>
      </c>
      <c r="B1569" s="89" t="s">
        <v>2391</v>
      </c>
      <c r="C1569" s="96" t="s">
        <v>963</v>
      </c>
    </row>
    <row r="1570" spans="1:3" ht="15">
      <c r="A1570" s="90" t="s">
        <v>338</v>
      </c>
      <c r="B1570" s="89" t="s">
        <v>2392</v>
      </c>
      <c r="C1570" s="96" t="s">
        <v>963</v>
      </c>
    </row>
    <row r="1571" spans="1:3" ht="15">
      <c r="A1571" s="90" t="s">
        <v>338</v>
      </c>
      <c r="B1571" s="89" t="s">
        <v>2393</v>
      </c>
      <c r="C1571" s="96" t="s">
        <v>963</v>
      </c>
    </row>
    <row r="1572" spans="1:3" ht="15">
      <c r="A1572" s="90" t="s">
        <v>338</v>
      </c>
      <c r="B1572" s="89" t="s">
        <v>2149</v>
      </c>
      <c r="C1572" s="96" t="s">
        <v>963</v>
      </c>
    </row>
    <row r="1573" spans="1:3" ht="15">
      <c r="A1573" s="90" t="s">
        <v>338</v>
      </c>
      <c r="B1573" s="89" t="s">
        <v>2153</v>
      </c>
      <c r="C1573" s="96" t="s">
        <v>963</v>
      </c>
    </row>
    <row r="1574" spans="1:3" ht="15">
      <c r="A1574" s="90" t="s">
        <v>338</v>
      </c>
      <c r="B1574" s="89" t="s">
        <v>2361</v>
      </c>
      <c r="C1574" s="96" t="s">
        <v>963</v>
      </c>
    </row>
    <row r="1575" spans="1:3" ht="15">
      <c r="A1575" s="90" t="s">
        <v>338</v>
      </c>
      <c r="B1575" s="89" t="s">
        <v>2394</v>
      </c>
      <c r="C1575" s="96" t="s">
        <v>963</v>
      </c>
    </row>
    <row r="1576" spans="1:3" ht="15">
      <c r="A1576" s="90" t="s">
        <v>338</v>
      </c>
      <c r="B1576" s="89" t="s">
        <v>2148</v>
      </c>
      <c r="C1576" s="96" t="s">
        <v>963</v>
      </c>
    </row>
    <row r="1577" spans="1:3" ht="15">
      <c r="A1577" s="90" t="s">
        <v>338</v>
      </c>
      <c r="B1577" s="89" t="s">
        <v>2395</v>
      </c>
      <c r="C1577" s="96" t="s">
        <v>963</v>
      </c>
    </row>
    <row r="1578" spans="1:3" ht="15">
      <c r="A1578" s="90" t="s">
        <v>338</v>
      </c>
      <c r="B1578" s="89" t="s">
        <v>2154</v>
      </c>
      <c r="C1578" s="96" t="s">
        <v>963</v>
      </c>
    </row>
    <row r="1579" spans="1:3" ht="15">
      <c r="A1579" s="90" t="s">
        <v>338</v>
      </c>
      <c r="B1579" s="89" t="s">
        <v>2155</v>
      </c>
      <c r="C1579" s="96" t="s">
        <v>963</v>
      </c>
    </row>
    <row r="1580" spans="1:3" ht="15">
      <c r="A1580" s="90" t="s">
        <v>337</v>
      </c>
      <c r="B1580" s="89" t="s">
        <v>2369</v>
      </c>
      <c r="C1580" s="96" t="s">
        <v>962</v>
      </c>
    </row>
    <row r="1581" spans="1:3" ht="15">
      <c r="A1581" s="90" t="s">
        <v>337</v>
      </c>
      <c r="B1581" s="89" t="s">
        <v>2370</v>
      </c>
      <c r="C1581" s="96" t="s">
        <v>962</v>
      </c>
    </row>
    <row r="1582" spans="1:3" ht="15">
      <c r="A1582" s="90" t="s">
        <v>337</v>
      </c>
      <c r="B1582" s="89" t="s">
        <v>2112</v>
      </c>
      <c r="C1582" s="96" t="s">
        <v>962</v>
      </c>
    </row>
    <row r="1583" spans="1:3" ht="15">
      <c r="A1583" s="90" t="s">
        <v>337</v>
      </c>
      <c r="B1583" s="89" t="s">
        <v>2113</v>
      </c>
      <c r="C1583" s="96" t="s">
        <v>962</v>
      </c>
    </row>
    <row r="1584" spans="1:3" ht="15">
      <c r="A1584" s="90" t="s">
        <v>336</v>
      </c>
      <c r="B1584" s="89" t="s">
        <v>2369</v>
      </c>
      <c r="C1584" s="96" t="s">
        <v>961</v>
      </c>
    </row>
    <row r="1585" spans="1:3" ht="15">
      <c r="A1585" s="90" t="s">
        <v>336</v>
      </c>
      <c r="B1585" s="89" t="s">
        <v>2370</v>
      </c>
      <c r="C1585" s="96" t="s">
        <v>961</v>
      </c>
    </row>
    <row r="1586" spans="1:3" ht="15">
      <c r="A1586" s="90" t="s">
        <v>336</v>
      </c>
      <c r="B1586" s="89" t="s">
        <v>2371</v>
      </c>
      <c r="C1586" s="96" t="s">
        <v>961</v>
      </c>
    </row>
    <row r="1587" spans="1:3" ht="15">
      <c r="A1587" s="90" t="s">
        <v>336</v>
      </c>
      <c r="B1587" s="89" t="s">
        <v>2372</v>
      </c>
      <c r="C1587" s="96" t="s">
        <v>961</v>
      </c>
    </row>
    <row r="1588" spans="1:3" ht="15">
      <c r="A1588" s="90" t="s">
        <v>336</v>
      </c>
      <c r="B1588" s="89" t="s">
        <v>2176</v>
      </c>
      <c r="C1588" s="96" t="s">
        <v>961</v>
      </c>
    </row>
    <row r="1589" spans="1:3" ht="15">
      <c r="A1589" s="90" t="s">
        <v>336</v>
      </c>
      <c r="B1589" s="89" t="s">
        <v>2175</v>
      </c>
      <c r="C1589" s="96" t="s">
        <v>961</v>
      </c>
    </row>
    <row r="1590" spans="1:3" ht="15">
      <c r="A1590" s="90" t="s">
        <v>336</v>
      </c>
      <c r="B1590" s="89" t="s">
        <v>2157</v>
      </c>
      <c r="C1590" s="96" t="s">
        <v>961</v>
      </c>
    </row>
    <row r="1591" spans="1:3" ht="15">
      <c r="A1591" s="90" t="s">
        <v>336</v>
      </c>
      <c r="B1591" s="89" t="s">
        <v>2373</v>
      </c>
      <c r="C1591" s="96" t="s">
        <v>961</v>
      </c>
    </row>
    <row r="1592" spans="1:3" ht="15">
      <c r="A1592" s="90" t="s">
        <v>336</v>
      </c>
      <c r="B1592" s="89" t="s">
        <v>2178</v>
      </c>
      <c r="C1592" s="96" t="s">
        <v>961</v>
      </c>
    </row>
    <row r="1593" spans="1:3" ht="15">
      <c r="A1593" s="90" t="s">
        <v>336</v>
      </c>
      <c r="B1593" s="89" t="s">
        <v>2374</v>
      </c>
      <c r="C1593" s="96" t="s">
        <v>961</v>
      </c>
    </row>
    <row r="1594" spans="1:3" ht="15">
      <c r="A1594" s="90" t="s">
        <v>336</v>
      </c>
      <c r="B1594" s="89" t="s">
        <v>2375</v>
      </c>
      <c r="C1594" s="96" t="s">
        <v>961</v>
      </c>
    </row>
    <row r="1595" spans="1:3" ht="15">
      <c r="A1595" s="90" t="s">
        <v>336</v>
      </c>
      <c r="B1595" s="89" t="s">
        <v>2376</v>
      </c>
      <c r="C1595" s="96" t="s">
        <v>961</v>
      </c>
    </row>
    <row r="1596" spans="1:3" ht="15">
      <c r="A1596" s="90" t="s">
        <v>336</v>
      </c>
      <c r="B1596" s="89" t="s">
        <v>2377</v>
      </c>
      <c r="C1596" s="96" t="s">
        <v>961</v>
      </c>
    </row>
    <row r="1597" spans="1:3" ht="15">
      <c r="A1597" s="90" t="s">
        <v>335</v>
      </c>
      <c r="B1597" s="89" t="s">
        <v>2369</v>
      </c>
      <c r="C1597" s="96" t="s">
        <v>960</v>
      </c>
    </row>
    <row r="1598" spans="1:3" ht="15">
      <c r="A1598" s="90" t="s">
        <v>335</v>
      </c>
      <c r="B1598" s="89" t="s">
        <v>2370</v>
      </c>
      <c r="C1598" s="96" t="s">
        <v>960</v>
      </c>
    </row>
    <row r="1599" spans="1:3" ht="15">
      <c r="A1599" s="90" t="s">
        <v>335</v>
      </c>
      <c r="B1599" s="89" t="s">
        <v>2112</v>
      </c>
      <c r="C1599" s="96" t="s">
        <v>960</v>
      </c>
    </row>
    <row r="1600" spans="1:3" ht="15">
      <c r="A1600" s="90" t="s">
        <v>335</v>
      </c>
      <c r="B1600" s="89" t="s">
        <v>2113</v>
      </c>
      <c r="C1600" s="96" t="s">
        <v>960</v>
      </c>
    </row>
    <row r="1601" spans="1:3" ht="15">
      <c r="A1601" s="90" t="s">
        <v>335</v>
      </c>
      <c r="B1601" s="89" t="s">
        <v>2369</v>
      </c>
      <c r="C1601" s="96" t="s">
        <v>959</v>
      </c>
    </row>
    <row r="1602" spans="1:3" ht="15">
      <c r="A1602" s="90" t="s">
        <v>335</v>
      </c>
      <c r="B1602" s="89" t="s">
        <v>2370</v>
      </c>
      <c r="C1602" s="96" t="s">
        <v>959</v>
      </c>
    </row>
    <row r="1603" spans="1:3" ht="15">
      <c r="A1603" s="90" t="s">
        <v>335</v>
      </c>
      <c r="B1603" s="89" t="s">
        <v>2150</v>
      </c>
      <c r="C1603" s="96" t="s">
        <v>959</v>
      </c>
    </row>
    <row r="1604" spans="1:3" ht="15">
      <c r="A1604" s="90" t="s">
        <v>335</v>
      </c>
      <c r="B1604" s="89" t="s">
        <v>2151</v>
      </c>
      <c r="C1604" s="96" t="s">
        <v>959</v>
      </c>
    </row>
    <row r="1605" spans="1:3" ht="15">
      <c r="A1605" s="90" t="s">
        <v>335</v>
      </c>
      <c r="B1605" s="89" t="s">
        <v>2152</v>
      </c>
      <c r="C1605" s="96" t="s">
        <v>959</v>
      </c>
    </row>
    <row r="1606" spans="1:3" ht="15">
      <c r="A1606" s="90" t="s">
        <v>335</v>
      </c>
      <c r="B1606" s="89" t="s">
        <v>2391</v>
      </c>
      <c r="C1606" s="96" t="s">
        <v>959</v>
      </c>
    </row>
    <row r="1607" spans="1:3" ht="15">
      <c r="A1607" s="90" t="s">
        <v>335</v>
      </c>
      <c r="B1607" s="89" t="s">
        <v>2392</v>
      </c>
      <c r="C1607" s="96" t="s">
        <v>959</v>
      </c>
    </row>
    <row r="1608" spans="1:3" ht="15">
      <c r="A1608" s="90" t="s">
        <v>335</v>
      </c>
      <c r="B1608" s="89" t="s">
        <v>2393</v>
      </c>
      <c r="C1608" s="96" t="s">
        <v>959</v>
      </c>
    </row>
    <row r="1609" spans="1:3" ht="15">
      <c r="A1609" s="90" t="s">
        <v>335</v>
      </c>
      <c r="B1609" s="89" t="s">
        <v>2149</v>
      </c>
      <c r="C1609" s="96" t="s">
        <v>959</v>
      </c>
    </row>
    <row r="1610" spans="1:3" ht="15">
      <c r="A1610" s="90" t="s">
        <v>335</v>
      </c>
      <c r="B1610" s="89" t="s">
        <v>2153</v>
      </c>
      <c r="C1610" s="96" t="s">
        <v>959</v>
      </c>
    </row>
    <row r="1611" spans="1:3" ht="15">
      <c r="A1611" s="90" t="s">
        <v>335</v>
      </c>
      <c r="B1611" s="89" t="s">
        <v>2361</v>
      </c>
      <c r="C1611" s="96" t="s">
        <v>959</v>
      </c>
    </row>
    <row r="1612" spans="1:3" ht="15">
      <c r="A1612" s="90" t="s">
        <v>335</v>
      </c>
      <c r="B1612" s="89" t="s">
        <v>2394</v>
      </c>
      <c r="C1612" s="96" t="s">
        <v>959</v>
      </c>
    </row>
    <row r="1613" spans="1:3" ht="15">
      <c r="A1613" s="90" t="s">
        <v>335</v>
      </c>
      <c r="B1613" s="89" t="s">
        <v>2148</v>
      </c>
      <c r="C1613" s="96" t="s">
        <v>959</v>
      </c>
    </row>
    <row r="1614" spans="1:3" ht="15">
      <c r="A1614" s="90" t="s">
        <v>335</v>
      </c>
      <c r="B1614" s="89" t="s">
        <v>2395</v>
      </c>
      <c r="C1614" s="96" t="s">
        <v>959</v>
      </c>
    </row>
    <row r="1615" spans="1:3" ht="15">
      <c r="A1615" s="90" t="s">
        <v>335</v>
      </c>
      <c r="B1615" s="89" t="s">
        <v>2154</v>
      </c>
      <c r="C1615" s="96" t="s">
        <v>959</v>
      </c>
    </row>
    <row r="1616" spans="1:3" ht="15">
      <c r="A1616" s="90" t="s">
        <v>335</v>
      </c>
      <c r="B1616" s="89" t="s">
        <v>2155</v>
      </c>
      <c r="C1616" s="96" t="s">
        <v>959</v>
      </c>
    </row>
    <row r="1617" spans="1:3" ht="15">
      <c r="A1617" s="90" t="s">
        <v>332</v>
      </c>
      <c r="B1617" s="89" t="s">
        <v>2369</v>
      </c>
      <c r="C1617" s="96" t="s">
        <v>953</v>
      </c>
    </row>
    <row r="1618" spans="1:3" ht="15">
      <c r="A1618" s="90" t="s">
        <v>332</v>
      </c>
      <c r="B1618" s="89" t="s">
        <v>2370</v>
      </c>
      <c r="C1618" s="96" t="s">
        <v>953</v>
      </c>
    </row>
    <row r="1619" spans="1:3" ht="15">
      <c r="A1619" s="90" t="s">
        <v>332</v>
      </c>
      <c r="B1619" s="89" t="s">
        <v>2112</v>
      </c>
      <c r="C1619" s="96" t="s">
        <v>953</v>
      </c>
    </row>
    <row r="1620" spans="1:3" ht="15">
      <c r="A1620" s="90" t="s">
        <v>332</v>
      </c>
      <c r="B1620" s="89" t="s">
        <v>2113</v>
      </c>
      <c r="C1620" s="96" t="s">
        <v>953</v>
      </c>
    </row>
    <row r="1621" spans="1:3" ht="15">
      <c r="A1621" s="90" t="s">
        <v>331</v>
      </c>
      <c r="B1621" s="89" t="s">
        <v>2369</v>
      </c>
      <c r="C1621" s="96" t="s">
        <v>952</v>
      </c>
    </row>
    <row r="1622" spans="1:3" ht="15">
      <c r="A1622" s="90" t="s">
        <v>331</v>
      </c>
      <c r="B1622" s="89" t="s">
        <v>2370</v>
      </c>
      <c r="C1622" s="96" t="s">
        <v>952</v>
      </c>
    </row>
    <row r="1623" spans="1:3" ht="15">
      <c r="A1623" s="90" t="s">
        <v>331</v>
      </c>
      <c r="B1623" s="89" t="s">
        <v>2150</v>
      </c>
      <c r="C1623" s="96" t="s">
        <v>952</v>
      </c>
    </row>
    <row r="1624" spans="1:3" ht="15">
      <c r="A1624" s="90" t="s">
        <v>331</v>
      </c>
      <c r="B1624" s="89" t="s">
        <v>2151</v>
      </c>
      <c r="C1624" s="96" t="s">
        <v>952</v>
      </c>
    </row>
    <row r="1625" spans="1:3" ht="15">
      <c r="A1625" s="90" t="s">
        <v>331</v>
      </c>
      <c r="B1625" s="89" t="s">
        <v>2152</v>
      </c>
      <c r="C1625" s="96" t="s">
        <v>952</v>
      </c>
    </row>
    <row r="1626" spans="1:3" ht="15">
      <c r="A1626" s="90" t="s">
        <v>331</v>
      </c>
      <c r="B1626" s="89" t="s">
        <v>2391</v>
      </c>
      <c r="C1626" s="96" t="s">
        <v>952</v>
      </c>
    </row>
    <row r="1627" spans="1:3" ht="15">
      <c r="A1627" s="90" t="s">
        <v>331</v>
      </c>
      <c r="B1627" s="89" t="s">
        <v>2392</v>
      </c>
      <c r="C1627" s="96" t="s">
        <v>952</v>
      </c>
    </row>
    <row r="1628" spans="1:3" ht="15">
      <c r="A1628" s="90" t="s">
        <v>331</v>
      </c>
      <c r="B1628" s="89" t="s">
        <v>2393</v>
      </c>
      <c r="C1628" s="96" t="s">
        <v>952</v>
      </c>
    </row>
    <row r="1629" spans="1:3" ht="15">
      <c r="A1629" s="90" t="s">
        <v>331</v>
      </c>
      <c r="B1629" s="89" t="s">
        <v>2149</v>
      </c>
      <c r="C1629" s="96" t="s">
        <v>952</v>
      </c>
    </row>
    <row r="1630" spans="1:3" ht="15">
      <c r="A1630" s="90" t="s">
        <v>331</v>
      </c>
      <c r="B1630" s="89" t="s">
        <v>2153</v>
      </c>
      <c r="C1630" s="96" t="s">
        <v>952</v>
      </c>
    </row>
    <row r="1631" spans="1:3" ht="15">
      <c r="A1631" s="90" t="s">
        <v>331</v>
      </c>
      <c r="B1631" s="89" t="s">
        <v>2361</v>
      </c>
      <c r="C1631" s="96" t="s">
        <v>952</v>
      </c>
    </row>
    <row r="1632" spans="1:3" ht="15">
      <c r="A1632" s="90" t="s">
        <v>331</v>
      </c>
      <c r="B1632" s="89" t="s">
        <v>2394</v>
      </c>
      <c r="C1632" s="96" t="s">
        <v>952</v>
      </c>
    </row>
    <row r="1633" spans="1:3" ht="15">
      <c r="A1633" s="90" t="s">
        <v>331</v>
      </c>
      <c r="B1633" s="89" t="s">
        <v>2148</v>
      </c>
      <c r="C1633" s="96" t="s">
        <v>952</v>
      </c>
    </row>
    <row r="1634" spans="1:3" ht="15">
      <c r="A1634" s="90" t="s">
        <v>331</v>
      </c>
      <c r="B1634" s="89" t="s">
        <v>2395</v>
      </c>
      <c r="C1634" s="96" t="s">
        <v>952</v>
      </c>
    </row>
    <row r="1635" spans="1:3" ht="15">
      <c r="A1635" s="90" t="s">
        <v>331</v>
      </c>
      <c r="B1635" s="89" t="s">
        <v>2154</v>
      </c>
      <c r="C1635" s="96" t="s">
        <v>952</v>
      </c>
    </row>
    <row r="1636" spans="1:3" ht="15">
      <c r="A1636" s="90" t="s">
        <v>331</v>
      </c>
      <c r="B1636" s="89" t="s">
        <v>2155</v>
      </c>
      <c r="C1636" s="96" t="s">
        <v>952</v>
      </c>
    </row>
    <row r="1637" spans="1:3" ht="15">
      <c r="A1637" s="90" t="s">
        <v>330</v>
      </c>
      <c r="B1637" s="89" t="s">
        <v>2369</v>
      </c>
      <c r="C1637" s="96" t="s">
        <v>951</v>
      </c>
    </row>
    <row r="1638" spans="1:3" ht="15">
      <c r="A1638" s="90" t="s">
        <v>330</v>
      </c>
      <c r="B1638" s="89" t="s">
        <v>2370</v>
      </c>
      <c r="C1638" s="96" t="s">
        <v>951</v>
      </c>
    </row>
    <row r="1639" spans="1:3" ht="15">
      <c r="A1639" s="90" t="s">
        <v>330</v>
      </c>
      <c r="B1639" s="89" t="s">
        <v>2150</v>
      </c>
      <c r="C1639" s="96" t="s">
        <v>951</v>
      </c>
    </row>
    <row r="1640" spans="1:3" ht="15">
      <c r="A1640" s="90" t="s">
        <v>330</v>
      </c>
      <c r="B1640" s="89" t="s">
        <v>2151</v>
      </c>
      <c r="C1640" s="96" t="s">
        <v>951</v>
      </c>
    </row>
    <row r="1641" spans="1:3" ht="15">
      <c r="A1641" s="90" t="s">
        <v>330</v>
      </c>
      <c r="B1641" s="89" t="s">
        <v>2152</v>
      </c>
      <c r="C1641" s="96" t="s">
        <v>951</v>
      </c>
    </row>
    <row r="1642" spans="1:3" ht="15">
      <c r="A1642" s="90" t="s">
        <v>330</v>
      </c>
      <c r="B1642" s="89" t="s">
        <v>2391</v>
      </c>
      <c r="C1642" s="96" t="s">
        <v>951</v>
      </c>
    </row>
    <row r="1643" spans="1:3" ht="15">
      <c r="A1643" s="90" t="s">
        <v>330</v>
      </c>
      <c r="B1643" s="89" t="s">
        <v>2392</v>
      </c>
      <c r="C1643" s="96" t="s">
        <v>951</v>
      </c>
    </row>
    <row r="1644" spans="1:3" ht="15">
      <c r="A1644" s="90" t="s">
        <v>330</v>
      </c>
      <c r="B1644" s="89" t="s">
        <v>2393</v>
      </c>
      <c r="C1644" s="96" t="s">
        <v>951</v>
      </c>
    </row>
    <row r="1645" spans="1:3" ht="15">
      <c r="A1645" s="90" t="s">
        <v>330</v>
      </c>
      <c r="B1645" s="89" t="s">
        <v>2149</v>
      </c>
      <c r="C1645" s="96" t="s">
        <v>951</v>
      </c>
    </row>
    <row r="1646" spans="1:3" ht="15">
      <c r="A1646" s="90" t="s">
        <v>330</v>
      </c>
      <c r="B1646" s="89" t="s">
        <v>2153</v>
      </c>
      <c r="C1646" s="96" t="s">
        <v>951</v>
      </c>
    </row>
    <row r="1647" spans="1:3" ht="15">
      <c r="A1647" s="90" t="s">
        <v>330</v>
      </c>
      <c r="B1647" s="89" t="s">
        <v>2361</v>
      </c>
      <c r="C1647" s="96" t="s">
        <v>951</v>
      </c>
    </row>
    <row r="1648" spans="1:3" ht="15">
      <c r="A1648" s="90" t="s">
        <v>330</v>
      </c>
      <c r="B1648" s="89" t="s">
        <v>2394</v>
      </c>
      <c r="C1648" s="96" t="s">
        <v>951</v>
      </c>
    </row>
    <row r="1649" spans="1:3" ht="15">
      <c r="A1649" s="90" t="s">
        <v>330</v>
      </c>
      <c r="B1649" s="89" t="s">
        <v>2148</v>
      </c>
      <c r="C1649" s="96" t="s">
        <v>951</v>
      </c>
    </row>
    <row r="1650" spans="1:3" ht="15">
      <c r="A1650" s="90" t="s">
        <v>330</v>
      </c>
      <c r="B1650" s="89" t="s">
        <v>2395</v>
      </c>
      <c r="C1650" s="96" t="s">
        <v>951</v>
      </c>
    </row>
    <row r="1651" spans="1:3" ht="15">
      <c r="A1651" s="90" t="s">
        <v>330</v>
      </c>
      <c r="B1651" s="89" t="s">
        <v>2154</v>
      </c>
      <c r="C1651" s="96" t="s">
        <v>951</v>
      </c>
    </row>
    <row r="1652" spans="1:3" ht="15">
      <c r="A1652" s="90" t="s">
        <v>330</v>
      </c>
      <c r="B1652" s="89" t="s">
        <v>2155</v>
      </c>
      <c r="C1652" s="96" t="s">
        <v>951</v>
      </c>
    </row>
    <row r="1653" spans="1:3" ht="15">
      <c r="A1653" s="90" t="s">
        <v>329</v>
      </c>
      <c r="B1653" s="89" t="s">
        <v>440</v>
      </c>
      <c r="C1653" s="96" t="s">
        <v>950</v>
      </c>
    </row>
    <row r="1654" spans="1:3" ht="15">
      <c r="A1654" s="90" t="s">
        <v>329</v>
      </c>
      <c r="B1654" s="89" t="s">
        <v>2626</v>
      </c>
      <c r="C1654" s="96" t="s">
        <v>950</v>
      </c>
    </row>
    <row r="1655" spans="1:3" ht="15">
      <c r="A1655" s="90" t="s">
        <v>329</v>
      </c>
      <c r="B1655" s="89" t="s">
        <v>439</v>
      </c>
      <c r="C1655" s="96" t="s">
        <v>950</v>
      </c>
    </row>
    <row r="1656" spans="1:3" ht="15">
      <c r="A1656" s="90" t="s">
        <v>329</v>
      </c>
      <c r="B1656" s="89" t="s">
        <v>2627</v>
      </c>
      <c r="C1656" s="96" t="s">
        <v>950</v>
      </c>
    </row>
    <row r="1657" spans="1:3" ht="15">
      <c r="A1657" s="90" t="s">
        <v>329</v>
      </c>
      <c r="B1657" s="89" t="s">
        <v>2628</v>
      </c>
      <c r="C1657" s="96" t="s">
        <v>950</v>
      </c>
    </row>
    <row r="1658" spans="1:3" ht="15">
      <c r="A1658" s="90" t="s">
        <v>329</v>
      </c>
      <c r="B1658" s="89" t="s">
        <v>2629</v>
      </c>
      <c r="C1658" s="96" t="s">
        <v>950</v>
      </c>
    </row>
    <row r="1659" spans="1:3" ht="15">
      <c r="A1659" s="90" t="s">
        <v>329</v>
      </c>
      <c r="B1659" s="89" t="s">
        <v>2364</v>
      </c>
      <c r="C1659" s="96" t="s">
        <v>950</v>
      </c>
    </row>
    <row r="1660" spans="1:3" ht="15">
      <c r="A1660" s="90" t="s">
        <v>329</v>
      </c>
      <c r="B1660" s="89" t="s">
        <v>2630</v>
      </c>
      <c r="C1660" s="96" t="s">
        <v>950</v>
      </c>
    </row>
    <row r="1661" spans="1:3" ht="15">
      <c r="A1661" s="90" t="s">
        <v>329</v>
      </c>
      <c r="B1661" s="89" t="s">
        <v>2631</v>
      </c>
      <c r="C1661" s="96" t="s">
        <v>950</v>
      </c>
    </row>
    <row r="1662" spans="1:3" ht="15">
      <c r="A1662" s="90" t="s">
        <v>329</v>
      </c>
      <c r="B1662" s="89" t="s">
        <v>2632</v>
      </c>
      <c r="C1662" s="96" t="s">
        <v>950</v>
      </c>
    </row>
    <row r="1663" spans="1:3" ht="15">
      <c r="A1663" s="90" t="s">
        <v>329</v>
      </c>
      <c r="B1663" s="89" t="s">
        <v>2633</v>
      </c>
      <c r="C1663" s="96" t="s">
        <v>950</v>
      </c>
    </row>
    <row r="1664" spans="1:3" ht="15">
      <c r="A1664" s="90" t="s">
        <v>329</v>
      </c>
      <c r="B1664" s="89" t="s">
        <v>2634</v>
      </c>
      <c r="C1664" s="96" t="s">
        <v>950</v>
      </c>
    </row>
    <row r="1665" spans="1:3" ht="15">
      <c r="A1665" s="90" t="s">
        <v>329</v>
      </c>
      <c r="B1665" s="89" t="s">
        <v>2383</v>
      </c>
      <c r="C1665" s="96" t="s">
        <v>950</v>
      </c>
    </row>
    <row r="1666" spans="1:3" ht="15">
      <c r="A1666" s="90" t="s">
        <v>329</v>
      </c>
      <c r="B1666" s="89" t="s">
        <v>2635</v>
      </c>
      <c r="C1666" s="96" t="s">
        <v>950</v>
      </c>
    </row>
    <row r="1667" spans="1:3" ht="15">
      <c r="A1667" s="90" t="s">
        <v>329</v>
      </c>
      <c r="B1667" s="89" t="s">
        <v>2636</v>
      </c>
      <c r="C1667" s="96" t="s">
        <v>950</v>
      </c>
    </row>
    <row r="1668" spans="1:3" ht="15">
      <c r="A1668" s="90" t="s">
        <v>329</v>
      </c>
      <c r="B1668" s="89" t="s">
        <v>2637</v>
      </c>
      <c r="C1668" s="96" t="s">
        <v>950</v>
      </c>
    </row>
    <row r="1669" spans="1:3" ht="15">
      <c r="A1669" s="90" t="s">
        <v>329</v>
      </c>
      <c r="B1669" s="89" t="s">
        <v>2267</v>
      </c>
      <c r="C1669" s="96" t="s">
        <v>950</v>
      </c>
    </row>
    <row r="1670" spans="1:3" ht="15">
      <c r="A1670" s="90" t="s">
        <v>329</v>
      </c>
      <c r="B1670" s="89" t="s">
        <v>2638</v>
      </c>
      <c r="C1670" s="96" t="s">
        <v>950</v>
      </c>
    </row>
    <row r="1671" spans="1:3" ht="15">
      <c r="A1671" s="90" t="s">
        <v>329</v>
      </c>
      <c r="B1671" s="89" t="s">
        <v>2361</v>
      </c>
      <c r="C1671" s="96" t="s">
        <v>950</v>
      </c>
    </row>
    <row r="1672" spans="1:3" ht="15">
      <c r="A1672" s="90" t="s">
        <v>329</v>
      </c>
      <c r="B1672" s="89" t="s">
        <v>2639</v>
      </c>
      <c r="C1672" s="96" t="s">
        <v>950</v>
      </c>
    </row>
    <row r="1673" spans="1:3" ht="15">
      <c r="A1673" s="90" t="s">
        <v>329</v>
      </c>
      <c r="B1673" s="89" t="s">
        <v>2524</v>
      </c>
      <c r="C1673" s="96" t="s">
        <v>950</v>
      </c>
    </row>
    <row r="1674" spans="1:3" ht="15">
      <c r="A1674" s="90" t="s">
        <v>329</v>
      </c>
      <c r="B1674" s="89" t="s">
        <v>2398</v>
      </c>
      <c r="C1674" s="96" t="s">
        <v>950</v>
      </c>
    </row>
    <row r="1675" spans="1:3" ht="15">
      <c r="A1675" s="90" t="s">
        <v>329</v>
      </c>
      <c r="B1675" s="89" t="s">
        <v>2640</v>
      </c>
      <c r="C1675" s="96" t="s">
        <v>950</v>
      </c>
    </row>
    <row r="1676" spans="1:3" ht="15">
      <c r="A1676" s="90" t="s">
        <v>329</v>
      </c>
      <c r="B1676" s="89" t="s">
        <v>2641</v>
      </c>
      <c r="C1676" s="96" t="s">
        <v>950</v>
      </c>
    </row>
    <row r="1677" spans="1:3" ht="15">
      <c r="A1677" s="90" t="s">
        <v>329</v>
      </c>
      <c r="B1677" s="89" t="s">
        <v>2642</v>
      </c>
      <c r="C1677" s="96" t="s">
        <v>950</v>
      </c>
    </row>
    <row r="1678" spans="1:3" ht="15">
      <c r="A1678" s="90" t="s">
        <v>329</v>
      </c>
      <c r="B1678" s="89" t="s">
        <v>2643</v>
      </c>
      <c r="C1678" s="96" t="s">
        <v>950</v>
      </c>
    </row>
    <row r="1679" spans="1:3" ht="15">
      <c r="A1679" s="90" t="s">
        <v>329</v>
      </c>
      <c r="B1679" s="89" t="s">
        <v>2644</v>
      </c>
      <c r="C1679" s="96" t="s">
        <v>950</v>
      </c>
    </row>
    <row r="1680" spans="1:3" ht="15">
      <c r="A1680" s="90" t="s">
        <v>329</v>
      </c>
      <c r="B1680" s="89" t="s">
        <v>416</v>
      </c>
      <c r="C1680" s="96" t="s">
        <v>950</v>
      </c>
    </row>
    <row r="1681" spans="1:3" ht="15">
      <c r="A1681" s="90" t="s">
        <v>329</v>
      </c>
      <c r="B1681" s="89" t="s">
        <v>2645</v>
      </c>
      <c r="C1681" s="96" t="s">
        <v>950</v>
      </c>
    </row>
    <row r="1682" spans="1:3" ht="15">
      <c r="A1682" s="90" t="s">
        <v>329</v>
      </c>
      <c r="B1682" s="89" t="s">
        <v>2646</v>
      </c>
      <c r="C1682" s="96" t="s">
        <v>950</v>
      </c>
    </row>
    <row r="1683" spans="1:3" ht="15">
      <c r="A1683" s="90" t="s">
        <v>329</v>
      </c>
      <c r="B1683" s="89" t="s">
        <v>2647</v>
      </c>
      <c r="C1683" s="96" t="s">
        <v>950</v>
      </c>
    </row>
    <row r="1684" spans="1:3" ht="15">
      <c r="A1684" s="90" t="s">
        <v>329</v>
      </c>
      <c r="B1684" s="89" t="s">
        <v>2281</v>
      </c>
      <c r="C1684" s="96" t="s">
        <v>950</v>
      </c>
    </row>
    <row r="1685" spans="1:3" ht="15">
      <c r="A1685" s="90" t="s">
        <v>329</v>
      </c>
      <c r="B1685" s="89" t="s">
        <v>2648</v>
      </c>
      <c r="C1685" s="96" t="s">
        <v>950</v>
      </c>
    </row>
    <row r="1686" spans="1:3" ht="15">
      <c r="A1686" s="90" t="s">
        <v>329</v>
      </c>
      <c r="B1686" s="89" t="s">
        <v>2649</v>
      </c>
      <c r="C1686" s="96" t="s">
        <v>950</v>
      </c>
    </row>
    <row r="1687" spans="1:3" ht="15">
      <c r="A1687" s="90" t="s">
        <v>329</v>
      </c>
      <c r="B1687" s="89" t="s">
        <v>2626</v>
      </c>
      <c r="C1687" s="96" t="s">
        <v>949</v>
      </c>
    </row>
    <row r="1688" spans="1:3" ht="15">
      <c r="A1688" s="90" t="s">
        <v>329</v>
      </c>
      <c r="B1688" s="89" t="s">
        <v>2650</v>
      </c>
      <c r="C1688" s="96" t="s">
        <v>949</v>
      </c>
    </row>
    <row r="1689" spans="1:3" ht="15">
      <c r="A1689" s="90" t="s">
        <v>329</v>
      </c>
      <c r="B1689" s="89" t="s">
        <v>2370</v>
      </c>
      <c r="C1689" s="96" t="s">
        <v>949</v>
      </c>
    </row>
    <row r="1690" spans="1:3" ht="15">
      <c r="A1690" s="90" t="s">
        <v>329</v>
      </c>
      <c r="B1690" s="89" t="s">
        <v>2382</v>
      </c>
      <c r="C1690" s="96" t="s">
        <v>949</v>
      </c>
    </row>
    <row r="1691" spans="1:3" ht="15">
      <c r="A1691" s="90" t="s">
        <v>329</v>
      </c>
      <c r="B1691" s="89" t="s">
        <v>2282</v>
      </c>
      <c r="C1691" s="96" t="s">
        <v>949</v>
      </c>
    </row>
    <row r="1692" spans="1:3" ht="15">
      <c r="A1692" s="90" t="s">
        <v>329</v>
      </c>
      <c r="B1692" s="89" t="s">
        <v>2283</v>
      </c>
      <c r="C1692" s="96" t="s">
        <v>949</v>
      </c>
    </row>
    <row r="1693" spans="1:3" ht="15">
      <c r="A1693" s="90" t="s">
        <v>329</v>
      </c>
      <c r="B1693" s="89" t="s">
        <v>2651</v>
      </c>
      <c r="C1693" s="96" t="s">
        <v>949</v>
      </c>
    </row>
    <row r="1694" spans="1:3" ht="15">
      <c r="A1694" s="90" t="s">
        <v>329</v>
      </c>
      <c r="B1694" s="89" t="s">
        <v>2652</v>
      </c>
      <c r="C1694" s="96" t="s">
        <v>949</v>
      </c>
    </row>
    <row r="1695" spans="1:3" ht="15">
      <c r="A1695" s="90" t="s">
        <v>329</v>
      </c>
      <c r="B1695" s="89" t="s">
        <v>2653</v>
      </c>
      <c r="C1695" s="96" t="s">
        <v>949</v>
      </c>
    </row>
    <row r="1696" spans="1:3" ht="15">
      <c r="A1696" s="90" t="s">
        <v>329</v>
      </c>
      <c r="B1696" s="89" t="s">
        <v>2109</v>
      </c>
      <c r="C1696" s="96" t="s">
        <v>949</v>
      </c>
    </row>
    <row r="1697" spans="1:3" ht="15">
      <c r="A1697" s="90" t="s">
        <v>329</v>
      </c>
      <c r="B1697" s="89" t="s">
        <v>2654</v>
      </c>
      <c r="C1697" s="96" t="s">
        <v>949</v>
      </c>
    </row>
    <row r="1698" spans="1:3" ht="15">
      <c r="A1698" s="90" t="s">
        <v>329</v>
      </c>
      <c r="B1698" s="89" t="s">
        <v>2110</v>
      </c>
      <c r="C1698" s="96" t="s">
        <v>949</v>
      </c>
    </row>
    <row r="1699" spans="1:3" ht="15">
      <c r="A1699" s="90" t="s">
        <v>329</v>
      </c>
      <c r="B1699" s="89" t="s">
        <v>2655</v>
      </c>
      <c r="C1699" s="96" t="s">
        <v>949</v>
      </c>
    </row>
    <row r="1700" spans="1:3" ht="15">
      <c r="A1700" s="90" t="s">
        <v>329</v>
      </c>
      <c r="B1700" s="89" t="s">
        <v>2656</v>
      </c>
      <c r="C1700" s="96" t="s">
        <v>949</v>
      </c>
    </row>
    <row r="1701" spans="1:3" ht="15">
      <c r="A1701" s="90" t="s">
        <v>329</v>
      </c>
      <c r="B1701" s="89" t="s">
        <v>2657</v>
      </c>
      <c r="C1701" s="96" t="s">
        <v>949</v>
      </c>
    </row>
    <row r="1702" spans="1:3" ht="15">
      <c r="A1702" s="90" t="s">
        <v>329</v>
      </c>
      <c r="B1702" s="89" t="s">
        <v>2658</v>
      </c>
      <c r="C1702" s="96" t="s">
        <v>949</v>
      </c>
    </row>
    <row r="1703" spans="1:3" ht="15">
      <c r="A1703" s="90" t="s">
        <v>329</v>
      </c>
      <c r="B1703" s="89" t="s">
        <v>2369</v>
      </c>
      <c r="C1703" s="96" t="s">
        <v>949</v>
      </c>
    </row>
    <row r="1704" spans="1:3" ht="15">
      <c r="A1704" s="90" t="s">
        <v>329</v>
      </c>
      <c r="B1704" s="89" t="s">
        <v>2361</v>
      </c>
      <c r="C1704" s="96" t="s">
        <v>949</v>
      </c>
    </row>
    <row r="1705" spans="1:3" ht="15">
      <c r="A1705" s="90" t="s">
        <v>329</v>
      </c>
      <c r="B1705" s="89" t="s">
        <v>439</v>
      </c>
      <c r="C1705" s="96" t="s">
        <v>949</v>
      </c>
    </row>
    <row r="1706" spans="1:3" ht="15">
      <c r="A1706" s="90" t="s">
        <v>329</v>
      </c>
      <c r="B1706" s="89">
        <v>10</v>
      </c>
      <c r="C1706" s="96" t="s">
        <v>949</v>
      </c>
    </row>
    <row r="1707" spans="1:3" ht="15">
      <c r="A1707" s="90" t="s">
        <v>329</v>
      </c>
      <c r="B1707" s="89" t="s">
        <v>2659</v>
      </c>
      <c r="C1707" s="96" t="s">
        <v>949</v>
      </c>
    </row>
    <row r="1708" spans="1:3" ht="15">
      <c r="A1708" s="90" t="s">
        <v>329</v>
      </c>
      <c r="B1708" s="89" t="s">
        <v>2284</v>
      </c>
      <c r="C1708" s="96" t="s">
        <v>949</v>
      </c>
    </row>
    <row r="1709" spans="1:3" ht="15">
      <c r="A1709" s="90" t="s">
        <v>329</v>
      </c>
      <c r="B1709" s="89" t="s">
        <v>2660</v>
      </c>
      <c r="C1709" s="96" t="s">
        <v>949</v>
      </c>
    </row>
    <row r="1710" spans="1:3" ht="15">
      <c r="A1710" s="90" t="s">
        <v>329</v>
      </c>
      <c r="B1710" s="89" t="s">
        <v>2661</v>
      </c>
      <c r="C1710" s="96" t="s">
        <v>949</v>
      </c>
    </row>
    <row r="1711" spans="1:3" ht="15">
      <c r="A1711" s="90" t="s">
        <v>329</v>
      </c>
      <c r="B1711" s="89" t="s">
        <v>2662</v>
      </c>
      <c r="C1711" s="96" t="s">
        <v>949</v>
      </c>
    </row>
    <row r="1712" spans="1:3" ht="15">
      <c r="A1712" s="90" t="s">
        <v>329</v>
      </c>
      <c r="B1712" s="89" t="s">
        <v>2663</v>
      </c>
      <c r="C1712" s="96" t="s">
        <v>949</v>
      </c>
    </row>
    <row r="1713" spans="1:3" ht="15">
      <c r="A1713" s="90" t="s">
        <v>329</v>
      </c>
      <c r="B1713" s="89" t="s">
        <v>2664</v>
      </c>
      <c r="C1713" s="96" t="s">
        <v>949</v>
      </c>
    </row>
    <row r="1714" spans="1:3" ht="15">
      <c r="A1714" s="90" t="s">
        <v>329</v>
      </c>
      <c r="B1714" s="89" t="s">
        <v>2665</v>
      </c>
      <c r="C1714" s="96" t="s">
        <v>949</v>
      </c>
    </row>
    <row r="1715" spans="1:3" ht="15">
      <c r="A1715" s="90" t="s">
        <v>329</v>
      </c>
      <c r="B1715" s="89" t="s">
        <v>2666</v>
      </c>
      <c r="C1715" s="96" t="s">
        <v>949</v>
      </c>
    </row>
    <row r="1716" spans="1:3" ht="15">
      <c r="A1716" s="90" t="s">
        <v>329</v>
      </c>
      <c r="B1716" s="89" t="s">
        <v>2667</v>
      </c>
      <c r="C1716" s="96" t="s">
        <v>949</v>
      </c>
    </row>
    <row r="1717" spans="1:3" ht="15">
      <c r="A1717" s="90" t="s">
        <v>329</v>
      </c>
      <c r="B1717" s="89" t="s">
        <v>2668</v>
      </c>
      <c r="C1717" s="96" t="s">
        <v>949</v>
      </c>
    </row>
    <row r="1718" spans="1:3" ht="15">
      <c r="A1718" s="90" t="s">
        <v>328</v>
      </c>
      <c r="B1718" s="89" t="s">
        <v>2369</v>
      </c>
      <c r="C1718" s="96" t="s">
        <v>948</v>
      </c>
    </row>
    <row r="1719" spans="1:3" ht="15">
      <c r="A1719" s="90" t="s">
        <v>328</v>
      </c>
      <c r="B1719" s="89" t="s">
        <v>2370</v>
      </c>
      <c r="C1719" s="96" t="s">
        <v>948</v>
      </c>
    </row>
    <row r="1720" spans="1:3" ht="15">
      <c r="A1720" s="90" t="s">
        <v>328</v>
      </c>
      <c r="B1720" s="89" t="s">
        <v>2150</v>
      </c>
      <c r="C1720" s="96" t="s">
        <v>948</v>
      </c>
    </row>
    <row r="1721" spans="1:3" ht="15">
      <c r="A1721" s="90" t="s">
        <v>328</v>
      </c>
      <c r="B1721" s="89" t="s">
        <v>2151</v>
      </c>
      <c r="C1721" s="96" t="s">
        <v>948</v>
      </c>
    </row>
    <row r="1722" spans="1:3" ht="15">
      <c r="A1722" s="90" t="s">
        <v>328</v>
      </c>
      <c r="B1722" s="89" t="s">
        <v>2152</v>
      </c>
      <c r="C1722" s="96" t="s">
        <v>948</v>
      </c>
    </row>
    <row r="1723" spans="1:3" ht="15">
      <c r="A1723" s="90" t="s">
        <v>328</v>
      </c>
      <c r="B1723" s="89" t="s">
        <v>2391</v>
      </c>
      <c r="C1723" s="96" t="s">
        <v>948</v>
      </c>
    </row>
    <row r="1724" spans="1:3" ht="15">
      <c r="A1724" s="90" t="s">
        <v>328</v>
      </c>
      <c r="B1724" s="89" t="s">
        <v>2392</v>
      </c>
      <c r="C1724" s="96" t="s">
        <v>948</v>
      </c>
    </row>
    <row r="1725" spans="1:3" ht="15">
      <c r="A1725" s="90" t="s">
        <v>328</v>
      </c>
      <c r="B1725" s="89" t="s">
        <v>2393</v>
      </c>
      <c r="C1725" s="96" t="s">
        <v>948</v>
      </c>
    </row>
    <row r="1726" spans="1:3" ht="15">
      <c r="A1726" s="90" t="s">
        <v>328</v>
      </c>
      <c r="B1726" s="89" t="s">
        <v>2149</v>
      </c>
      <c r="C1726" s="96" t="s">
        <v>948</v>
      </c>
    </row>
    <row r="1727" spans="1:3" ht="15">
      <c r="A1727" s="90" t="s">
        <v>328</v>
      </c>
      <c r="B1727" s="89" t="s">
        <v>2153</v>
      </c>
      <c r="C1727" s="96" t="s">
        <v>948</v>
      </c>
    </row>
    <row r="1728" spans="1:3" ht="15">
      <c r="A1728" s="90" t="s">
        <v>328</v>
      </c>
      <c r="B1728" s="89" t="s">
        <v>2361</v>
      </c>
      <c r="C1728" s="96" t="s">
        <v>948</v>
      </c>
    </row>
    <row r="1729" spans="1:3" ht="15">
      <c r="A1729" s="90" t="s">
        <v>328</v>
      </c>
      <c r="B1729" s="89" t="s">
        <v>2394</v>
      </c>
      <c r="C1729" s="96" t="s">
        <v>948</v>
      </c>
    </row>
    <row r="1730" spans="1:3" ht="15">
      <c r="A1730" s="90" t="s">
        <v>328</v>
      </c>
      <c r="B1730" s="89" t="s">
        <v>2148</v>
      </c>
      <c r="C1730" s="96" t="s">
        <v>948</v>
      </c>
    </row>
    <row r="1731" spans="1:3" ht="15">
      <c r="A1731" s="90" t="s">
        <v>328</v>
      </c>
      <c r="B1731" s="89" t="s">
        <v>2395</v>
      </c>
      <c r="C1731" s="96" t="s">
        <v>948</v>
      </c>
    </row>
    <row r="1732" spans="1:3" ht="15">
      <c r="A1732" s="90" t="s">
        <v>328</v>
      </c>
      <c r="B1732" s="89" t="s">
        <v>2154</v>
      </c>
      <c r="C1732" s="96" t="s">
        <v>948</v>
      </c>
    </row>
    <row r="1733" spans="1:3" ht="15">
      <c r="A1733" s="90" t="s">
        <v>328</v>
      </c>
      <c r="B1733" s="89" t="s">
        <v>2155</v>
      </c>
      <c r="C1733" s="96" t="s">
        <v>948</v>
      </c>
    </row>
    <row r="1734" spans="1:3" ht="15">
      <c r="A1734" s="90" t="s">
        <v>327</v>
      </c>
      <c r="B1734" s="89" t="s">
        <v>2369</v>
      </c>
      <c r="C1734" s="96" t="s">
        <v>947</v>
      </c>
    </row>
    <row r="1735" spans="1:3" ht="15">
      <c r="A1735" s="90" t="s">
        <v>327</v>
      </c>
      <c r="B1735" s="89" t="s">
        <v>2370</v>
      </c>
      <c r="C1735" s="96" t="s">
        <v>947</v>
      </c>
    </row>
    <row r="1736" spans="1:3" ht="15">
      <c r="A1736" s="90" t="s">
        <v>327</v>
      </c>
      <c r="B1736" s="89" t="s">
        <v>2112</v>
      </c>
      <c r="C1736" s="96" t="s">
        <v>947</v>
      </c>
    </row>
    <row r="1737" spans="1:3" ht="15">
      <c r="A1737" s="90" t="s">
        <v>327</v>
      </c>
      <c r="B1737" s="89" t="s">
        <v>2113</v>
      </c>
      <c r="C1737" s="96" t="s">
        <v>947</v>
      </c>
    </row>
    <row r="1738" spans="1:3" ht="15">
      <c r="A1738" s="90" t="s">
        <v>326</v>
      </c>
      <c r="B1738" s="89" t="s">
        <v>2369</v>
      </c>
      <c r="C1738" s="96" t="s">
        <v>946</v>
      </c>
    </row>
    <row r="1739" spans="1:3" ht="15">
      <c r="A1739" s="90" t="s">
        <v>326</v>
      </c>
      <c r="B1739" s="89" t="s">
        <v>2370</v>
      </c>
      <c r="C1739" s="96" t="s">
        <v>946</v>
      </c>
    </row>
    <row r="1740" spans="1:3" ht="15">
      <c r="A1740" s="90" t="s">
        <v>326</v>
      </c>
      <c r="B1740" s="89" t="s">
        <v>2112</v>
      </c>
      <c r="C1740" s="96" t="s">
        <v>946</v>
      </c>
    </row>
    <row r="1741" spans="1:3" ht="15">
      <c r="A1741" s="90" t="s">
        <v>326</v>
      </c>
      <c r="B1741" s="89" t="s">
        <v>2113</v>
      </c>
      <c r="C1741" s="96" t="s">
        <v>946</v>
      </c>
    </row>
    <row r="1742" spans="1:3" ht="15">
      <c r="A1742" s="90" t="s">
        <v>325</v>
      </c>
      <c r="B1742" s="89" t="s">
        <v>2369</v>
      </c>
      <c r="C1742" s="96" t="s">
        <v>945</v>
      </c>
    </row>
    <row r="1743" spans="1:3" ht="15">
      <c r="A1743" s="90" t="s">
        <v>325</v>
      </c>
      <c r="B1743" s="89" t="s">
        <v>2370</v>
      </c>
      <c r="C1743" s="96" t="s">
        <v>945</v>
      </c>
    </row>
    <row r="1744" spans="1:3" ht="15">
      <c r="A1744" s="90" t="s">
        <v>325</v>
      </c>
      <c r="B1744" s="89" t="s">
        <v>2150</v>
      </c>
      <c r="C1744" s="96" t="s">
        <v>945</v>
      </c>
    </row>
    <row r="1745" spans="1:3" ht="15">
      <c r="A1745" s="90" t="s">
        <v>325</v>
      </c>
      <c r="B1745" s="89" t="s">
        <v>2151</v>
      </c>
      <c r="C1745" s="96" t="s">
        <v>945</v>
      </c>
    </row>
    <row r="1746" spans="1:3" ht="15">
      <c r="A1746" s="90" t="s">
        <v>325</v>
      </c>
      <c r="B1746" s="89" t="s">
        <v>2152</v>
      </c>
      <c r="C1746" s="96" t="s">
        <v>945</v>
      </c>
    </row>
    <row r="1747" spans="1:3" ht="15">
      <c r="A1747" s="90" t="s">
        <v>325</v>
      </c>
      <c r="B1747" s="89" t="s">
        <v>2391</v>
      </c>
      <c r="C1747" s="96" t="s">
        <v>945</v>
      </c>
    </row>
    <row r="1748" spans="1:3" ht="15">
      <c r="A1748" s="90" t="s">
        <v>325</v>
      </c>
      <c r="B1748" s="89" t="s">
        <v>2392</v>
      </c>
      <c r="C1748" s="96" t="s">
        <v>945</v>
      </c>
    </row>
    <row r="1749" spans="1:3" ht="15">
      <c r="A1749" s="90" t="s">
        <v>325</v>
      </c>
      <c r="B1749" s="89" t="s">
        <v>2393</v>
      </c>
      <c r="C1749" s="96" t="s">
        <v>945</v>
      </c>
    </row>
    <row r="1750" spans="1:3" ht="15">
      <c r="A1750" s="90" t="s">
        <v>325</v>
      </c>
      <c r="B1750" s="89" t="s">
        <v>2149</v>
      </c>
      <c r="C1750" s="96" t="s">
        <v>945</v>
      </c>
    </row>
    <row r="1751" spans="1:3" ht="15">
      <c r="A1751" s="90" t="s">
        <v>325</v>
      </c>
      <c r="B1751" s="89" t="s">
        <v>2153</v>
      </c>
      <c r="C1751" s="96" t="s">
        <v>945</v>
      </c>
    </row>
    <row r="1752" spans="1:3" ht="15">
      <c r="A1752" s="90" t="s">
        <v>325</v>
      </c>
      <c r="B1752" s="89" t="s">
        <v>2361</v>
      </c>
      <c r="C1752" s="96" t="s">
        <v>945</v>
      </c>
    </row>
    <row r="1753" spans="1:3" ht="15">
      <c r="A1753" s="90" t="s">
        <v>325</v>
      </c>
      <c r="B1753" s="89" t="s">
        <v>2394</v>
      </c>
      <c r="C1753" s="96" t="s">
        <v>945</v>
      </c>
    </row>
    <row r="1754" spans="1:3" ht="15">
      <c r="A1754" s="90" t="s">
        <v>325</v>
      </c>
      <c r="B1754" s="89" t="s">
        <v>2148</v>
      </c>
      <c r="C1754" s="96" t="s">
        <v>945</v>
      </c>
    </row>
    <row r="1755" spans="1:3" ht="15">
      <c r="A1755" s="90" t="s">
        <v>325</v>
      </c>
      <c r="B1755" s="89" t="s">
        <v>2395</v>
      </c>
      <c r="C1755" s="96" t="s">
        <v>945</v>
      </c>
    </row>
    <row r="1756" spans="1:3" ht="15">
      <c r="A1756" s="90" t="s">
        <v>325</v>
      </c>
      <c r="B1756" s="89" t="s">
        <v>2154</v>
      </c>
      <c r="C1756" s="96" t="s">
        <v>945</v>
      </c>
    </row>
    <row r="1757" spans="1:3" ht="15">
      <c r="A1757" s="90" t="s">
        <v>325</v>
      </c>
      <c r="B1757" s="89" t="s">
        <v>2155</v>
      </c>
      <c r="C1757" s="96" t="s">
        <v>945</v>
      </c>
    </row>
    <row r="1758" spans="1:3" ht="15">
      <c r="A1758" s="90" t="s">
        <v>324</v>
      </c>
      <c r="B1758" s="89" t="s">
        <v>2369</v>
      </c>
      <c r="C1758" s="96" t="s">
        <v>944</v>
      </c>
    </row>
    <row r="1759" spans="1:3" ht="15">
      <c r="A1759" s="90" t="s">
        <v>324</v>
      </c>
      <c r="B1759" s="89" t="s">
        <v>2370</v>
      </c>
      <c r="C1759" s="96" t="s">
        <v>944</v>
      </c>
    </row>
    <row r="1760" spans="1:3" ht="15">
      <c r="A1760" s="90" t="s">
        <v>324</v>
      </c>
      <c r="B1760" s="89" t="s">
        <v>2112</v>
      </c>
      <c r="C1760" s="96" t="s">
        <v>944</v>
      </c>
    </row>
    <row r="1761" spans="1:3" ht="15">
      <c r="A1761" s="90" t="s">
        <v>324</v>
      </c>
      <c r="B1761" s="89" t="s">
        <v>2113</v>
      </c>
      <c r="C1761" s="96" t="s">
        <v>944</v>
      </c>
    </row>
    <row r="1762" spans="1:3" ht="15">
      <c r="A1762" s="90" t="s">
        <v>400</v>
      </c>
      <c r="B1762" s="89" t="s">
        <v>2369</v>
      </c>
      <c r="C1762" s="96" t="s">
        <v>1043</v>
      </c>
    </row>
    <row r="1763" spans="1:3" ht="15">
      <c r="A1763" s="90" t="s">
        <v>400</v>
      </c>
      <c r="B1763" s="89" t="s">
        <v>2370</v>
      </c>
      <c r="C1763" s="96" t="s">
        <v>1043</v>
      </c>
    </row>
    <row r="1764" spans="1:3" ht="15">
      <c r="A1764" s="90" t="s">
        <v>400</v>
      </c>
      <c r="B1764" s="89" t="s">
        <v>2371</v>
      </c>
      <c r="C1764" s="96" t="s">
        <v>1043</v>
      </c>
    </row>
    <row r="1765" spans="1:3" ht="15">
      <c r="A1765" s="90" t="s">
        <v>400</v>
      </c>
      <c r="B1765" s="89" t="s">
        <v>2372</v>
      </c>
      <c r="C1765" s="96" t="s">
        <v>1043</v>
      </c>
    </row>
    <row r="1766" spans="1:3" ht="15">
      <c r="A1766" s="90" t="s">
        <v>400</v>
      </c>
      <c r="B1766" s="89" t="s">
        <v>2176</v>
      </c>
      <c r="C1766" s="96" t="s">
        <v>1043</v>
      </c>
    </row>
    <row r="1767" spans="1:3" ht="15">
      <c r="A1767" s="90" t="s">
        <v>400</v>
      </c>
      <c r="B1767" s="89" t="s">
        <v>2175</v>
      </c>
      <c r="C1767" s="96" t="s">
        <v>1043</v>
      </c>
    </row>
    <row r="1768" spans="1:3" ht="15">
      <c r="A1768" s="90" t="s">
        <v>400</v>
      </c>
      <c r="B1768" s="89" t="s">
        <v>2157</v>
      </c>
      <c r="C1768" s="96" t="s">
        <v>1043</v>
      </c>
    </row>
    <row r="1769" spans="1:3" ht="15">
      <c r="A1769" s="90" t="s">
        <v>400</v>
      </c>
      <c r="B1769" s="89" t="s">
        <v>2373</v>
      </c>
      <c r="C1769" s="96" t="s">
        <v>1043</v>
      </c>
    </row>
    <row r="1770" spans="1:3" ht="15">
      <c r="A1770" s="90" t="s">
        <v>400</v>
      </c>
      <c r="B1770" s="89" t="s">
        <v>2178</v>
      </c>
      <c r="C1770" s="96" t="s">
        <v>1043</v>
      </c>
    </row>
    <row r="1771" spans="1:3" ht="15">
      <c r="A1771" s="90" t="s">
        <v>400</v>
      </c>
      <c r="B1771" s="89" t="s">
        <v>2374</v>
      </c>
      <c r="C1771" s="96" t="s">
        <v>1043</v>
      </c>
    </row>
    <row r="1772" spans="1:3" ht="15">
      <c r="A1772" s="90" t="s">
        <v>400</v>
      </c>
      <c r="B1772" s="89" t="s">
        <v>2375</v>
      </c>
      <c r="C1772" s="96" t="s">
        <v>1043</v>
      </c>
    </row>
    <row r="1773" spans="1:3" ht="15">
      <c r="A1773" s="90" t="s">
        <v>400</v>
      </c>
      <c r="B1773" s="89" t="s">
        <v>2376</v>
      </c>
      <c r="C1773" s="96" t="s">
        <v>1043</v>
      </c>
    </row>
    <row r="1774" spans="1:3" ht="15">
      <c r="A1774" s="90" t="s">
        <v>400</v>
      </c>
      <c r="B1774" s="89" t="s">
        <v>2377</v>
      </c>
      <c r="C1774" s="96" t="s">
        <v>1043</v>
      </c>
    </row>
    <row r="1775" spans="1:3" ht="15">
      <c r="A1775" s="90" t="s">
        <v>334</v>
      </c>
      <c r="B1775" s="89" t="s">
        <v>2369</v>
      </c>
      <c r="C1775" s="96" t="s">
        <v>957</v>
      </c>
    </row>
    <row r="1776" spans="1:3" ht="15">
      <c r="A1776" s="90" t="s">
        <v>334</v>
      </c>
      <c r="B1776" s="89" t="s">
        <v>2370</v>
      </c>
      <c r="C1776" s="96" t="s">
        <v>957</v>
      </c>
    </row>
    <row r="1777" spans="1:3" ht="15">
      <c r="A1777" s="90" t="s">
        <v>334</v>
      </c>
      <c r="B1777" s="89" t="s">
        <v>2371</v>
      </c>
      <c r="C1777" s="96" t="s">
        <v>957</v>
      </c>
    </row>
    <row r="1778" spans="1:3" ht="15">
      <c r="A1778" s="90" t="s">
        <v>334</v>
      </c>
      <c r="B1778" s="89" t="s">
        <v>2372</v>
      </c>
      <c r="C1778" s="96" t="s">
        <v>957</v>
      </c>
    </row>
    <row r="1779" spans="1:3" ht="15">
      <c r="A1779" s="90" t="s">
        <v>334</v>
      </c>
      <c r="B1779" s="89" t="s">
        <v>2176</v>
      </c>
      <c r="C1779" s="96" t="s">
        <v>957</v>
      </c>
    </row>
    <row r="1780" spans="1:3" ht="15">
      <c r="A1780" s="90" t="s">
        <v>334</v>
      </c>
      <c r="B1780" s="89" t="s">
        <v>2175</v>
      </c>
      <c r="C1780" s="96" t="s">
        <v>957</v>
      </c>
    </row>
    <row r="1781" spans="1:3" ht="15">
      <c r="A1781" s="90" t="s">
        <v>334</v>
      </c>
      <c r="B1781" s="89" t="s">
        <v>2157</v>
      </c>
      <c r="C1781" s="96" t="s">
        <v>957</v>
      </c>
    </row>
    <row r="1782" spans="1:3" ht="15">
      <c r="A1782" s="90" t="s">
        <v>334</v>
      </c>
      <c r="B1782" s="89" t="s">
        <v>2373</v>
      </c>
      <c r="C1782" s="96" t="s">
        <v>957</v>
      </c>
    </row>
    <row r="1783" spans="1:3" ht="15">
      <c r="A1783" s="90" t="s">
        <v>334</v>
      </c>
      <c r="B1783" s="89" t="s">
        <v>2178</v>
      </c>
      <c r="C1783" s="96" t="s">
        <v>957</v>
      </c>
    </row>
    <row r="1784" spans="1:3" ht="15">
      <c r="A1784" s="90" t="s">
        <v>334</v>
      </c>
      <c r="B1784" s="89" t="s">
        <v>2374</v>
      </c>
      <c r="C1784" s="96" t="s">
        <v>957</v>
      </c>
    </row>
    <row r="1785" spans="1:3" ht="15">
      <c r="A1785" s="90" t="s">
        <v>334</v>
      </c>
      <c r="B1785" s="89" t="s">
        <v>2375</v>
      </c>
      <c r="C1785" s="96" t="s">
        <v>957</v>
      </c>
    </row>
    <row r="1786" spans="1:3" ht="15">
      <c r="A1786" s="90" t="s">
        <v>334</v>
      </c>
      <c r="B1786" s="89" t="s">
        <v>2376</v>
      </c>
      <c r="C1786" s="96" t="s">
        <v>957</v>
      </c>
    </row>
    <row r="1787" spans="1:3" ht="15">
      <c r="A1787" s="90" t="s">
        <v>334</v>
      </c>
      <c r="B1787" s="89" t="s">
        <v>2377</v>
      </c>
      <c r="C1787" s="96" t="s">
        <v>957</v>
      </c>
    </row>
    <row r="1788" spans="1:3" ht="15">
      <c r="A1788" s="90" t="s">
        <v>323</v>
      </c>
      <c r="B1788" s="89" t="s">
        <v>2369</v>
      </c>
      <c r="C1788" s="96" t="s">
        <v>943</v>
      </c>
    </row>
    <row r="1789" spans="1:3" ht="15">
      <c r="A1789" s="90" t="s">
        <v>323</v>
      </c>
      <c r="B1789" s="89" t="s">
        <v>2370</v>
      </c>
      <c r="C1789" s="96" t="s">
        <v>943</v>
      </c>
    </row>
    <row r="1790" spans="1:3" ht="15">
      <c r="A1790" s="90" t="s">
        <v>323</v>
      </c>
      <c r="B1790" s="89" t="s">
        <v>2371</v>
      </c>
      <c r="C1790" s="96" t="s">
        <v>943</v>
      </c>
    </row>
    <row r="1791" spans="1:3" ht="15">
      <c r="A1791" s="90" t="s">
        <v>323</v>
      </c>
      <c r="B1791" s="89" t="s">
        <v>2372</v>
      </c>
      <c r="C1791" s="96" t="s">
        <v>943</v>
      </c>
    </row>
    <row r="1792" spans="1:3" ht="15">
      <c r="A1792" s="90" t="s">
        <v>323</v>
      </c>
      <c r="B1792" s="89" t="s">
        <v>2176</v>
      </c>
      <c r="C1792" s="96" t="s">
        <v>943</v>
      </c>
    </row>
    <row r="1793" spans="1:3" ht="15">
      <c r="A1793" s="90" t="s">
        <v>323</v>
      </c>
      <c r="B1793" s="89" t="s">
        <v>2175</v>
      </c>
      <c r="C1793" s="96" t="s">
        <v>943</v>
      </c>
    </row>
    <row r="1794" spans="1:3" ht="15">
      <c r="A1794" s="90" t="s">
        <v>323</v>
      </c>
      <c r="B1794" s="89" t="s">
        <v>2157</v>
      </c>
      <c r="C1794" s="96" t="s">
        <v>943</v>
      </c>
    </row>
    <row r="1795" spans="1:3" ht="15">
      <c r="A1795" s="90" t="s">
        <v>323</v>
      </c>
      <c r="B1795" s="89" t="s">
        <v>2373</v>
      </c>
      <c r="C1795" s="96" t="s">
        <v>943</v>
      </c>
    </row>
    <row r="1796" spans="1:3" ht="15">
      <c r="A1796" s="90" t="s">
        <v>323</v>
      </c>
      <c r="B1796" s="89" t="s">
        <v>2178</v>
      </c>
      <c r="C1796" s="96" t="s">
        <v>943</v>
      </c>
    </row>
    <row r="1797" spans="1:3" ht="15">
      <c r="A1797" s="90" t="s">
        <v>323</v>
      </c>
      <c r="B1797" s="89" t="s">
        <v>2374</v>
      </c>
      <c r="C1797" s="96" t="s">
        <v>943</v>
      </c>
    </row>
    <row r="1798" spans="1:3" ht="15">
      <c r="A1798" s="90" t="s">
        <v>323</v>
      </c>
      <c r="B1798" s="89" t="s">
        <v>2375</v>
      </c>
      <c r="C1798" s="96" t="s">
        <v>943</v>
      </c>
    </row>
    <row r="1799" spans="1:3" ht="15">
      <c r="A1799" s="90" t="s">
        <v>323</v>
      </c>
      <c r="B1799" s="89" t="s">
        <v>2376</v>
      </c>
      <c r="C1799" s="96" t="s">
        <v>943</v>
      </c>
    </row>
    <row r="1800" spans="1:3" ht="15">
      <c r="A1800" s="90" t="s">
        <v>323</v>
      </c>
      <c r="B1800" s="89" t="s">
        <v>2377</v>
      </c>
      <c r="C1800" s="96" t="s">
        <v>943</v>
      </c>
    </row>
    <row r="1801" spans="1:3" ht="15">
      <c r="A1801" s="90" t="s">
        <v>322</v>
      </c>
      <c r="B1801" s="89" t="s">
        <v>2369</v>
      </c>
      <c r="C1801" s="96" t="s">
        <v>942</v>
      </c>
    </row>
    <row r="1802" spans="1:3" ht="15">
      <c r="A1802" s="90" t="s">
        <v>322</v>
      </c>
      <c r="B1802" s="89" t="s">
        <v>2370</v>
      </c>
      <c r="C1802" s="96" t="s">
        <v>942</v>
      </c>
    </row>
    <row r="1803" spans="1:3" ht="15">
      <c r="A1803" s="90" t="s">
        <v>322</v>
      </c>
      <c r="B1803" s="89" t="s">
        <v>2112</v>
      </c>
      <c r="C1803" s="96" t="s">
        <v>942</v>
      </c>
    </row>
    <row r="1804" spans="1:3" ht="15">
      <c r="A1804" s="90" t="s">
        <v>322</v>
      </c>
      <c r="B1804" s="89" t="s">
        <v>2113</v>
      </c>
      <c r="C1804" s="96" t="s">
        <v>942</v>
      </c>
    </row>
    <row r="1805" spans="1:3" ht="15">
      <c r="A1805" s="90" t="s">
        <v>321</v>
      </c>
      <c r="B1805" s="89" t="s">
        <v>2369</v>
      </c>
      <c r="C1805" s="96" t="s">
        <v>941</v>
      </c>
    </row>
    <row r="1806" spans="1:3" ht="15">
      <c r="A1806" s="90" t="s">
        <v>321</v>
      </c>
      <c r="B1806" s="89" t="s">
        <v>2370</v>
      </c>
      <c r="C1806" s="96" t="s">
        <v>941</v>
      </c>
    </row>
    <row r="1807" spans="1:3" ht="15">
      <c r="A1807" s="90" t="s">
        <v>321</v>
      </c>
      <c r="B1807" s="89" t="s">
        <v>2112</v>
      </c>
      <c r="C1807" s="96" t="s">
        <v>941</v>
      </c>
    </row>
    <row r="1808" spans="1:3" ht="15">
      <c r="A1808" s="90" t="s">
        <v>321</v>
      </c>
      <c r="B1808" s="89" t="s">
        <v>2113</v>
      </c>
      <c r="C1808" s="96" t="s">
        <v>941</v>
      </c>
    </row>
    <row r="1809" spans="1:3" ht="15">
      <c r="A1809" s="90" t="s">
        <v>320</v>
      </c>
      <c r="B1809" s="89" t="s">
        <v>2369</v>
      </c>
      <c r="C1809" s="96" t="s">
        <v>940</v>
      </c>
    </row>
    <row r="1810" spans="1:3" ht="15">
      <c r="A1810" s="90" t="s">
        <v>320</v>
      </c>
      <c r="B1810" s="89" t="s">
        <v>2370</v>
      </c>
      <c r="C1810" s="96" t="s">
        <v>940</v>
      </c>
    </row>
    <row r="1811" spans="1:3" ht="15">
      <c r="A1811" s="90" t="s">
        <v>320</v>
      </c>
      <c r="B1811" s="89" t="s">
        <v>2150</v>
      </c>
      <c r="C1811" s="96" t="s">
        <v>940</v>
      </c>
    </row>
    <row r="1812" spans="1:3" ht="15">
      <c r="A1812" s="90" t="s">
        <v>320</v>
      </c>
      <c r="B1812" s="89" t="s">
        <v>2151</v>
      </c>
      <c r="C1812" s="96" t="s">
        <v>940</v>
      </c>
    </row>
    <row r="1813" spans="1:3" ht="15">
      <c r="A1813" s="90" t="s">
        <v>320</v>
      </c>
      <c r="B1813" s="89" t="s">
        <v>2152</v>
      </c>
      <c r="C1813" s="96" t="s">
        <v>940</v>
      </c>
    </row>
    <row r="1814" spans="1:3" ht="15">
      <c r="A1814" s="90" t="s">
        <v>320</v>
      </c>
      <c r="B1814" s="89" t="s">
        <v>2391</v>
      </c>
      <c r="C1814" s="96" t="s">
        <v>940</v>
      </c>
    </row>
    <row r="1815" spans="1:3" ht="15">
      <c r="A1815" s="90" t="s">
        <v>320</v>
      </c>
      <c r="B1815" s="89" t="s">
        <v>2392</v>
      </c>
      <c r="C1815" s="96" t="s">
        <v>940</v>
      </c>
    </row>
    <row r="1816" spans="1:3" ht="15">
      <c r="A1816" s="90" t="s">
        <v>320</v>
      </c>
      <c r="B1816" s="89" t="s">
        <v>2393</v>
      </c>
      <c r="C1816" s="96" t="s">
        <v>940</v>
      </c>
    </row>
    <row r="1817" spans="1:3" ht="15">
      <c r="A1817" s="90" t="s">
        <v>320</v>
      </c>
      <c r="B1817" s="89" t="s">
        <v>2149</v>
      </c>
      <c r="C1817" s="96" t="s">
        <v>940</v>
      </c>
    </row>
    <row r="1818" spans="1:3" ht="15">
      <c r="A1818" s="90" t="s">
        <v>320</v>
      </c>
      <c r="B1818" s="89" t="s">
        <v>2153</v>
      </c>
      <c r="C1818" s="96" t="s">
        <v>940</v>
      </c>
    </row>
    <row r="1819" spans="1:3" ht="15">
      <c r="A1819" s="90" t="s">
        <v>320</v>
      </c>
      <c r="B1819" s="89" t="s">
        <v>2361</v>
      </c>
      <c r="C1819" s="96" t="s">
        <v>940</v>
      </c>
    </row>
    <row r="1820" spans="1:3" ht="15">
      <c r="A1820" s="90" t="s">
        <v>320</v>
      </c>
      <c r="B1820" s="89" t="s">
        <v>2394</v>
      </c>
      <c r="C1820" s="96" t="s">
        <v>940</v>
      </c>
    </row>
    <row r="1821" spans="1:3" ht="15">
      <c r="A1821" s="90" t="s">
        <v>320</v>
      </c>
      <c r="B1821" s="89" t="s">
        <v>2148</v>
      </c>
      <c r="C1821" s="96" t="s">
        <v>940</v>
      </c>
    </row>
    <row r="1822" spans="1:3" ht="15">
      <c r="A1822" s="90" t="s">
        <v>320</v>
      </c>
      <c r="B1822" s="89" t="s">
        <v>2395</v>
      </c>
      <c r="C1822" s="96" t="s">
        <v>940</v>
      </c>
    </row>
    <row r="1823" spans="1:3" ht="15">
      <c r="A1823" s="90" t="s">
        <v>320</v>
      </c>
      <c r="B1823" s="89" t="s">
        <v>2154</v>
      </c>
      <c r="C1823" s="96" t="s">
        <v>940</v>
      </c>
    </row>
    <row r="1824" spans="1:3" ht="15">
      <c r="A1824" s="90" t="s">
        <v>320</v>
      </c>
      <c r="B1824" s="89" t="s">
        <v>2155</v>
      </c>
      <c r="C1824" s="96" t="s">
        <v>940</v>
      </c>
    </row>
    <row r="1825" spans="1:3" ht="15">
      <c r="A1825" s="90" t="s">
        <v>319</v>
      </c>
      <c r="B1825" s="89" t="s">
        <v>2369</v>
      </c>
      <c r="C1825" s="96" t="s">
        <v>939</v>
      </c>
    </row>
    <row r="1826" spans="1:3" ht="15">
      <c r="A1826" s="90" t="s">
        <v>319</v>
      </c>
      <c r="B1826" s="89" t="s">
        <v>2370</v>
      </c>
      <c r="C1826" s="96" t="s">
        <v>939</v>
      </c>
    </row>
    <row r="1827" spans="1:3" ht="15">
      <c r="A1827" s="90" t="s">
        <v>319</v>
      </c>
      <c r="B1827" s="89" t="s">
        <v>2112</v>
      </c>
      <c r="C1827" s="96" t="s">
        <v>939</v>
      </c>
    </row>
    <row r="1828" spans="1:3" ht="15">
      <c r="A1828" s="90" t="s">
        <v>319</v>
      </c>
      <c r="B1828" s="89" t="s">
        <v>2113</v>
      </c>
      <c r="C1828" s="96" t="s">
        <v>939</v>
      </c>
    </row>
    <row r="1829" spans="1:3" ht="15">
      <c r="A1829" s="90" t="s">
        <v>318</v>
      </c>
      <c r="B1829" s="89" t="s">
        <v>2369</v>
      </c>
      <c r="C1829" s="96" t="s">
        <v>938</v>
      </c>
    </row>
    <row r="1830" spans="1:3" ht="15">
      <c r="A1830" s="90" t="s">
        <v>318</v>
      </c>
      <c r="B1830" s="89" t="s">
        <v>2370</v>
      </c>
      <c r="C1830" s="96" t="s">
        <v>938</v>
      </c>
    </row>
    <row r="1831" spans="1:3" ht="15">
      <c r="A1831" s="90" t="s">
        <v>318</v>
      </c>
      <c r="B1831" s="89" t="s">
        <v>2150</v>
      </c>
      <c r="C1831" s="96" t="s">
        <v>938</v>
      </c>
    </row>
    <row r="1832" spans="1:3" ht="15">
      <c r="A1832" s="90" t="s">
        <v>318</v>
      </c>
      <c r="B1832" s="89" t="s">
        <v>2151</v>
      </c>
      <c r="C1832" s="96" t="s">
        <v>938</v>
      </c>
    </row>
    <row r="1833" spans="1:3" ht="15">
      <c r="A1833" s="90" t="s">
        <v>318</v>
      </c>
      <c r="B1833" s="89" t="s">
        <v>2152</v>
      </c>
      <c r="C1833" s="96" t="s">
        <v>938</v>
      </c>
    </row>
    <row r="1834" spans="1:3" ht="15">
      <c r="A1834" s="90" t="s">
        <v>318</v>
      </c>
      <c r="B1834" s="89" t="s">
        <v>2391</v>
      </c>
      <c r="C1834" s="96" t="s">
        <v>938</v>
      </c>
    </row>
    <row r="1835" spans="1:3" ht="15">
      <c r="A1835" s="90" t="s">
        <v>318</v>
      </c>
      <c r="B1835" s="89" t="s">
        <v>2392</v>
      </c>
      <c r="C1835" s="96" t="s">
        <v>938</v>
      </c>
    </row>
    <row r="1836" spans="1:3" ht="15">
      <c r="A1836" s="90" t="s">
        <v>318</v>
      </c>
      <c r="B1836" s="89" t="s">
        <v>2393</v>
      </c>
      <c r="C1836" s="96" t="s">
        <v>938</v>
      </c>
    </row>
    <row r="1837" spans="1:3" ht="15">
      <c r="A1837" s="90" t="s">
        <v>318</v>
      </c>
      <c r="B1837" s="89" t="s">
        <v>2149</v>
      </c>
      <c r="C1837" s="96" t="s">
        <v>938</v>
      </c>
    </row>
    <row r="1838" spans="1:3" ht="15">
      <c r="A1838" s="90" t="s">
        <v>318</v>
      </c>
      <c r="B1838" s="89" t="s">
        <v>2153</v>
      </c>
      <c r="C1838" s="96" t="s">
        <v>938</v>
      </c>
    </row>
    <row r="1839" spans="1:3" ht="15">
      <c r="A1839" s="90" t="s">
        <v>318</v>
      </c>
      <c r="B1839" s="89" t="s">
        <v>2361</v>
      </c>
      <c r="C1839" s="96" t="s">
        <v>938</v>
      </c>
    </row>
    <row r="1840" spans="1:3" ht="15">
      <c r="A1840" s="90" t="s">
        <v>318</v>
      </c>
      <c r="B1840" s="89" t="s">
        <v>2394</v>
      </c>
      <c r="C1840" s="96" t="s">
        <v>938</v>
      </c>
    </row>
    <row r="1841" spans="1:3" ht="15">
      <c r="A1841" s="90" t="s">
        <v>318</v>
      </c>
      <c r="B1841" s="89" t="s">
        <v>2148</v>
      </c>
      <c r="C1841" s="96" t="s">
        <v>938</v>
      </c>
    </row>
    <row r="1842" spans="1:3" ht="15">
      <c r="A1842" s="90" t="s">
        <v>318</v>
      </c>
      <c r="B1842" s="89" t="s">
        <v>2395</v>
      </c>
      <c r="C1842" s="96" t="s">
        <v>938</v>
      </c>
    </row>
    <row r="1843" spans="1:3" ht="15">
      <c r="A1843" s="90" t="s">
        <v>318</v>
      </c>
      <c r="B1843" s="89" t="s">
        <v>2154</v>
      </c>
      <c r="C1843" s="96" t="s">
        <v>938</v>
      </c>
    </row>
    <row r="1844" spans="1:3" ht="15">
      <c r="A1844" s="90" t="s">
        <v>318</v>
      </c>
      <c r="B1844" s="89" t="s">
        <v>2155</v>
      </c>
      <c r="C1844" s="96" t="s">
        <v>938</v>
      </c>
    </row>
    <row r="1845" spans="1:3" ht="15">
      <c r="A1845" s="90" t="s">
        <v>317</v>
      </c>
      <c r="B1845" s="89" t="s">
        <v>2369</v>
      </c>
      <c r="C1845" s="96" t="s">
        <v>937</v>
      </c>
    </row>
    <row r="1846" spans="1:3" ht="15">
      <c r="A1846" s="90" t="s">
        <v>317</v>
      </c>
      <c r="B1846" s="89" t="s">
        <v>2370</v>
      </c>
      <c r="C1846" s="96" t="s">
        <v>937</v>
      </c>
    </row>
    <row r="1847" spans="1:3" ht="15">
      <c r="A1847" s="90" t="s">
        <v>317</v>
      </c>
      <c r="B1847" s="89" t="s">
        <v>2112</v>
      </c>
      <c r="C1847" s="96" t="s">
        <v>937</v>
      </c>
    </row>
    <row r="1848" spans="1:3" ht="15">
      <c r="A1848" s="90" t="s">
        <v>317</v>
      </c>
      <c r="B1848" s="89" t="s">
        <v>2113</v>
      </c>
      <c r="C1848" s="96" t="s">
        <v>937</v>
      </c>
    </row>
    <row r="1849" spans="1:3" ht="15">
      <c r="A1849" s="90" t="s">
        <v>316</v>
      </c>
      <c r="B1849" s="89" t="s">
        <v>2669</v>
      </c>
      <c r="C1849" s="96" t="s">
        <v>936</v>
      </c>
    </row>
    <row r="1850" spans="1:3" ht="15">
      <c r="A1850" s="90" t="s">
        <v>316</v>
      </c>
      <c r="B1850" s="89" t="s">
        <v>2670</v>
      </c>
      <c r="C1850" s="96" t="s">
        <v>936</v>
      </c>
    </row>
    <row r="1851" spans="1:3" ht="15">
      <c r="A1851" s="90" t="s">
        <v>316</v>
      </c>
      <c r="B1851" s="89" t="s">
        <v>416</v>
      </c>
      <c r="C1851" s="96" t="s">
        <v>936</v>
      </c>
    </row>
    <row r="1852" spans="1:3" ht="15">
      <c r="A1852" s="90" t="s">
        <v>316</v>
      </c>
      <c r="B1852" s="89" t="s">
        <v>2671</v>
      </c>
      <c r="C1852" s="96" t="s">
        <v>936</v>
      </c>
    </row>
    <row r="1853" spans="1:3" ht="15">
      <c r="A1853" s="90" t="s">
        <v>316</v>
      </c>
      <c r="B1853" s="89" t="s">
        <v>2672</v>
      </c>
      <c r="C1853" s="96" t="s">
        <v>936</v>
      </c>
    </row>
    <row r="1854" spans="1:3" ht="15">
      <c r="A1854" s="90" t="s">
        <v>316</v>
      </c>
      <c r="B1854" s="89" t="s">
        <v>2673</v>
      </c>
      <c r="C1854" s="96" t="s">
        <v>936</v>
      </c>
    </row>
    <row r="1855" spans="1:3" ht="15">
      <c r="A1855" s="90" t="s">
        <v>316</v>
      </c>
      <c r="B1855" s="89" t="s">
        <v>2674</v>
      </c>
      <c r="C1855" s="96" t="s">
        <v>936</v>
      </c>
    </row>
    <row r="1856" spans="1:3" ht="15">
      <c r="A1856" s="90" t="s">
        <v>316</v>
      </c>
      <c r="B1856" s="89" t="s">
        <v>2675</v>
      </c>
      <c r="C1856" s="96" t="s">
        <v>936</v>
      </c>
    </row>
    <row r="1857" spans="1:3" ht="15">
      <c r="A1857" s="90" t="s">
        <v>316</v>
      </c>
      <c r="B1857" s="89" t="s">
        <v>2676</v>
      </c>
      <c r="C1857" s="96" t="s">
        <v>936</v>
      </c>
    </row>
    <row r="1858" spans="1:3" ht="15">
      <c r="A1858" s="90" t="s">
        <v>315</v>
      </c>
      <c r="B1858" s="89" t="s">
        <v>2670</v>
      </c>
      <c r="C1858" s="96" t="s">
        <v>935</v>
      </c>
    </row>
    <row r="1859" spans="1:3" ht="15">
      <c r="A1859" s="90" t="s">
        <v>315</v>
      </c>
      <c r="B1859" s="89" t="s">
        <v>2677</v>
      </c>
      <c r="C1859" s="96" t="s">
        <v>935</v>
      </c>
    </row>
    <row r="1860" spans="1:3" ht="15">
      <c r="A1860" s="90" t="s">
        <v>315</v>
      </c>
      <c r="B1860" s="89" t="s">
        <v>416</v>
      </c>
      <c r="C1860" s="96" t="s">
        <v>935</v>
      </c>
    </row>
    <row r="1861" spans="1:3" ht="15">
      <c r="A1861" s="90" t="s">
        <v>315</v>
      </c>
      <c r="B1861" s="89" t="s">
        <v>2678</v>
      </c>
      <c r="C1861" s="96" t="s">
        <v>935</v>
      </c>
    </row>
    <row r="1862" spans="1:3" ht="15">
      <c r="A1862" s="90" t="s">
        <v>315</v>
      </c>
      <c r="B1862" s="89" t="s">
        <v>2679</v>
      </c>
      <c r="C1862" s="96" t="s">
        <v>935</v>
      </c>
    </row>
    <row r="1863" spans="1:3" ht="15">
      <c r="A1863" s="90" t="s">
        <v>315</v>
      </c>
      <c r="B1863" s="89" t="s">
        <v>2381</v>
      </c>
      <c r="C1863" s="96" t="s">
        <v>935</v>
      </c>
    </row>
    <row r="1864" spans="1:3" ht="15">
      <c r="A1864" s="90" t="s">
        <v>315</v>
      </c>
      <c r="B1864" s="89" t="s">
        <v>2680</v>
      </c>
      <c r="C1864" s="96" t="s">
        <v>935</v>
      </c>
    </row>
    <row r="1865" spans="1:3" ht="15">
      <c r="A1865" s="90" t="s">
        <v>314</v>
      </c>
      <c r="B1865" s="89" t="s">
        <v>2369</v>
      </c>
      <c r="C1865" s="96" t="s">
        <v>934</v>
      </c>
    </row>
    <row r="1866" spans="1:3" ht="15">
      <c r="A1866" s="90" t="s">
        <v>314</v>
      </c>
      <c r="B1866" s="89" t="s">
        <v>2370</v>
      </c>
      <c r="C1866" s="96" t="s">
        <v>934</v>
      </c>
    </row>
    <row r="1867" spans="1:3" ht="15">
      <c r="A1867" s="90" t="s">
        <v>314</v>
      </c>
      <c r="B1867" s="89" t="s">
        <v>2150</v>
      </c>
      <c r="C1867" s="96" t="s">
        <v>934</v>
      </c>
    </row>
    <row r="1868" spans="1:3" ht="15">
      <c r="A1868" s="90" t="s">
        <v>314</v>
      </c>
      <c r="B1868" s="89" t="s">
        <v>2151</v>
      </c>
      <c r="C1868" s="96" t="s">
        <v>934</v>
      </c>
    </row>
    <row r="1869" spans="1:3" ht="15">
      <c r="A1869" s="90" t="s">
        <v>314</v>
      </c>
      <c r="B1869" s="89" t="s">
        <v>2152</v>
      </c>
      <c r="C1869" s="96" t="s">
        <v>934</v>
      </c>
    </row>
    <row r="1870" spans="1:3" ht="15">
      <c r="A1870" s="90" t="s">
        <v>314</v>
      </c>
      <c r="B1870" s="89" t="s">
        <v>2391</v>
      </c>
      <c r="C1870" s="96" t="s">
        <v>934</v>
      </c>
    </row>
    <row r="1871" spans="1:3" ht="15">
      <c r="A1871" s="90" t="s">
        <v>314</v>
      </c>
      <c r="B1871" s="89" t="s">
        <v>2392</v>
      </c>
      <c r="C1871" s="96" t="s">
        <v>934</v>
      </c>
    </row>
    <row r="1872" spans="1:3" ht="15">
      <c r="A1872" s="90" t="s">
        <v>314</v>
      </c>
      <c r="B1872" s="89" t="s">
        <v>2393</v>
      </c>
      <c r="C1872" s="96" t="s">
        <v>934</v>
      </c>
    </row>
    <row r="1873" spans="1:3" ht="15">
      <c r="A1873" s="90" t="s">
        <v>314</v>
      </c>
      <c r="B1873" s="89" t="s">
        <v>2149</v>
      </c>
      <c r="C1873" s="96" t="s">
        <v>934</v>
      </c>
    </row>
    <row r="1874" spans="1:3" ht="15">
      <c r="A1874" s="90" t="s">
        <v>314</v>
      </c>
      <c r="B1874" s="89" t="s">
        <v>2153</v>
      </c>
      <c r="C1874" s="96" t="s">
        <v>934</v>
      </c>
    </row>
    <row r="1875" spans="1:3" ht="15">
      <c r="A1875" s="90" t="s">
        <v>314</v>
      </c>
      <c r="B1875" s="89" t="s">
        <v>2361</v>
      </c>
      <c r="C1875" s="96" t="s">
        <v>934</v>
      </c>
    </row>
    <row r="1876" spans="1:3" ht="15">
      <c r="A1876" s="90" t="s">
        <v>314</v>
      </c>
      <c r="B1876" s="89" t="s">
        <v>2394</v>
      </c>
      <c r="C1876" s="96" t="s">
        <v>934</v>
      </c>
    </row>
    <row r="1877" spans="1:3" ht="15">
      <c r="A1877" s="90" t="s">
        <v>314</v>
      </c>
      <c r="B1877" s="89" t="s">
        <v>2148</v>
      </c>
      <c r="C1877" s="96" t="s">
        <v>934</v>
      </c>
    </row>
    <row r="1878" spans="1:3" ht="15">
      <c r="A1878" s="90" t="s">
        <v>314</v>
      </c>
      <c r="B1878" s="89" t="s">
        <v>2395</v>
      </c>
      <c r="C1878" s="96" t="s">
        <v>934</v>
      </c>
    </row>
    <row r="1879" spans="1:3" ht="15">
      <c r="A1879" s="90" t="s">
        <v>314</v>
      </c>
      <c r="B1879" s="89" t="s">
        <v>2154</v>
      </c>
      <c r="C1879" s="96" t="s">
        <v>934</v>
      </c>
    </row>
    <row r="1880" spans="1:3" ht="15">
      <c r="A1880" s="90" t="s">
        <v>314</v>
      </c>
      <c r="B1880" s="89" t="s">
        <v>2155</v>
      </c>
      <c r="C1880" s="96" t="s">
        <v>934</v>
      </c>
    </row>
    <row r="1881" spans="1:3" ht="15">
      <c r="A1881" s="90" t="s">
        <v>313</v>
      </c>
      <c r="B1881" s="89" t="s">
        <v>2369</v>
      </c>
      <c r="C1881" s="96" t="s">
        <v>933</v>
      </c>
    </row>
    <row r="1882" spans="1:3" ht="15">
      <c r="A1882" s="90" t="s">
        <v>313</v>
      </c>
      <c r="B1882" s="89" t="s">
        <v>2370</v>
      </c>
      <c r="C1882" s="96" t="s">
        <v>933</v>
      </c>
    </row>
    <row r="1883" spans="1:3" ht="15">
      <c r="A1883" s="90" t="s">
        <v>313</v>
      </c>
      <c r="B1883" s="89" t="s">
        <v>2112</v>
      </c>
      <c r="C1883" s="96" t="s">
        <v>933</v>
      </c>
    </row>
    <row r="1884" spans="1:3" ht="15">
      <c r="A1884" s="90" t="s">
        <v>313</v>
      </c>
      <c r="B1884" s="89" t="s">
        <v>2113</v>
      </c>
      <c r="C1884" s="96" t="s">
        <v>933</v>
      </c>
    </row>
    <row r="1885" spans="1:3" ht="15">
      <c r="A1885" s="90" t="s">
        <v>313</v>
      </c>
      <c r="B1885" s="89" t="s">
        <v>2369</v>
      </c>
      <c r="C1885" s="96" t="s">
        <v>932</v>
      </c>
    </row>
    <row r="1886" spans="1:3" ht="15">
      <c r="A1886" s="90" t="s">
        <v>313</v>
      </c>
      <c r="B1886" s="89" t="s">
        <v>2370</v>
      </c>
      <c r="C1886" s="96" t="s">
        <v>932</v>
      </c>
    </row>
    <row r="1887" spans="1:3" ht="15">
      <c r="A1887" s="90" t="s">
        <v>313</v>
      </c>
      <c r="B1887" s="89" t="s">
        <v>2150</v>
      </c>
      <c r="C1887" s="96" t="s">
        <v>932</v>
      </c>
    </row>
    <row r="1888" spans="1:3" ht="15">
      <c r="A1888" s="90" t="s">
        <v>313</v>
      </c>
      <c r="B1888" s="89" t="s">
        <v>2151</v>
      </c>
      <c r="C1888" s="96" t="s">
        <v>932</v>
      </c>
    </row>
    <row r="1889" spans="1:3" ht="15">
      <c r="A1889" s="90" t="s">
        <v>313</v>
      </c>
      <c r="B1889" s="89" t="s">
        <v>2152</v>
      </c>
      <c r="C1889" s="96" t="s">
        <v>932</v>
      </c>
    </row>
    <row r="1890" spans="1:3" ht="15">
      <c r="A1890" s="90" t="s">
        <v>313</v>
      </c>
      <c r="B1890" s="89" t="s">
        <v>2391</v>
      </c>
      <c r="C1890" s="96" t="s">
        <v>932</v>
      </c>
    </row>
    <row r="1891" spans="1:3" ht="15">
      <c r="A1891" s="90" t="s">
        <v>313</v>
      </c>
      <c r="B1891" s="89" t="s">
        <v>2392</v>
      </c>
      <c r="C1891" s="96" t="s">
        <v>932</v>
      </c>
    </row>
    <row r="1892" spans="1:3" ht="15">
      <c r="A1892" s="90" t="s">
        <v>313</v>
      </c>
      <c r="B1892" s="89" t="s">
        <v>2393</v>
      </c>
      <c r="C1892" s="96" t="s">
        <v>932</v>
      </c>
    </row>
    <row r="1893" spans="1:3" ht="15">
      <c r="A1893" s="90" t="s">
        <v>313</v>
      </c>
      <c r="B1893" s="89" t="s">
        <v>2149</v>
      </c>
      <c r="C1893" s="96" t="s">
        <v>932</v>
      </c>
    </row>
    <row r="1894" spans="1:3" ht="15">
      <c r="A1894" s="90" t="s">
        <v>313</v>
      </c>
      <c r="B1894" s="89" t="s">
        <v>2153</v>
      </c>
      <c r="C1894" s="96" t="s">
        <v>932</v>
      </c>
    </row>
    <row r="1895" spans="1:3" ht="15">
      <c r="A1895" s="90" t="s">
        <v>313</v>
      </c>
      <c r="B1895" s="89" t="s">
        <v>2361</v>
      </c>
      <c r="C1895" s="96" t="s">
        <v>932</v>
      </c>
    </row>
    <row r="1896" spans="1:3" ht="15">
      <c r="A1896" s="90" t="s">
        <v>313</v>
      </c>
      <c r="B1896" s="89" t="s">
        <v>2394</v>
      </c>
      <c r="C1896" s="96" t="s">
        <v>932</v>
      </c>
    </row>
    <row r="1897" spans="1:3" ht="15">
      <c r="A1897" s="90" t="s">
        <v>313</v>
      </c>
      <c r="B1897" s="89" t="s">
        <v>2148</v>
      </c>
      <c r="C1897" s="96" t="s">
        <v>932</v>
      </c>
    </row>
    <row r="1898" spans="1:3" ht="15">
      <c r="A1898" s="90" t="s">
        <v>313</v>
      </c>
      <c r="B1898" s="89" t="s">
        <v>2395</v>
      </c>
      <c r="C1898" s="96" t="s">
        <v>932</v>
      </c>
    </row>
    <row r="1899" spans="1:3" ht="15">
      <c r="A1899" s="90" t="s">
        <v>313</v>
      </c>
      <c r="B1899" s="89" t="s">
        <v>2154</v>
      </c>
      <c r="C1899" s="96" t="s">
        <v>932</v>
      </c>
    </row>
    <row r="1900" spans="1:3" ht="15">
      <c r="A1900" s="90" t="s">
        <v>313</v>
      </c>
      <c r="B1900" s="89" t="s">
        <v>2155</v>
      </c>
      <c r="C1900" s="96" t="s">
        <v>932</v>
      </c>
    </row>
    <row r="1901" spans="1:3" ht="15">
      <c r="A1901" s="90" t="s">
        <v>312</v>
      </c>
      <c r="B1901" s="89" t="s">
        <v>2369</v>
      </c>
      <c r="C1901" s="96" t="s">
        <v>931</v>
      </c>
    </row>
    <row r="1902" spans="1:3" ht="15">
      <c r="A1902" s="90" t="s">
        <v>312</v>
      </c>
      <c r="B1902" s="89" t="s">
        <v>2370</v>
      </c>
      <c r="C1902" s="96" t="s">
        <v>931</v>
      </c>
    </row>
    <row r="1903" spans="1:3" ht="15">
      <c r="A1903" s="90" t="s">
        <v>312</v>
      </c>
      <c r="B1903" s="89" t="s">
        <v>2112</v>
      </c>
      <c r="C1903" s="96" t="s">
        <v>931</v>
      </c>
    </row>
    <row r="1904" spans="1:3" ht="15">
      <c r="A1904" s="90" t="s">
        <v>312</v>
      </c>
      <c r="B1904" s="89" t="s">
        <v>2113</v>
      </c>
      <c r="C1904" s="96" t="s">
        <v>931</v>
      </c>
    </row>
    <row r="1905" spans="1:3" ht="15">
      <c r="A1905" s="90" t="s">
        <v>311</v>
      </c>
      <c r="B1905" s="89" t="s">
        <v>2369</v>
      </c>
      <c r="C1905" s="96" t="s">
        <v>930</v>
      </c>
    </row>
    <row r="1906" spans="1:3" ht="15">
      <c r="A1906" s="90" t="s">
        <v>311</v>
      </c>
      <c r="B1906" s="89" t="s">
        <v>2370</v>
      </c>
      <c r="C1906" s="96" t="s">
        <v>930</v>
      </c>
    </row>
    <row r="1907" spans="1:3" ht="15">
      <c r="A1907" s="90" t="s">
        <v>311</v>
      </c>
      <c r="B1907" s="89" t="s">
        <v>2112</v>
      </c>
      <c r="C1907" s="96" t="s">
        <v>930</v>
      </c>
    </row>
    <row r="1908" spans="1:3" ht="15">
      <c r="A1908" s="90" t="s">
        <v>311</v>
      </c>
      <c r="B1908" s="89" t="s">
        <v>2113</v>
      </c>
      <c r="C1908" s="96" t="s">
        <v>930</v>
      </c>
    </row>
    <row r="1909" spans="1:3" ht="15">
      <c r="A1909" s="90" t="s">
        <v>310</v>
      </c>
      <c r="B1909" s="89" t="s">
        <v>2369</v>
      </c>
      <c r="C1909" s="96" t="s">
        <v>929</v>
      </c>
    </row>
    <row r="1910" spans="1:3" ht="15">
      <c r="A1910" s="90" t="s">
        <v>310</v>
      </c>
      <c r="B1910" s="89" t="s">
        <v>2370</v>
      </c>
      <c r="C1910" s="96" t="s">
        <v>929</v>
      </c>
    </row>
    <row r="1911" spans="1:3" ht="15">
      <c r="A1911" s="90" t="s">
        <v>310</v>
      </c>
      <c r="B1911" s="89" t="s">
        <v>2112</v>
      </c>
      <c r="C1911" s="96" t="s">
        <v>929</v>
      </c>
    </row>
    <row r="1912" spans="1:3" ht="15">
      <c r="A1912" s="90" t="s">
        <v>310</v>
      </c>
      <c r="B1912" s="89" t="s">
        <v>2113</v>
      </c>
      <c r="C1912" s="96" t="s">
        <v>929</v>
      </c>
    </row>
    <row r="1913" spans="1:3" ht="15">
      <c r="A1913" s="90" t="s">
        <v>309</v>
      </c>
      <c r="B1913" s="89" t="s">
        <v>2369</v>
      </c>
      <c r="C1913" s="96" t="s">
        <v>928</v>
      </c>
    </row>
    <row r="1914" spans="1:3" ht="15">
      <c r="A1914" s="90" t="s">
        <v>309</v>
      </c>
      <c r="B1914" s="89" t="s">
        <v>2370</v>
      </c>
      <c r="C1914" s="96" t="s">
        <v>928</v>
      </c>
    </row>
    <row r="1915" spans="1:3" ht="15">
      <c r="A1915" s="90" t="s">
        <v>309</v>
      </c>
      <c r="B1915" s="89" t="s">
        <v>2150</v>
      </c>
      <c r="C1915" s="96" t="s">
        <v>928</v>
      </c>
    </row>
    <row r="1916" spans="1:3" ht="15">
      <c r="A1916" s="90" t="s">
        <v>309</v>
      </c>
      <c r="B1916" s="89" t="s">
        <v>2151</v>
      </c>
      <c r="C1916" s="96" t="s">
        <v>928</v>
      </c>
    </row>
    <row r="1917" spans="1:3" ht="15">
      <c r="A1917" s="90" t="s">
        <v>309</v>
      </c>
      <c r="B1917" s="89" t="s">
        <v>2152</v>
      </c>
      <c r="C1917" s="96" t="s">
        <v>928</v>
      </c>
    </row>
    <row r="1918" spans="1:3" ht="15">
      <c r="A1918" s="90" t="s">
        <v>309</v>
      </c>
      <c r="B1918" s="89" t="s">
        <v>2391</v>
      </c>
      <c r="C1918" s="96" t="s">
        <v>928</v>
      </c>
    </row>
    <row r="1919" spans="1:3" ht="15">
      <c r="A1919" s="90" t="s">
        <v>309</v>
      </c>
      <c r="B1919" s="89" t="s">
        <v>2392</v>
      </c>
      <c r="C1919" s="96" t="s">
        <v>928</v>
      </c>
    </row>
    <row r="1920" spans="1:3" ht="15">
      <c r="A1920" s="90" t="s">
        <v>309</v>
      </c>
      <c r="B1920" s="89" t="s">
        <v>2393</v>
      </c>
      <c r="C1920" s="96" t="s">
        <v>928</v>
      </c>
    </row>
    <row r="1921" spans="1:3" ht="15">
      <c r="A1921" s="90" t="s">
        <v>309</v>
      </c>
      <c r="B1921" s="89" t="s">
        <v>2149</v>
      </c>
      <c r="C1921" s="96" t="s">
        <v>928</v>
      </c>
    </row>
    <row r="1922" spans="1:3" ht="15">
      <c r="A1922" s="90" t="s">
        <v>309</v>
      </c>
      <c r="B1922" s="89" t="s">
        <v>2153</v>
      </c>
      <c r="C1922" s="96" t="s">
        <v>928</v>
      </c>
    </row>
    <row r="1923" spans="1:3" ht="15">
      <c r="A1923" s="90" t="s">
        <v>309</v>
      </c>
      <c r="B1923" s="89" t="s">
        <v>2361</v>
      </c>
      <c r="C1923" s="96" t="s">
        <v>928</v>
      </c>
    </row>
    <row r="1924" spans="1:3" ht="15">
      <c r="A1924" s="90" t="s">
        <v>309</v>
      </c>
      <c r="B1924" s="89" t="s">
        <v>2394</v>
      </c>
      <c r="C1924" s="96" t="s">
        <v>928</v>
      </c>
    </row>
    <row r="1925" spans="1:3" ht="15">
      <c r="A1925" s="90" t="s">
        <v>309</v>
      </c>
      <c r="B1925" s="89" t="s">
        <v>2148</v>
      </c>
      <c r="C1925" s="96" t="s">
        <v>928</v>
      </c>
    </row>
    <row r="1926" spans="1:3" ht="15">
      <c r="A1926" s="90" t="s">
        <v>309</v>
      </c>
      <c r="B1926" s="89" t="s">
        <v>2395</v>
      </c>
      <c r="C1926" s="96" t="s">
        <v>928</v>
      </c>
    </row>
    <row r="1927" spans="1:3" ht="15">
      <c r="A1927" s="90" t="s">
        <v>309</v>
      </c>
      <c r="B1927" s="89" t="s">
        <v>2154</v>
      </c>
      <c r="C1927" s="96" t="s">
        <v>928</v>
      </c>
    </row>
    <row r="1928" spans="1:3" ht="15">
      <c r="A1928" s="90" t="s">
        <v>309</v>
      </c>
      <c r="B1928" s="89" t="s">
        <v>2155</v>
      </c>
      <c r="C1928" s="96" t="s">
        <v>928</v>
      </c>
    </row>
    <row r="1929" spans="1:3" ht="15">
      <c r="A1929" s="90" t="s">
        <v>309</v>
      </c>
      <c r="B1929" s="89" t="s">
        <v>2369</v>
      </c>
      <c r="C1929" s="96" t="s">
        <v>927</v>
      </c>
    </row>
    <row r="1930" spans="1:3" ht="15">
      <c r="A1930" s="90" t="s">
        <v>309</v>
      </c>
      <c r="B1930" s="89" t="s">
        <v>2370</v>
      </c>
      <c r="C1930" s="96" t="s">
        <v>927</v>
      </c>
    </row>
    <row r="1931" spans="1:3" ht="15">
      <c r="A1931" s="90" t="s">
        <v>309</v>
      </c>
      <c r="B1931" s="89" t="s">
        <v>2112</v>
      </c>
      <c r="C1931" s="96" t="s">
        <v>927</v>
      </c>
    </row>
    <row r="1932" spans="1:3" ht="15">
      <c r="A1932" s="90" t="s">
        <v>309</v>
      </c>
      <c r="B1932" s="89" t="s">
        <v>2113</v>
      </c>
      <c r="C1932" s="96" t="s">
        <v>927</v>
      </c>
    </row>
    <row r="1933" spans="1:3" ht="15">
      <c r="A1933" s="90" t="s">
        <v>308</v>
      </c>
      <c r="B1933" s="89" t="s">
        <v>2681</v>
      </c>
      <c r="C1933" s="96" t="s">
        <v>925</v>
      </c>
    </row>
    <row r="1934" spans="1:3" ht="15">
      <c r="A1934" s="90" t="s">
        <v>308</v>
      </c>
      <c r="B1934" s="89" t="s">
        <v>416</v>
      </c>
      <c r="C1934" s="96" t="s">
        <v>925</v>
      </c>
    </row>
    <row r="1935" spans="1:3" ht="15">
      <c r="A1935" s="90" t="s">
        <v>308</v>
      </c>
      <c r="B1935" s="89" t="s">
        <v>2682</v>
      </c>
      <c r="C1935" s="96" t="s">
        <v>925</v>
      </c>
    </row>
    <row r="1936" spans="1:3" ht="15">
      <c r="A1936" s="90" t="s">
        <v>308</v>
      </c>
      <c r="B1936" s="89" t="s">
        <v>2683</v>
      </c>
      <c r="C1936" s="96" t="s">
        <v>925</v>
      </c>
    </row>
    <row r="1937" spans="1:3" ht="15">
      <c r="A1937" s="90" t="s">
        <v>308</v>
      </c>
      <c r="B1937" s="89" t="s">
        <v>2381</v>
      </c>
      <c r="C1937" s="96" t="s">
        <v>925</v>
      </c>
    </row>
    <row r="1938" spans="1:3" ht="15">
      <c r="A1938" s="90" t="s">
        <v>308</v>
      </c>
      <c r="B1938" s="89" t="s">
        <v>2285</v>
      </c>
      <c r="C1938" s="96" t="s">
        <v>925</v>
      </c>
    </row>
    <row r="1939" spans="1:3" ht="15">
      <c r="A1939" s="90" t="s">
        <v>308</v>
      </c>
      <c r="B1939" s="89" t="s">
        <v>2684</v>
      </c>
      <c r="C1939" s="96" t="s">
        <v>925</v>
      </c>
    </row>
    <row r="1940" spans="1:3" ht="15">
      <c r="A1940" s="90" t="s">
        <v>308</v>
      </c>
      <c r="B1940" s="89" t="s">
        <v>2685</v>
      </c>
      <c r="C1940" s="96" t="s">
        <v>925</v>
      </c>
    </row>
    <row r="1941" spans="1:3" ht="15">
      <c r="A1941" s="90" t="s">
        <v>308</v>
      </c>
      <c r="B1941" s="89" t="s">
        <v>2286</v>
      </c>
      <c r="C1941" s="96" t="s">
        <v>925</v>
      </c>
    </row>
    <row r="1942" spans="1:3" ht="15">
      <c r="A1942" s="90" t="s">
        <v>308</v>
      </c>
      <c r="B1942" s="89" t="s">
        <v>2686</v>
      </c>
      <c r="C1942" s="96" t="s">
        <v>925</v>
      </c>
    </row>
    <row r="1943" spans="1:3" ht="15">
      <c r="A1943" s="90" t="s">
        <v>308</v>
      </c>
      <c r="B1943" s="89" t="s">
        <v>2364</v>
      </c>
      <c r="C1943" s="96" t="s">
        <v>925</v>
      </c>
    </row>
    <row r="1944" spans="1:3" ht="15">
      <c r="A1944" s="90" t="s">
        <v>308</v>
      </c>
      <c r="B1944" s="89" t="s">
        <v>2287</v>
      </c>
      <c r="C1944" s="96" t="s">
        <v>925</v>
      </c>
    </row>
    <row r="1945" spans="1:3" ht="15">
      <c r="A1945" s="90" t="s">
        <v>308</v>
      </c>
      <c r="B1945" s="89" t="s">
        <v>2687</v>
      </c>
      <c r="C1945" s="96" t="s">
        <v>925</v>
      </c>
    </row>
    <row r="1946" spans="1:3" ht="15">
      <c r="A1946" s="90" t="s">
        <v>308</v>
      </c>
      <c r="B1946" s="89" t="s">
        <v>2688</v>
      </c>
      <c r="C1946" s="96" t="s">
        <v>925</v>
      </c>
    </row>
    <row r="1947" spans="1:3" ht="15">
      <c r="A1947" s="90" t="s">
        <v>308</v>
      </c>
      <c r="B1947" s="89" t="s">
        <v>2410</v>
      </c>
      <c r="C1947" s="96" t="s">
        <v>925</v>
      </c>
    </row>
    <row r="1948" spans="1:3" ht="15">
      <c r="A1948" s="90" t="s">
        <v>308</v>
      </c>
      <c r="B1948" s="89" t="s">
        <v>2609</v>
      </c>
      <c r="C1948" s="96" t="s">
        <v>925</v>
      </c>
    </row>
    <row r="1949" spans="1:3" ht="15">
      <c r="A1949" s="90" t="s">
        <v>308</v>
      </c>
      <c r="B1949" s="89" t="s">
        <v>2689</v>
      </c>
      <c r="C1949" s="96" t="s">
        <v>925</v>
      </c>
    </row>
    <row r="1950" spans="1:3" ht="15">
      <c r="A1950" s="90" t="s">
        <v>308</v>
      </c>
      <c r="B1950" s="89" t="s">
        <v>2690</v>
      </c>
      <c r="C1950" s="96" t="s">
        <v>925</v>
      </c>
    </row>
    <row r="1951" spans="1:3" ht="15">
      <c r="A1951" s="90" t="s">
        <v>308</v>
      </c>
      <c r="B1951" s="89" t="s">
        <v>2642</v>
      </c>
      <c r="C1951" s="96" t="s">
        <v>925</v>
      </c>
    </row>
    <row r="1952" spans="1:3" ht="15">
      <c r="A1952" s="90" t="s">
        <v>308</v>
      </c>
      <c r="B1952" s="89" t="s">
        <v>2691</v>
      </c>
      <c r="C1952" s="96" t="s">
        <v>925</v>
      </c>
    </row>
    <row r="1953" spans="1:3" ht="15">
      <c r="A1953" s="90" t="s">
        <v>308</v>
      </c>
      <c r="B1953" s="89" t="s">
        <v>2692</v>
      </c>
      <c r="C1953" s="96" t="s">
        <v>925</v>
      </c>
    </row>
    <row r="1954" spans="1:3" ht="15">
      <c r="A1954" s="90" t="s">
        <v>308</v>
      </c>
      <c r="B1954" s="89" t="s">
        <v>2681</v>
      </c>
      <c r="C1954" s="96" t="s">
        <v>924</v>
      </c>
    </row>
    <row r="1955" spans="1:3" ht="15">
      <c r="A1955" s="90" t="s">
        <v>308</v>
      </c>
      <c r="B1955" s="89" t="s">
        <v>2693</v>
      </c>
      <c r="C1955" s="96" t="s">
        <v>924</v>
      </c>
    </row>
    <row r="1956" spans="1:3" ht="15">
      <c r="A1956" s="90" t="s">
        <v>308</v>
      </c>
      <c r="B1956" s="89" t="s">
        <v>2382</v>
      </c>
      <c r="C1956" s="96" t="s">
        <v>924</v>
      </c>
    </row>
    <row r="1957" spans="1:3" ht="15">
      <c r="A1957" s="90" t="s">
        <v>308</v>
      </c>
      <c r="B1957" s="89" t="s">
        <v>2497</v>
      </c>
      <c r="C1957" s="96" t="s">
        <v>924</v>
      </c>
    </row>
    <row r="1958" spans="1:3" ht="15">
      <c r="A1958" s="90" t="s">
        <v>308</v>
      </c>
      <c r="B1958" s="89" t="s">
        <v>2545</v>
      </c>
      <c r="C1958" s="96" t="s">
        <v>924</v>
      </c>
    </row>
    <row r="1959" spans="1:3" ht="15">
      <c r="A1959" s="90" t="s">
        <v>308</v>
      </c>
      <c r="B1959" s="89" t="s">
        <v>2694</v>
      </c>
      <c r="C1959" s="96" t="s">
        <v>924</v>
      </c>
    </row>
    <row r="1960" spans="1:3" ht="15">
      <c r="A1960" s="90" t="s">
        <v>308</v>
      </c>
      <c r="B1960" s="89" t="s">
        <v>2695</v>
      </c>
      <c r="C1960" s="96" t="s">
        <v>924</v>
      </c>
    </row>
    <row r="1961" spans="1:3" ht="15">
      <c r="A1961" s="90" t="s">
        <v>308</v>
      </c>
      <c r="B1961" s="89" t="s">
        <v>2696</v>
      </c>
      <c r="C1961" s="96" t="s">
        <v>924</v>
      </c>
    </row>
    <row r="1962" spans="1:3" ht="15">
      <c r="A1962" s="90" t="s">
        <v>308</v>
      </c>
      <c r="B1962" s="89" t="s">
        <v>2697</v>
      </c>
      <c r="C1962" s="96" t="s">
        <v>924</v>
      </c>
    </row>
    <row r="1963" spans="1:3" ht="15">
      <c r="A1963" s="90" t="s">
        <v>308</v>
      </c>
      <c r="B1963" s="89" t="s">
        <v>2157</v>
      </c>
      <c r="C1963" s="96" t="s">
        <v>924</v>
      </c>
    </row>
    <row r="1964" spans="1:3" ht="15">
      <c r="A1964" s="90" t="s">
        <v>308</v>
      </c>
      <c r="B1964" s="89" t="s">
        <v>2698</v>
      </c>
      <c r="C1964" s="96" t="s">
        <v>924</v>
      </c>
    </row>
    <row r="1965" spans="1:3" ht="15">
      <c r="A1965" s="90" t="s">
        <v>308</v>
      </c>
      <c r="B1965" s="89" t="s">
        <v>2558</v>
      </c>
      <c r="C1965" s="96" t="s">
        <v>924</v>
      </c>
    </row>
    <row r="1966" spans="1:3" ht="15">
      <c r="A1966" s="90" t="s">
        <v>308</v>
      </c>
      <c r="B1966" s="89" t="s">
        <v>2454</v>
      </c>
      <c r="C1966" s="96" t="s">
        <v>924</v>
      </c>
    </row>
    <row r="1967" spans="1:3" ht="15">
      <c r="A1967" s="90" t="s">
        <v>308</v>
      </c>
      <c r="B1967" s="89" t="s">
        <v>2699</v>
      </c>
      <c r="C1967" s="96" t="s">
        <v>924</v>
      </c>
    </row>
    <row r="1968" spans="1:3" ht="15">
      <c r="A1968" s="90" t="s">
        <v>308</v>
      </c>
      <c r="B1968" s="89" t="s">
        <v>2700</v>
      </c>
      <c r="C1968" s="96" t="s">
        <v>924</v>
      </c>
    </row>
    <row r="1969" spans="1:3" ht="15">
      <c r="A1969" s="90" t="s">
        <v>308</v>
      </c>
      <c r="B1969" s="89" t="s">
        <v>2701</v>
      </c>
      <c r="C1969" s="96" t="s">
        <v>924</v>
      </c>
    </row>
    <row r="1970" spans="1:3" ht="15">
      <c r="A1970" s="90" t="s">
        <v>308</v>
      </c>
      <c r="B1970" s="89" t="s">
        <v>2702</v>
      </c>
      <c r="C1970" s="96" t="s">
        <v>924</v>
      </c>
    </row>
    <row r="1971" spans="1:3" ht="15">
      <c r="A1971" s="90" t="s">
        <v>308</v>
      </c>
      <c r="B1971" s="89" t="s">
        <v>2703</v>
      </c>
      <c r="C1971" s="96" t="s">
        <v>924</v>
      </c>
    </row>
    <row r="1972" spans="1:3" ht="15">
      <c r="A1972" s="90" t="s">
        <v>308</v>
      </c>
      <c r="B1972" s="89" t="s">
        <v>2704</v>
      </c>
      <c r="C1972" s="96" t="s">
        <v>924</v>
      </c>
    </row>
    <row r="1973" spans="1:3" ht="15">
      <c r="A1973" s="90" t="s">
        <v>308</v>
      </c>
      <c r="B1973" s="89" t="s">
        <v>2705</v>
      </c>
      <c r="C1973" s="96" t="s">
        <v>924</v>
      </c>
    </row>
    <row r="1974" spans="1:3" ht="15">
      <c r="A1974" s="90" t="s">
        <v>308</v>
      </c>
      <c r="B1974" s="89" t="s">
        <v>2706</v>
      </c>
      <c r="C1974" s="96" t="s">
        <v>924</v>
      </c>
    </row>
    <row r="1975" spans="1:3" ht="15">
      <c r="A1975" s="90" t="s">
        <v>308</v>
      </c>
      <c r="B1975" s="89" t="s">
        <v>416</v>
      </c>
      <c r="C1975" s="96" t="s">
        <v>924</v>
      </c>
    </row>
    <row r="1976" spans="1:3" ht="15">
      <c r="A1976" s="90" t="s">
        <v>308</v>
      </c>
      <c r="B1976" s="89" t="s">
        <v>2707</v>
      </c>
      <c r="C1976" s="96" t="s">
        <v>924</v>
      </c>
    </row>
    <row r="1977" spans="1:3" ht="15">
      <c r="A1977" s="90" t="s">
        <v>308</v>
      </c>
      <c r="B1977" s="89" t="s">
        <v>2708</v>
      </c>
      <c r="C1977" s="96" t="s">
        <v>924</v>
      </c>
    </row>
    <row r="1978" spans="1:3" ht="15">
      <c r="A1978" s="90" t="s">
        <v>308</v>
      </c>
      <c r="B1978" s="89" t="s">
        <v>2709</v>
      </c>
      <c r="C1978" s="96" t="s">
        <v>924</v>
      </c>
    </row>
    <row r="1979" spans="1:3" ht="15">
      <c r="A1979" s="90" t="s">
        <v>308</v>
      </c>
      <c r="B1979" s="89" t="s">
        <v>2710</v>
      </c>
      <c r="C1979" s="96" t="s">
        <v>924</v>
      </c>
    </row>
    <row r="1980" spans="1:3" ht="15">
      <c r="A1980" s="90" t="s">
        <v>308</v>
      </c>
      <c r="B1980" s="89" t="s">
        <v>2711</v>
      </c>
      <c r="C1980" s="96" t="s">
        <v>924</v>
      </c>
    </row>
    <row r="1981" spans="1:3" ht="15">
      <c r="A1981" s="90" t="s">
        <v>308</v>
      </c>
      <c r="B1981" s="89" t="s">
        <v>2361</v>
      </c>
      <c r="C1981" s="96" t="s">
        <v>924</v>
      </c>
    </row>
    <row r="1982" spans="1:3" ht="15">
      <c r="A1982" s="90" t="s">
        <v>308</v>
      </c>
      <c r="B1982" s="89" t="s">
        <v>2712</v>
      </c>
      <c r="C1982" s="96" t="s">
        <v>924</v>
      </c>
    </row>
    <row r="1983" spans="1:3" ht="15">
      <c r="A1983" s="90" t="s">
        <v>308</v>
      </c>
      <c r="B1983" s="89" t="s">
        <v>2378</v>
      </c>
      <c r="C1983" s="96" t="s">
        <v>926</v>
      </c>
    </row>
    <row r="1984" spans="1:3" ht="15">
      <c r="A1984" s="90" t="s">
        <v>308</v>
      </c>
      <c r="B1984" s="89" t="s">
        <v>2713</v>
      </c>
      <c r="C1984" s="96" t="s">
        <v>926</v>
      </c>
    </row>
    <row r="1985" spans="1:3" ht="15">
      <c r="A1985" s="90" t="s">
        <v>308</v>
      </c>
      <c r="B1985" s="89" t="s">
        <v>2260</v>
      </c>
      <c r="C1985" s="96" t="s">
        <v>926</v>
      </c>
    </row>
    <row r="1986" spans="1:3" ht="15">
      <c r="A1986" s="90" t="s">
        <v>308</v>
      </c>
      <c r="B1986" s="89" t="s">
        <v>2714</v>
      </c>
      <c r="C1986" s="96" t="s">
        <v>926</v>
      </c>
    </row>
    <row r="1987" spans="1:3" ht="15">
      <c r="A1987" s="90" t="s">
        <v>308</v>
      </c>
      <c r="B1987" s="89" t="s">
        <v>2715</v>
      </c>
      <c r="C1987" s="96" t="s">
        <v>926</v>
      </c>
    </row>
    <row r="1988" spans="1:3" ht="15">
      <c r="A1988" s="90" t="s">
        <v>308</v>
      </c>
      <c r="B1988" s="89" t="s">
        <v>2488</v>
      </c>
      <c r="C1988" s="96" t="s">
        <v>926</v>
      </c>
    </row>
    <row r="1989" spans="1:3" ht="15">
      <c r="A1989" s="90" t="s">
        <v>308</v>
      </c>
      <c r="B1989" s="89" t="s">
        <v>2364</v>
      </c>
      <c r="C1989" s="96" t="s">
        <v>926</v>
      </c>
    </row>
    <row r="1990" spans="1:3" ht="15">
      <c r="A1990" s="90" t="s">
        <v>308</v>
      </c>
      <c r="B1990" s="89" t="s">
        <v>2148</v>
      </c>
      <c r="C1990" s="96" t="s">
        <v>926</v>
      </c>
    </row>
    <row r="1991" spans="1:3" ht="15">
      <c r="A1991" s="90" t="s">
        <v>308</v>
      </c>
      <c r="B1991" s="89" t="s">
        <v>2716</v>
      </c>
      <c r="C1991" s="96" t="s">
        <v>926</v>
      </c>
    </row>
    <row r="1992" spans="1:3" ht="15">
      <c r="A1992" s="90" t="s">
        <v>308</v>
      </c>
      <c r="B1992" s="89" t="s">
        <v>2717</v>
      </c>
      <c r="C1992" s="96" t="s">
        <v>926</v>
      </c>
    </row>
    <row r="1993" spans="1:3" ht="15">
      <c r="A1993" s="90" t="s">
        <v>308</v>
      </c>
      <c r="B1993" s="89" t="s">
        <v>2718</v>
      </c>
      <c r="C1993" s="96" t="s">
        <v>926</v>
      </c>
    </row>
    <row r="1994" spans="1:3" ht="15">
      <c r="A1994" s="90" t="s">
        <v>308</v>
      </c>
      <c r="B1994" s="89" t="s">
        <v>2719</v>
      </c>
      <c r="C1994" s="96" t="s">
        <v>926</v>
      </c>
    </row>
    <row r="1995" spans="1:3" ht="15">
      <c r="A1995" s="90" t="s">
        <v>308</v>
      </c>
      <c r="B1995" s="89" t="s">
        <v>2682</v>
      </c>
      <c r="C1995" s="96" t="s">
        <v>926</v>
      </c>
    </row>
    <row r="1996" spans="1:3" ht="15">
      <c r="A1996" s="90" t="s">
        <v>308</v>
      </c>
      <c r="B1996" s="89" t="s">
        <v>2472</v>
      </c>
      <c r="C1996" s="96" t="s">
        <v>926</v>
      </c>
    </row>
    <row r="1997" spans="1:3" ht="15">
      <c r="A1997" s="90" t="s">
        <v>308</v>
      </c>
      <c r="B1997" s="89" t="s">
        <v>2720</v>
      </c>
      <c r="C1997" s="96" t="s">
        <v>926</v>
      </c>
    </row>
    <row r="1998" spans="1:3" ht="15">
      <c r="A1998" s="90" t="s">
        <v>308</v>
      </c>
      <c r="B1998" s="89" t="s">
        <v>2288</v>
      </c>
      <c r="C1998" s="96" t="s">
        <v>926</v>
      </c>
    </row>
    <row r="1999" spans="1:3" ht="15">
      <c r="A1999" s="90" t="s">
        <v>308</v>
      </c>
      <c r="B1999" s="89" t="s">
        <v>2211</v>
      </c>
      <c r="C1999" s="96" t="s">
        <v>926</v>
      </c>
    </row>
    <row r="2000" spans="1:3" ht="15">
      <c r="A2000" s="90" t="s">
        <v>308</v>
      </c>
      <c r="B2000" s="89" t="s">
        <v>2721</v>
      </c>
      <c r="C2000" s="96" t="s">
        <v>926</v>
      </c>
    </row>
    <row r="2001" spans="1:3" ht="15">
      <c r="A2001" s="90" t="s">
        <v>308</v>
      </c>
      <c r="B2001" s="89" t="s">
        <v>2722</v>
      </c>
      <c r="C2001" s="96" t="s">
        <v>926</v>
      </c>
    </row>
    <row r="2002" spans="1:3" ht="15">
      <c r="A2002" s="90" t="s">
        <v>308</v>
      </c>
      <c r="B2002" s="89" t="s">
        <v>2361</v>
      </c>
      <c r="C2002" s="96" t="s">
        <v>926</v>
      </c>
    </row>
    <row r="2003" spans="1:3" ht="15">
      <c r="A2003" s="90" t="s">
        <v>308</v>
      </c>
      <c r="B2003" s="89" t="s">
        <v>2723</v>
      </c>
      <c r="C2003" s="96" t="s">
        <v>926</v>
      </c>
    </row>
    <row r="2004" spans="1:3" ht="15">
      <c r="A2004" s="90" t="s">
        <v>308</v>
      </c>
      <c r="B2004" s="89" t="s">
        <v>2289</v>
      </c>
      <c r="C2004" s="96" t="s">
        <v>926</v>
      </c>
    </row>
    <row r="2005" spans="1:3" ht="15">
      <c r="A2005" s="90" t="s">
        <v>308</v>
      </c>
      <c r="B2005" s="89" t="s">
        <v>2442</v>
      </c>
      <c r="C2005" s="96" t="s">
        <v>926</v>
      </c>
    </row>
    <row r="2006" spans="1:3" ht="15">
      <c r="A2006" s="90" t="s">
        <v>308</v>
      </c>
      <c r="B2006" s="89" t="s">
        <v>2724</v>
      </c>
      <c r="C2006" s="96" t="s">
        <v>926</v>
      </c>
    </row>
    <row r="2007" spans="1:3" ht="15">
      <c r="A2007" s="90" t="s">
        <v>308</v>
      </c>
      <c r="B2007" s="89" t="s">
        <v>416</v>
      </c>
      <c r="C2007" s="96" t="s">
        <v>926</v>
      </c>
    </row>
    <row r="2008" spans="1:3" ht="15">
      <c r="A2008" s="90" t="s">
        <v>307</v>
      </c>
      <c r="B2008" s="89" t="s">
        <v>2369</v>
      </c>
      <c r="C2008" s="96" t="s">
        <v>923</v>
      </c>
    </row>
    <row r="2009" spans="1:3" ht="15">
      <c r="A2009" s="90" t="s">
        <v>307</v>
      </c>
      <c r="B2009" s="89" t="s">
        <v>2370</v>
      </c>
      <c r="C2009" s="96" t="s">
        <v>923</v>
      </c>
    </row>
    <row r="2010" spans="1:3" ht="15">
      <c r="A2010" s="90" t="s">
        <v>307</v>
      </c>
      <c r="B2010" s="89" t="s">
        <v>2112</v>
      </c>
      <c r="C2010" s="96" t="s">
        <v>923</v>
      </c>
    </row>
    <row r="2011" spans="1:3" ht="15">
      <c r="A2011" s="90" t="s">
        <v>307</v>
      </c>
      <c r="B2011" s="89" t="s">
        <v>2113</v>
      </c>
      <c r="C2011" s="96" t="s">
        <v>923</v>
      </c>
    </row>
    <row r="2012" spans="1:3" ht="15">
      <c r="A2012" s="90" t="s">
        <v>334</v>
      </c>
      <c r="B2012" s="89" t="s">
        <v>2369</v>
      </c>
      <c r="C2012" s="96" t="s">
        <v>958</v>
      </c>
    </row>
    <row r="2013" spans="1:3" ht="15">
      <c r="A2013" s="90" t="s">
        <v>334</v>
      </c>
      <c r="B2013" s="89" t="s">
        <v>2370</v>
      </c>
      <c r="C2013" s="96" t="s">
        <v>958</v>
      </c>
    </row>
    <row r="2014" spans="1:3" ht="15">
      <c r="A2014" s="90" t="s">
        <v>334</v>
      </c>
      <c r="B2014" s="89" t="s">
        <v>2112</v>
      </c>
      <c r="C2014" s="96" t="s">
        <v>958</v>
      </c>
    </row>
    <row r="2015" spans="1:3" ht="15">
      <c r="A2015" s="90" t="s">
        <v>334</v>
      </c>
      <c r="B2015" s="89" t="s">
        <v>2113</v>
      </c>
      <c r="C2015" s="96" t="s">
        <v>958</v>
      </c>
    </row>
    <row r="2016" spans="1:3" ht="15">
      <c r="A2016" s="90" t="s">
        <v>334</v>
      </c>
      <c r="B2016" s="89" t="s">
        <v>2369</v>
      </c>
      <c r="C2016" s="96" t="s">
        <v>956</v>
      </c>
    </row>
    <row r="2017" spans="1:3" ht="15">
      <c r="A2017" s="90" t="s">
        <v>334</v>
      </c>
      <c r="B2017" s="89" t="s">
        <v>2370</v>
      </c>
      <c r="C2017" s="96" t="s">
        <v>956</v>
      </c>
    </row>
    <row r="2018" spans="1:3" ht="15">
      <c r="A2018" s="90" t="s">
        <v>334</v>
      </c>
      <c r="B2018" s="89" t="s">
        <v>2150</v>
      </c>
      <c r="C2018" s="96" t="s">
        <v>956</v>
      </c>
    </row>
    <row r="2019" spans="1:3" ht="15">
      <c r="A2019" s="90" t="s">
        <v>334</v>
      </c>
      <c r="B2019" s="89" t="s">
        <v>2151</v>
      </c>
      <c r="C2019" s="96" t="s">
        <v>956</v>
      </c>
    </row>
    <row r="2020" spans="1:3" ht="15">
      <c r="A2020" s="90" t="s">
        <v>334</v>
      </c>
      <c r="B2020" s="89" t="s">
        <v>2152</v>
      </c>
      <c r="C2020" s="96" t="s">
        <v>956</v>
      </c>
    </row>
    <row r="2021" spans="1:3" ht="15">
      <c r="A2021" s="90" t="s">
        <v>334</v>
      </c>
      <c r="B2021" s="89" t="s">
        <v>2391</v>
      </c>
      <c r="C2021" s="96" t="s">
        <v>956</v>
      </c>
    </row>
    <row r="2022" spans="1:3" ht="15">
      <c r="A2022" s="90" t="s">
        <v>334</v>
      </c>
      <c r="B2022" s="89" t="s">
        <v>2392</v>
      </c>
      <c r="C2022" s="96" t="s">
        <v>956</v>
      </c>
    </row>
    <row r="2023" spans="1:3" ht="15">
      <c r="A2023" s="90" t="s">
        <v>334</v>
      </c>
      <c r="B2023" s="89" t="s">
        <v>2393</v>
      </c>
      <c r="C2023" s="96" t="s">
        <v>956</v>
      </c>
    </row>
    <row r="2024" spans="1:3" ht="15">
      <c r="A2024" s="90" t="s">
        <v>334</v>
      </c>
      <c r="B2024" s="89" t="s">
        <v>2149</v>
      </c>
      <c r="C2024" s="96" t="s">
        <v>956</v>
      </c>
    </row>
    <row r="2025" spans="1:3" ht="15">
      <c r="A2025" s="90" t="s">
        <v>334</v>
      </c>
      <c r="B2025" s="89" t="s">
        <v>2153</v>
      </c>
      <c r="C2025" s="96" t="s">
        <v>956</v>
      </c>
    </row>
    <row r="2026" spans="1:3" ht="15">
      <c r="A2026" s="90" t="s">
        <v>334</v>
      </c>
      <c r="B2026" s="89" t="s">
        <v>2361</v>
      </c>
      <c r="C2026" s="96" t="s">
        <v>956</v>
      </c>
    </row>
    <row r="2027" spans="1:3" ht="15">
      <c r="A2027" s="90" t="s">
        <v>334</v>
      </c>
      <c r="B2027" s="89" t="s">
        <v>2394</v>
      </c>
      <c r="C2027" s="96" t="s">
        <v>956</v>
      </c>
    </row>
    <row r="2028" spans="1:3" ht="15">
      <c r="A2028" s="90" t="s">
        <v>334</v>
      </c>
      <c r="B2028" s="89" t="s">
        <v>2148</v>
      </c>
      <c r="C2028" s="96" t="s">
        <v>956</v>
      </c>
    </row>
    <row r="2029" spans="1:3" ht="15">
      <c r="A2029" s="90" t="s">
        <v>334</v>
      </c>
      <c r="B2029" s="89" t="s">
        <v>2395</v>
      </c>
      <c r="C2029" s="96" t="s">
        <v>956</v>
      </c>
    </row>
    <row r="2030" spans="1:3" ht="15">
      <c r="A2030" s="90" t="s">
        <v>334</v>
      </c>
      <c r="B2030" s="89" t="s">
        <v>2154</v>
      </c>
      <c r="C2030" s="96" t="s">
        <v>956</v>
      </c>
    </row>
    <row r="2031" spans="1:3" ht="15">
      <c r="A2031" s="90" t="s">
        <v>334</v>
      </c>
      <c r="B2031" s="89" t="s">
        <v>2155</v>
      </c>
      <c r="C2031" s="96" t="s">
        <v>956</v>
      </c>
    </row>
    <row r="2032" spans="1:3" ht="15">
      <c r="A2032" s="90" t="s">
        <v>306</v>
      </c>
      <c r="B2032" s="89" t="s">
        <v>2725</v>
      </c>
      <c r="C2032" s="96" t="s">
        <v>922</v>
      </c>
    </row>
    <row r="2033" spans="1:3" ht="15">
      <c r="A2033" s="90" t="s">
        <v>306</v>
      </c>
      <c r="B2033" s="89" t="s">
        <v>2726</v>
      </c>
      <c r="C2033" s="96" t="s">
        <v>922</v>
      </c>
    </row>
    <row r="2034" spans="1:3" ht="15">
      <c r="A2034" s="90" t="s">
        <v>306</v>
      </c>
      <c r="B2034" s="89" t="s">
        <v>2369</v>
      </c>
      <c r="C2034" s="96" t="s">
        <v>922</v>
      </c>
    </row>
    <row r="2035" spans="1:3" ht="15">
      <c r="A2035" s="90" t="s">
        <v>306</v>
      </c>
      <c r="B2035" s="89" t="s">
        <v>2370</v>
      </c>
      <c r="C2035" s="96" t="s">
        <v>922</v>
      </c>
    </row>
    <row r="2036" spans="1:3" ht="15">
      <c r="A2036" s="90" t="s">
        <v>306</v>
      </c>
      <c r="B2036" s="89" t="s">
        <v>2727</v>
      </c>
      <c r="C2036" s="96" t="s">
        <v>922</v>
      </c>
    </row>
    <row r="2037" spans="1:3" ht="15">
      <c r="A2037" s="90" t="s">
        <v>306</v>
      </c>
      <c r="B2037" s="89" t="s">
        <v>2728</v>
      </c>
      <c r="C2037" s="96" t="s">
        <v>922</v>
      </c>
    </row>
    <row r="2038" spans="1:3" ht="15">
      <c r="A2038" s="90" t="s">
        <v>306</v>
      </c>
      <c r="B2038" s="89" t="s">
        <v>2729</v>
      </c>
      <c r="C2038" s="96" t="s">
        <v>922</v>
      </c>
    </row>
    <row r="2039" spans="1:3" ht="15">
      <c r="A2039" s="90" t="s">
        <v>306</v>
      </c>
      <c r="B2039" s="89" t="s">
        <v>2290</v>
      </c>
      <c r="C2039" s="96" t="s">
        <v>922</v>
      </c>
    </row>
    <row r="2040" spans="1:3" ht="15">
      <c r="A2040" s="90" t="s">
        <v>306</v>
      </c>
      <c r="B2040" s="89" t="s">
        <v>2385</v>
      </c>
      <c r="C2040" s="96" t="s">
        <v>922</v>
      </c>
    </row>
    <row r="2041" spans="1:3" ht="15">
      <c r="A2041" s="90" t="s">
        <v>306</v>
      </c>
      <c r="B2041" s="89" t="s">
        <v>2371</v>
      </c>
      <c r="C2041" s="96" t="s">
        <v>922</v>
      </c>
    </row>
    <row r="2042" spans="1:3" ht="15">
      <c r="A2042" s="90" t="s">
        <v>306</v>
      </c>
      <c r="B2042" s="89" t="s">
        <v>2730</v>
      </c>
      <c r="C2042" s="96" t="s">
        <v>922</v>
      </c>
    </row>
    <row r="2043" spans="1:3" ht="15">
      <c r="A2043" s="90" t="s">
        <v>306</v>
      </c>
      <c r="B2043" s="89" t="s">
        <v>2731</v>
      </c>
      <c r="C2043" s="96" t="s">
        <v>922</v>
      </c>
    </row>
    <row r="2044" spans="1:3" ht="15">
      <c r="A2044" s="90" t="s">
        <v>306</v>
      </c>
      <c r="B2044" s="89" t="s">
        <v>2732</v>
      </c>
      <c r="C2044" s="96" t="s">
        <v>922</v>
      </c>
    </row>
    <row r="2045" spans="1:3" ht="15">
      <c r="A2045" s="90" t="s">
        <v>306</v>
      </c>
      <c r="B2045" s="89" t="s">
        <v>2476</v>
      </c>
      <c r="C2045" s="96" t="s">
        <v>922</v>
      </c>
    </row>
    <row r="2046" spans="1:3" ht="15">
      <c r="A2046" s="90" t="s">
        <v>306</v>
      </c>
      <c r="B2046" s="89" t="s">
        <v>2472</v>
      </c>
      <c r="C2046" s="96" t="s">
        <v>922</v>
      </c>
    </row>
    <row r="2047" spans="1:3" ht="15">
      <c r="A2047" s="90" t="s">
        <v>306</v>
      </c>
      <c r="B2047" s="89" t="s">
        <v>2733</v>
      </c>
      <c r="C2047" s="96" t="s">
        <v>922</v>
      </c>
    </row>
    <row r="2048" spans="1:3" ht="15">
      <c r="A2048" s="90" t="s">
        <v>306</v>
      </c>
      <c r="B2048" s="89" t="s">
        <v>2193</v>
      </c>
      <c r="C2048" s="96" t="s">
        <v>922</v>
      </c>
    </row>
    <row r="2049" spans="1:3" ht="15">
      <c r="A2049" s="90" t="s">
        <v>306</v>
      </c>
      <c r="B2049" s="89" t="s">
        <v>2734</v>
      </c>
      <c r="C2049" s="96" t="s">
        <v>922</v>
      </c>
    </row>
    <row r="2050" spans="1:3" ht="15">
      <c r="A2050" s="90" t="s">
        <v>306</v>
      </c>
      <c r="B2050" s="89" t="s">
        <v>2735</v>
      </c>
      <c r="C2050" s="96" t="s">
        <v>922</v>
      </c>
    </row>
    <row r="2051" spans="1:3" ht="15">
      <c r="A2051" s="90" t="s">
        <v>306</v>
      </c>
      <c r="B2051" s="89" t="s">
        <v>2291</v>
      </c>
      <c r="C2051" s="96" t="s">
        <v>922</v>
      </c>
    </row>
    <row r="2052" spans="1:3" ht="15">
      <c r="A2052" s="90" t="s">
        <v>306</v>
      </c>
      <c r="B2052" s="89" t="s">
        <v>2736</v>
      </c>
      <c r="C2052" s="96" t="s">
        <v>922</v>
      </c>
    </row>
    <row r="2053" spans="1:3" ht="15">
      <c r="A2053" s="90" t="s">
        <v>306</v>
      </c>
      <c r="B2053" s="89" t="s">
        <v>2410</v>
      </c>
      <c r="C2053" s="96" t="s">
        <v>922</v>
      </c>
    </row>
    <row r="2054" spans="1:3" ht="15">
      <c r="A2054" s="90" t="s">
        <v>306</v>
      </c>
      <c r="B2054" s="89" t="s">
        <v>2292</v>
      </c>
      <c r="C2054" s="96" t="s">
        <v>922</v>
      </c>
    </row>
    <row r="2055" spans="1:3" ht="15">
      <c r="A2055" s="90" t="s">
        <v>306</v>
      </c>
      <c r="B2055" s="89" t="s">
        <v>2685</v>
      </c>
      <c r="C2055" s="96" t="s">
        <v>922</v>
      </c>
    </row>
    <row r="2056" spans="1:3" ht="15">
      <c r="A2056" s="90" t="s">
        <v>306</v>
      </c>
      <c r="B2056" s="89" t="s">
        <v>2737</v>
      </c>
      <c r="C2056" s="96" t="s">
        <v>922</v>
      </c>
    </row>
    <row r="2057" spans="1:3" ht="15">
      <c r="A2057" s="90" t="s">
        <v>306</v>
      </c>
      <c r="B2057" s="89" t="s">
        <v>2738</v>
      </c>
      <c r="C2057" s="96" t="s">
        <v>922</v>
      </c>
    </row>
    <row r="2058" spans="1:3" ht="15">
      <c r="A2058" s="90" t="s">
        <v>306</v>
      </c>
      <c r="B2058" s="89" t="s">
        <v>2642</v>
      </c>
      <c r="C2058" s="96" t="s">
        <v>922</v>
      </c>
    </row>
    <row r="2059" spans="1:3" ht="15">
      <c r="A2059" s="90" t="s">
        <v>306</v>
      </c>
      <c r="B2059" s="89" t="s">
        <v>2739</v>
      </c>
      <c r="C2059" s="96" t="s">
        <v>922</v>
      </c>
    </row>
    <row r="2060" spans="1:3" ht="15">
      <c r="A2060" s="90" t="s">
        <v>306</v>
      </c>
      <c r="B2060" s="89" t="s">
        <v>2740</v>
      </c>
      <c r="C2060" s="96" t="s">
        <v>922</v>
      </c>
    </row>
    <row r="2061" spans="1:3" ht="15">
      <c r="A2061" s="90" t="s">
        <v>305</v>
      </c>
      <c r="B2061" s="89" t="s">
        <v>2502</v>
      </c>
      <c r="C2061" s="96" t="s">
        <v>921</v>
      </c>
    </row>
    <row r="2062" spans="1:3" ht="15">
      <c r="A2062" s="90" t="s">
        <v>305</v>
      </c>
      <c r="B2062" s="89" t="s">
        <v>2741</v>
      </c>
      <c r="C2062" s="96" t="s">
        <v>921</v>
      </c>
    </row>
    <row r="2063" spans="1:3" ht="15">
      <c r="A2063" s="90" t="s">
        <v>305</v>
      </c>
      <c r="B2063" s="89" t="s">
        <v>2369</v>
      </c>
      <c r="C2063" s="96" t="s">
        <v>921</v>
      </c>
    </row>
    <row r="2064" spans="1:3" ht="15">
      <c r="A2064" s="90" t="s">
        <v>305</v>
      </c>
      <c r="B2064" s="89" t="s">
        <v>2370</v>
      </c>
      <c r="C2064" s="96" t="s">
        <v>921</v>
      </c>
    </row>
    <row r="2065" spans="1:3" ht="15">
      <c r="A2065" s="90" t="s">
        <v>304</v>
      </c>
      <c r="B2065" s="89" t="s">
        <v>2369</v>
      </c>
      <c r="C2065" s="96" t="s">
        <v>920</v>
      </c>
    </row>
    <row r="2066" spans="1:3" ht="15">
      <c r="A2066" s="90" t="s">
        <v>304</v>
      </c>
      <c r="B2066" s="89" t="s">
        <v>2370</v>
      </c>
      <c r="C2066" s="96" t="s">
        <v>920</v>
      </c>
    </row>
    <row r="2067" spans="1:3" ht="15">
      <c r="A2067" s="90" t="s">
        <v>304</v>
      </c>
      <c r="B2067" s="89" t="s">
        <v>2112</v>
      </c>
      <c r="C2067" s="96" t="s">
        <v>920</v>
      </c>
    </row>
    <row r="2068" spans="1:3" ht="15">
      <c r="A2068" s="90" t="s">
        <v>304</v>
      </c>
      <c r="B2068" s="89" t="s">
        <v>2113</v>
      </c>
      <c r="C2068" s="96" t="s">
        <v>920</v>
      </c>
    </row>
    <row r="2069" spans="1:3" ht="15">
      <c r="A2069" s="90" t="s">
        <v>303</v>
      </c>
      <c r="B2069" s="89" t="s">
        <v>2369</v>
      </c>
      <c r="C2069" s="96" t="s">
        <v>919</v>
      </c>
    </row>
    <row r="2070" spans="1:3" ht="15">
      <c r="A2070" s="90" t="s">
        <v>303</v>
      </c>
      <c r="B2070" s="89" t="s">
        <v>2370</v>
      </c>
      <c r="C2070" s="96" t="s">
        <v>919</v>
      </c>
    </row>
    <row r="2071" spans="1:3" ht="15">
      <c r="A2071" s="90" t="s">
        <v>303</v>
      </c>
      <c r="B2071" s="89" t="s">
        <v>2112</v>
      </c>
      <c r="C2071" s="96" t="s">
        <v>919</v>
      </c>
    </row>
    <row r="2072" spans="1:3" ht="15">
      <c r="A2072" s="90" t="s">
        <v>303</v>
      </c>
      <c r="B2072" s="89" t="s">
        <v>2113</v>
      </c>
      <c r="C2072" s="96" t="s">
        <v>919</v>
      </c>
    </row>
    <row r="2073" spans="1:3" ht="15">
      <c r="A2073" s="90" t="s">
        <v>302</v>
      </c>
      <c r="B2073" s="89" t="s">
        <v>2369</v>
      </c>
      <c r="C2073" s="96" t="s">
        <v>918</v>
      </c>
    </row>
    <row r="2074" spans="1:3" ht="15">
      <c r="A2074" s="90" t="s">
        <v>302</v>
      </c>
      <c r="B2074" s="89" t="s">
        <v>2370</v>
      </c>
      <c r="C2074" s="96" t="s">
        <v>918</v>
      </c>
    </row>
    <row r="2075" spans="1:3" ht="15">
      <c r="A2075" s="90" t="s">
        <v>302</v>
      </c>
      <c r="B2075" s="89" t="s">
        <v>2112</v>
      </c>
      <c r="C2075" s="96" t="s">
        <v>918</v>
      </c>
    </row>
    <row r="2076" spans="1:3" ht="15">
      <c r="A2076" s="90" t="s">
        <v>302</v>
      </c>
      <c r="B2076" s="89" t="s">
        <v>2113</v>
      </c>
      <c r="C2076" s="96" t="s">
        <v>918</v>
      </c>
    </row>
    <row r="2077" spans="1:3" ht="15">
      <c r="A2077" s="90" t="s">
        <v>301</v>
      </c>
      <c r="B2077" s="89" t="s">
        <v>2369</v>
      </c>
      <c r="C2077" s="96" t="s">
        <v>917</v>
      </c>
    </row>
    <row r="2078" spans="1:3" ht="15">
      <c r="A2078" s="90" t="s">
        <v>301</v>
      </c>
      <c r="B2078" s="89" t="s">
        <v>2370</v>
      </c>
      <c r="C2078" s="96" t="s">
        <v>917</v>
      </c>
    </row>
    <row r="2079" spans="1:3" ht="15">
      <c r="A2079" s="90" t="s">
        <v>301</v>
      </c>
      <c r="B2079" s="89" t="s">
        <v>2112</v>
      </c>
      <c r="C2079" s="96" t="s">
        <v>917</v>
      </c>
    </row>
    <row r="2080" spans="1:3" ht="15">
      <c r="A2080" s="90" t="s">
        <v>301</v>
      </c>
      <c r="B2080" s="89" t="s">
        <v>2113</v>
      </c>
      <c r="C2080" s="96" t="s">
        <v>917</v>
      </c>
    </row>
    <row r="2081" spans="1:3" ht="15">
      <c r="A2081" s="90" t="s">
        <v>301</v>
      </c>
      <c r="B2081" s="89" t="s">
        <v>2369</v>
      </c>
      <c r="C2081" s="96" t="s">
        <v>916</v>
      </c>
    </row>
    <row r="2082" spans="1:3" ht="15">
      <c r="A2082" s="90" t="s">
        <v>301</v>
      </c>
      <c r="B2082" s="89" t="s">
        <v>2370</v>
      </c>
      <c r="C2082" s="96" t="s">
        <v>916</v>
      </c>
    </row>
    <row r="2083" spans="1:3" ht="15">
      <c r="A2083" s="90" t="s">
        <v>301</v>
      </c>
      <c r="B2083" s="89" t="s">
        <v>2399</v>
      </c>
      <c r="C2083" s="96" t="s">
        <v>916</v>
      </c>
    </row>
    <row r="2084" spans="1:3" ht="15">
      <c r="A2084" s="90" t="s">
        <v>301</v>
      </c>
      <c r="B2084" s="89" t="s">
        <v>2110</v>
      </c>
      <c r="C2084" s="96" t="s">
        <v>916</v>
      </c>
    </row>
    <row r="2085" spans="1:3" ht="15">
      <c r="A2085" s="90" t="s">
        <v>301</v>
      </c>
      <c r="B2085" s="89" t="s">
        <v>2125</v>
      </c>
      <c r="C2085" s="96" t="s">
        <v>916</v>
      </c>
    </row>
    <row r="2086" spans="1:3" ht="15">
      <c r="A2086" s="90" t="s">
        <v>301</v>
      </c>
      <c r="B2086" s="89" t="s">
        <v>2400</v>
      </c>
      <c r="C2086" s="96" t="s">
        <v>916</v>
      </c>
    </row>
    <row r="2087" spans="1:3" ht="15">
      <c r="A2087" s="90" t="s">
        <v>301</v>
      </c>
      <c r="B2087" s="89" t="s">
        <v>2127</v>
      </c>
      <c r="C2087" s="96" t="s">
        <v>916</v>
      </c>
    </row>
    <row r="2088" spans="1:3" ht="15">
      <c r="A2088" s="90" t="s">
        <v>301</v>
      </c>
      <c r="B2088" s="89" t="s">
        <v>2401</v>
      </c>
      <c r="C2088" s="96" t="s">
        <v>916</v>
      </c>
    </row>
    <row r="2089" spans="1:3" ht="15">
      <c r="A2089" s="90" t="s">
        <v>301</v>
      </c>
      <c r="B2089" s="89" t="s">
        <v>2402</v>
      </c>
      <c r="C2089" s="96" t="s">
        <v>916</v>
      </c>
    </row>
    <row r="2090" spans="1:3" ht="15">
      <c r="A2090" s="90" t="s">
        <v>301</v>
      </c>
      <c r="B2090" s="89" t="s">
        <v>2403</v>
      </c>
      <c r="C2090" s="96" t="s">
        <v>916</v>
      </c>
    </row>
    <row r="2091" spans="1:3" ht="15">
      <c r="A2091" s="90" t="s">
        <v>301</v>
      </c>
      <c r="B2091" s="89" t="s">
        <v>2404</v>
      </c>
      <c r="C2091" s="96" t="s">
        <v>916</v>
      </c>
    </row>
    <row r="2092" spans="1:3" ht="15">
      <c r="A2092" s="90" t="s">
        <v>301</v>
      </c>
      <c r="B2092" s="89" t="s">
        <v>2115</v>
      </c>
      <c r="C2092" s="96" t="s">
        <v>916</v>
      </c>
    </row>
    <row r="2093" spans="1:3" ht="15">
      <c r="A2093" s="90" t="s">
        <v>301</v>
      </c>
      <c r="B2093" s="89" t="s">
        <v>2116</v>
      </c>
      <c r="C2093" s="96" t="s">
        <v>916</v>
      </c>
    </row>
    <row r="2094" spans="1:3" ht="15">
      <c r="A2094" s="90" t="s">
        <v>301</v>
      </c>
      <c r="B2094" s="89" t="s">
        <v>2117</v>
      </c>
      <c r="C2094" s="96" t="s">
        <v>916</v>
      </c>
    </row>
    <row r="2095" spans="1:3" ht="15">
      <c r="A2095" s="90" t="s">
        <v>301</v>
      </c>
      <c r="B2095" s="89" t="s">
        <v>2118</v>
      </c>
      <c r="C2095" s="96" t="s">
        <v>916</v>
      </c>
    </row>
    <row r="2096" spans="1:3" ht="15">
      <c r="A2096" s="90" t="s">
        <v>301</v>
      </c>
      <c r="B2096" s="89" t="s">
        <v>2119</v>
      </c>
      <c r="C2096" s="96" t="s">
        <v>916</v>
      </c>
    </row>
    <row r="2097" spans="1:3" ht="15">
      <c r="A2097" s="90" t="s">
        <v>301</v>
      </c>
      <c r="B2097" s="89" t="s">
        <v>2129</v>
      </c>
      <c r="C2097" s="96" t="s">
        <v>916</v>
      </c>
    </row>
    <row r="2098" spans="1:3" ht="15">
      <c r="A2098" s="90" t="s">
        <v>301</v>
      </c>
      <c r="B2098" s="89" t="s">
        <v>2120</v>
      </c>
      <c r="C2098" s="96" t="s">
        <v>916</v>
      </c>
    </row>
    <row r="2099" spans="1:3" ht="15">
      <c r="A2099" s="90" t="s">
        <v>301</v>
      </c>
      <c r="B2099" s="89" t="s">
        <v>2121</v>
      </c>
      <c r="C2099" s="96" t="s">
        <v>916</v>
      </c>
    </row>
    <row r="2100" spans="1:3" ht="15">
      <c r="A2100" s="90" t="s">
        <v>301</v>
      </c>
      <c r="B2100" s="89" t="s">
        <v>2122</v>
      </c>
      <c r="C2100" s="96" t="s">
        <v>916</v>
      </c>
    </row>
    <row r="2101" spans="1:3" ht="15">
      <c r="A2101" s="90" t="s">
        <v>301</v>
      </c>
      <c r="B2101" s="89" t="s">
        <v>2130</v>
      </c>
      <c r="C2101" s="96" t="s">
        <v>916</v>
      </c>
    </row>
    <row r="2102" spans="1:3" ht="15">
      <c r="A2102" s="90" t="s">
        <v>301</v>
      </c>
      <c r="B2102" s="89" t="s">
        <v>2131</v>
      </c>
      <c r="C2102" s="96" t="s">
        <v>916</v>
      </c>
    </row>
    <row r="2103" spans="1:3" ht="15">
      <c r="A2103" s="90" t="s">
        <v>301</v>
      </c>
      <c r="B2103" s="89" t="s">
        <v>2123</v>
      </c>
      <c r="C2103" s="96" t="s">
        <v>916</v>
      </c>
    </row>
    <row r="2104" spans="1:3" ht="15">
      <c r="A2104" s="90" t="s">
        <v>301</v>
      </c>
      <c r="B2104" s="89" t="s">
        <v>2114</v>
      </c>
      <c r="C2104" s="96" t="s">
        <v>916</v>
      </c>
    </row>
    <row r="2105" spans="1:3" ht="15">
      <c r="A2105" s="90" t="s">
        <v>300</v>
      </c>
      <c r="B2105" s="89" t="s">
        <v>2369</v>
      </c>
      <c r="C2105" s="96" t="s">
        <v>915</v>
      </c>
    </row>
    <row r="2106" spans="1:3" ht="15">
      <c r="A2106" s="90" t="s">
        <v>300</v>
      </c>
      <c r="B2106" s="89" t="s">
        <v>2370</v>
      </c>
      <c r="C2106" s="96" t="s">
        <v>915</v>
      </c>
    </row>
    <row r="2107" spans="1:3" ht="15">
      <c r="A2107" s="90" t="s">
        <v>300</v>
      </c>
      <c r="B2107" s="89" t="s">
        <v>2112</v>
      </c>
      <c r="C2107" s="96" t="s">
        <v>915</v>
      </c>
    </row>
    <row r="2108" spans="1:3" ht="15">
      <c r="A2108" s="90" t="s">
        <v>300</v>
      </c>
      <c r="B2108" s="89" t="s">
        <v>2113</v>
      </c>
      <c r="C2108" s="96" t="s">
        <v>915</v>
      </c>
    </row>
    <row r="2109" spans="1:3" ht="15">
      <c r="A2109" s="90" t="s">
        <v>299</v>
      </c>
      <c r="B2109" s="89" t="s">
        <v>2369</v>
      </c>
      <c r="C2109" s="96" t="s">
        <v>914</v>
      </c>
    </row>
    <row r="2110" spans="1:3" ht="15">
      <c r="A2110" s="90" t="s">
        <v>299</v>
      </c>
      <c r="B2110" s="89" t="s">
        <v>2370</v>
      </c>
      <c r="C2110" s="96" t="s">
        <v>914</v>
      </c>
    </row>
    <row r="2111" spans="1:3" ht="15">
      <c r="A2111" s="90" t="s">
        <v>299</v>
      </c>
      <c r="B2111" s="89" t="s">
        <v>2112</v>
      </c>
      <c r="C2111" s="96" t="s">
        <v>914</v>
      </c>
    </row>
    <row r="2112" spans="1:3" ht="15">
      <c r="A2112" s="90" t="s">
        <v>299</v>
      </c>
      <c r="B2112" s="89" t="s">
        <v>2113</v>
      </c>
      <c r="C2112" s="96" t="s">
        <v>914</v>
      </c>
    </row>
    <row r="2113" spans="1:3" ht="15">
      <c r="A2113" s="90" t="s">
        <v>298</v>
      </c>
      <c r="B2113" s="89" t="s">
        <v>2369</v>
      </c>
      <c r="C2113" s="96" t="s">
        <v>913</v>
      </c>
    </row>
    <row r="2114" spans="1:3" ht="15">
      <c r="A2114" s="90" t="s">
        <v>298</v>
      </c>
      <c r="B2114" s="89" t="s">
        <v>2370</v>
      </c>
      <c r="C2114" s="96" t="s">
        <v>913</v>
      </c>
    </row>
    <row r="2115" spans="1:3" ht="15">
      <c r="A2115" s="90" t="s">
        <v>298</v>
      </c>
      <c r="B2115" s="89" t="s">
        <v>2112</v>
      </c>
      <c r="C2115" s="96" t="s">
        <v>913</v>
      </c>
    </row>
    <row r="2116" spans="1:3" ht="15">
      <c r="A2116" s="90" t="s">
        <v>298</v>
      </c>
      <c r="B2116" s="89" t="s">
        <v>2113</v>
      </c>
      <c r="C2116" s="96" t="s">
        <v>913</v>
      </c>
    </row>
    <row r="2117" spans="1:3" ht="15">
      <c r="A2117" s="90" t="s">
        <v>341</v>
      </c>
      <c r="B2117" s="89" t="s">
        <v>2369</v>
      </c>
      <c r="C2117" s="96" t="s">
        <v>1041</v>
      </c>
    </row>
    <row r="2118" spans="1:3" ht="15">
      <c r="A2118" s="90" t="s">
        <v>341</v>
      </c>
      <c r="B2118" s="89" t="s">
        <v>2370</v>
      </c>
      <c r="C2118" s="96" t="s">
        <v>1041</v>
      </c>
    </row>
    <row r="2119" spans="1:3" ht="15">
      <c r="A2119" s="90" t="s">
        <v>341</v>
      </c>
      <c r="B2119" s="89" t="s">
        <v>2150</v>
      </c>
      <c r="C2119" s="96" t="s">
        <v>1041</v>
      </c>
    </row>
    <row r="2120" spans="1:3" ht="15">
      <c r="A2120" s="90" t="s">
        <v>341</v>
      </c>
      <c r="B2120" s="89" t="s">
        <v>2151</v>
      </c>
      <c r="C2120" s="96" t="s">
        <v>1041</v>
      </c>
    </row>
    <row r="2121" spans="1:3" ht="15">
      <c r="A2121" s="90" t="s">
        <v>341</v>
      </c>
      <c r="B2121" s="89" t="s">
        <v>2152</v>
      </c>
      <c r="C2121" s="96" t="s">
        <v>1041</v>
      </c>
    </row>
    <row r="2122" spans="1:3" ht="15">
      <c r="A2122" s="90" t="s">
        <v>341</v>
      </c>
      <c r="B2122" s="89" t="s">
        <v>2391</v>
      </c>
      <c r="C2122" s="96" t="s">
        <v>1041</v>
      </c>
    </row>
    <row r="2123" spans="1:3" ht="15">
      <c r="A2123" s="90" t="s">
        <v>341</v>
      </c>
      <c r="B2123" s="89" t="s">
        <v>2392</v>
      </c>
      <c r="C2123" s="96" t="s">
        <v>1041</v>
      </c>
    </row>
    <row r="2124" spans="1:3" ht="15">
      <c r="A2124" s="90" t="s">
        <v>341</v>
      </c>
      <c r="B2124" s="89" t="s">
        <v>2393</v>
      </c>
      <c r="C2124" s="96" t="s">
        <v>1041</v>
      </c>
    </row>
    <row r="2125" spans="1:3" ht="15">
      <c r="A2125" s="90" t="s">
        <v>341</v>
      </c>
      <c r="B2125" s="89" t="s">
        <v>2149</v>
      </c>
      <c r="C2125" s="96" t="s">
        <v>1041</v>
      </c>
    </row>
    <row r="2126" spans="1:3" ht="15">
      <c r="A2126" s="90" t="s">
        <v>341</v>
      </c>
      <c r="B2126" s="89" t="s">
        <v>2153</v>
      </c>
      <c r="C2126" s="96" t="s">
        <v>1041</v>
      </c>
    </row>
    <row r="2127" spans="1:3" ht="15">
      <c r="A2127" s="90" t="s">
        <v>341</v>
      </c>
      <c r="B2127" s="89" t="s">
        <v>2361</v>
      </c>
      <c r="C2127" s="96" t="s">
        <v>1041</v>
      </c>
    </row>
    <row r="2128" spans="1:3" ht="15">
      <c r="A2128" s="90" t="s">
        <v>341</v>
      </c>
      <c r="B2128" s="89" t="s">
        <v>2394</v>
      </c>
      <c r="C2128" s="96" t="s">
        <v>1041</v>
      </c>
    </row>
    <row r="2129" spans="1:3" ht="15">
      <c r="A2129" s="90" t="s">
        <v>341</v>
      </c>
      <c r="B2129" s="89" t="s">
        <v>2148</v>
      </c>
      <c r="C2129" s="96" t="s">
        <v>1041</v>
      </c>
    </row>
    <row r="2130" spans="1:3" ht="15">
      <c r="A2130" s="90" t="s">
        <v>341</v>
      </c>
      <c r="B2130" s="89" t="s">
        <v>2395</v>
      </c>
      <c r="C2130" s="96" t="s">
        <v>1041</v>
      </c>
    </row>
    <row r="2131" spans="1:3" ht="15">
      <c r="A2131" s="90" t="s">
        <v>341</v>
      </c>
      <c r="B2131" s="89" t="s">
        <v>2154</v>
      </c>
      <c r="C2131" s="96" t="s">
        <v>1041</v>
      </c>
    </row>
    <row r="2132" spans="1:3" ht="15">
      <c r="A2132" s="90" t="s">
        <v>341</v>
      </c>
      <c r="B2132" s="89" t="s">
        <v>2155</v>
      </c>
      <c r="C2132" s="96" t="s">
        <v>1041</v>
      </c>
    </row>
    <row r="2133" spans="1:3" ht="15">
      <c r="A2133" s="90" t="s">
        <v>341</v>
      </c>
      <c r="B2133" s="89" t="s">
        <v>2369</v>
      </c>
      <c r="C2133" s="96" t="s">
        <v>1040</v>
      </c>
    </row>
    <row r="2134" spans="1:3" ht="15">
      <c r="A2134" s="90" t="s">
        <v>341</v>
      </c>
      <c r="B2134" s="89" t="s">
        <v>2370</v>
      </c>
      <c r="C2134" s="96" t="s">
        <v>1040</v>
      </c>
    </row>
    <row r="2135" spans="1:3" ht="15">
      <c r="A2135" s="90" t="s">
        <v>341</v>
      </c>
      <c r="B2135" s="89" t="s">
        <v>2112</v>
      </c>
      <c r="C2135" s="96" t="s">
        <v>1040</v>
      </c>
    </row>
    <row r="2136" spans="1:3" ht="15">
      <c r="A2136" s="90" t="s">
        <v>341</v>
      </c>
      <c r="B2136" s="89" t="s">
        <v>2113</v>
      </c>
      <c r="C2136" s="96" t="s">
        <v>1040</v>
      </c>
    </row>
    <row r="2137" spans="1:3" ht="15">
      <c r="A2137" s="90" t="s">
        <v>333</v>
      </c>
      <c r="B2137" s="89" t="s">
        <v>2369</v>
      </c>
      <c r="C2137" s="96" t="s">
        <v>955</v>
      </c>
    </row>
    <row r="2138" spans="1:3" ht="15">
      <c r="A2138" s="90" t="s">
        <v>333</v>
      </c>
      <c r="B2138" s="89" t="s">
        <v>2370</v>
      </c>
      <c r="C2138" s="96" t="s">
        <v>955</v>
      </c>
    </row>
    <row r="2139" spans="1:3" ht="15">
      <c r="A2139" s="90" t="s">
        <v>333</v>
      </c>
      <c r="B2139" s="89" t="s">
        <v>2150</v>
      </c>
      <c r="C2139" s="96" t="s">
        <v>955</v>
      </c>
    </row>
    <row r="2140" spans="1:3" ht="15">
      <c r="A2140" s="90" t="s">
        <v>333</v>
      </c>
      <c r="B2140" s="89" t="s">
        <v>2151</v>
      </c>
      <c r="C2140" s="96" t="s">
        <v>955</v>
      </c>
    </row>
    <row r="2141" spans="1:3" ht="15">
      <c r="A2141" s="90" t="s">
        <v>333</v>
      </c>
      <c r="B2141" s="89" t="s">
        <v>2152</v>
      </c>
      <c r="C2141" s="96" t="s">
        <v>955</v>
      </c>
    </row>
    <row r="2142" spans="1:3" ht="15">
      <c r="A2142" s="90" t="s">
        <v>333</v>
      </c>
      <c r="B2142" s="89" t="s">
        <v>2391</v>
      </c>
      <c r="C2142" s="96" t="s">
        <v>955</v>
      </c>
    </row>
    <row r="2143" spans="1:3" ht="15">
      <c r="A2143" s="90" t="s">
        <v>333</v>
      </c>
      <c r="B2143" s="89" t="s">
        <v>2392</v>
      </c>
      <c r="C2143" s="96" t="s">
        <v>955</v>
      </c>
    </row>
    <row r="2144" spans="1:3" ht="15">
      <c r="A2144" s="90" t="s">
        <v>333</v>
      </c>
      <c r="B2144" s="89" t="s">
        <v>2393</v>
      </c>
      <c r="C2144" s="96" t="s">
        <v>955</v>
      </c>
    </row>
    <row r="2145" spans="1:3" ht="15">
      <c r="A2145" s="90" t="s">
        <v>333</v>
      </c>
      <c r="B2145" s="89" t="s">
        <v>2149</v>
      </c>
      <c r="C2145" s="96" t="s">
        <v>955</v>
      </c>
    </row>
    <row r="2146" spans="1:3" ht="15">
      <c r="A2146" s="90" t="s">
        <v>333</v>
      </c>
      <c r="B2146" s="89" t="s">
        <v>2153</v>
      </c>
      <c r="C2146" s="96" t="s">
        <v>955</v>
      </c>
    </row>
    <row r="2147" spans="1:3" ht="15">
      <c r="A2147" s="90" t="s">
        <v>333</v>
      </c>
      <c r="B2147" s="89" t="s">
        <v>2361</v>
      </c>
      <c r="C2147" s="96" t="s">
        <v>955</v>
      </c>
    </row>
    <row r="2148" spans="1:3" ht="15">
      <c r="A2148" s="90" t="s">
        <v>333</v>
      </c>
      <c r="B2148" s="89" t="s">
        <v>2394</v>
      </c>
      <c r="C2148" s="96" t="s">
        <v>955</v>
      </c>
    </row>
    <row r="2149" spans="1:3" ht="15">
      <c r="A2149" s="90" t="s">
        <v>333</v>
      </c>
      <c r="B2149" s="89" t="s">
        <v>2148</v>
      </c>
      <c r="C2149" s="96" t="s">
        <v>955</v>
      </c>
    </row>
    <row r="2150" spans="1:3" ht="15">
      <c r="A2150" s="90" t="s">
        <v>333</v>
      </c>
      <c r="B2150" s="89" t="s">
        <v>2395</v>
      </c>
      <c r="C2150" s="96" t="s">
        <v>955</v>
      </c>
    </row>
    <row r="2151" spans="1:3" ht="15">
      <c r="A2151" s="90" t="s">
        <v>333</v>
      </c>
      <c r="B2151" s="89" t="s">
        <v>2154</v>
      </c>
      <c r="C2151" s="96" t="s">
        <v>955</v>
      </c>
    </row>
    <row r="2152" spans="1:3" ht="15">
      <c r="A2152" s="90" t="s">
        <v>333</v>
      </c>
      <c r="B2152" s="89" t="s">
        <v>2155</v>
      </c>
      <c r="C2152" s="96" t="s">
        <v>955</v>
      </c>
    </row>
    <row r="2153" spans="1:3" ht="15">
      <c r="A2153" s="90" t="s">
        <v>297</v>
      </c>
      <c r="B2153" s="89" t="s">
        <v>2369</v>
      </c>
      <c r="C2153" s="96" t="s">
        <v>912</v>
      </c>
    </row>
    <row r="2154" spans="1:3" ht="15">
      <c r="A2154" s="90" t="s">
        <v>297</v>
      </c>
      <c r="B2154" s="89" t="s">
        <v>2370</v>
      </c>
      <c r="C2154" s="96" t="s">
        <v>912</v>
      </c>
    </row>
    <row r="2155" spans="1:3" ht="15">
      <c r="A2155" s="90" t="s">
        <v>297</v>
      </c>
      <c r="B2155" s="89" t="s">
        <v>2112</v>
      </c>
      <c r="C2155" s="96" t="s">
        <v>912</v>
      </c>
    </row>
    <row r="2156" spans="1:3" ht="15">
      <c r="A2156" s="90" t="s">
        <v>297</v>
      </c>
      <c r="B2156" s="89" t="s">
        <v>2113</v>
      </c>
      <c r="C2156" s="96" t="s">
        <v>912</v>
      </c>
    </row>
    <row r="2157" spans="1:3" ht="15">
      <c r="A2157" s="90" t="s">
        <v>296</v>
      </c>
      <c r="B2157" s="89" t="s">
        <v>2742</v>
      </c>
      <c r="C2157" s="96" t="s">
        <v>911</v>
      </c>
    </row>
    <row r="2158" spans="1:3" ht="15">
      <c r="A2158" s="90" t="s">
        <v>296</v>
      </c>
      <c r="B2158" s="89" t="s">
        <v>2369</v>
      </c>
      <c r="C2158" s="96" t="s">
        <v>911</v>
      </c>
    </row>
    <row r="2159" spans="1:3" ht="15">
      <c r="A2159" s="90" t="s">
        <v>296</v>
      </c>
      <c r="B2159" s="89" t="s">
        <v>2370</v>
      </c>
      <c r="C2159" s="96" t="s">
        <v>911</v>
      </c>
    </row>
    <row r="2160" spans="1:3" ht="15">
      <c r="A2160" s="90" t="s">
        <v>296</v>
      </c>
      <c r="B2160" s="89" t="s">
        <v>2743</v>
      </c>
      <c r="C2160" s="96" t="s">
        <v>911</v>
      </c>
    </row>
    <row r="2161" spans="1:3" ht="15">
      <c r="A2161" s="90" t="s">
        <v>296</v>
      </c>
      <c r="B2161" s="89" t="s">
        <v>2364</v>
      </c>
      <c r="C2161" s="96" t="s">
        <v>911</v>
      </c>
    </row>
    <row r="2162" spans="1:3" ht="15">
      <c r="A2162" s="90" t="s">
        <v>296</v>
      </c>
      <c r="B2162" s="89" t="s">
        <v>2744</v>
      </c>
      <c r="C2162" s="96" t="s">
        <v>911</v>
      </c>
    </row>
    <row r="2163" spans="1:3" ht="15">
      <c r="A2163" s="90" t="s">
        <v>296</v>
      </c>
      <c r="B2163" s="89" t="s">
        <v>2376</v>
      </c>
      <c r="C2163" s="96" t="s">
        <v>911</v>
      </c>
    </row>
    <row r="2164" spans="1:3" ht="15">
      <c r="A2164" s="90" t="s">
        <v>296</v>
      </c>
      <c r="B2164" s="89" t="s">
        <v>2745</v>
      </c>
      <c r="C2164" s="96" t="s">
        <v>911</v>
      </c>
    </row>
    <row r="2165" spans="1:3" ht="15">
      <c r="A2165" s="90" t="s">
        <v>296</v>
      </c>
      <c r="B2165" s="89" t="s">
        <v>2746</v>
      </c>
      <c r="C2165" s="96" t="s">
        <v>911</v>
      </c>
    </row>
    <row r="2166" spans="1:3" ht="15">
      <c r="A2166" s="90" t="s">
        <v>296</v>
      </c>
      <c r="B2166" s="89" t="s">
        <v>2293</v>
      </c>
      <c r="C2166" s="96" t="s">
        <v>911</v>
      </c>
    </row>
    <row r="2167" spans="1:3" ht="15">
      <c r="A2167" s="90" t="s">
        <v>296</v>
      </c>
      <c r="B2167" s="89" t="s">
        <v>2747</v>
      </c>
      <c r="C2167" s="96" t="s">
        <v>911</v>
      </c>
    </row>
    <row r="2168" spans="1:3" ht="15">
      <c r="A2168" s="90" t="s">
        <v>296</v>
      </c>
      <c r="B2168" s="89" t="s">
        <v>2294</v>
      </c>
      <c r="C2168" s="96" t="s">
        <v>911</v>
      </c>
    </row>
    <row r="2169" spans="1:3" ht="15">
      <c r="A2169" s="90" t="s">
        <v>296</v>
      </c>
      <c r="B2169" s="89" t="s">
        <v>2501</v>
      </c>
      <c r="C2169" s="96" t="s">
        <v>911</v>
      </c>
    </row>
    <row r="2170" spans="1:3" ht="15">
      <c r="A2170" s="90" t="s">
        <v>295</v>
      </c>
      <c r="B2170" s="89" t="s">
        <v>2369</v>
      </c>
      <c r="C2170" s="96" t="s">
        <v>910</v>
      </c>
    </row>
    <row r="2171" spans="1:3" ht="15">
      <c r="A2171" s="90" t="s">
        <v>295</v>
      </c>
      <c r="B2171" s="89" t="s">
        <v>2370</v>
      </c>
      <c r="C2171" s="96" t="s">
        <v>910</v>
      </c>
    </row>
    <row r="2172" spans="1:3" ht="15">
      <c r="A2172" s="90" t="s">
        <v>295</v>
      </c>
      <c r="B2172" s="89" t="s">
        <v>2748</v>
      </c>
      <c r="C2172" s="96" t="s">
        <v>910</v>
      </c>
    </row>
    <row r="2173" spans="1:3" ht="15">
      <c r="A2173" s="90" t="s">
        <v>295</v>
      </c>
      <c r="B2173" s="89" t="s">
        <v>2749</v>
      </c>
      <c r="C2173" s="96" t="s">
        <v>910</v>
      </c>
    </row>
    <row r="2174" spans="1:3" ht="15">
      <c r="A2174" s="90" t="s">
        <v>295</v>
      </c>
      <c r="B2174" s="89" t="s">
        <v>2750</v>
      </c>
      <c r="C2174" s="96" t="s">
        <v>910</v>
      </c>
    </row>
    <row r="2175" spans="1:3" ht="15">
      <c r="A2175" s="90" t="s">
        <v>295</v>
      </c>
      <c r="B2175" s="89" t="s">
        <v>2751</v>
      </c>
      <c r="C2175" s="96" t="s">
        <v>910</v>
      </c>
    </row>
    <row r="2176" spans="1:3" ht="15">
      <c r="A2176" s="90" t="s">
        <v>295</v>
      </c>
      <c r="B2176" s="89" t="s">
        <v>2752</v>
      </c>
      <c r="C2176" s="96" t="s">
        <v>910</v>
      </c>
    </row>
    <row r="2177" spans="1:3" ht="15">
      <c r="A2177" s="90" t="s">
        <v>295</v>
      </c>
      <c r="B2177" s="89" t="s">
        <v>2753</v>
      </c>
      <c r="C2177" s="96" t="s">
        <v>910</v>
      </c>
    </row>
    <row r="2178" spans="1:3" ht="15">
      <c r="A2178" s="90" t="s">
        <v>295</v>
      </c>
      <c r="B2178" s="89" t="s">
        <v>2754</v>
      </c>
      <c r="C2178" s="96" t="s">
        <v>910</v>
      </c>
    </row>
    <row r="2179" spans="1:3" ht="15">
      <c r="A2179" s="90" t="s">
        <v>295</v>
      </c>
      <c r="B2179" s="89" t="s">
        <v>2369</v>
      </c>
      <c r="C2179" s="96" t="s">
        <v>909</v>
      </c>
    </row>
    <row r="2180" spans="1:3" ht="15">
      <c r="A2180" s="90" t="s">
        <v>295</v>
      </c>
      <c r="B2180" s="89" t="s">
        <v>2370</v>
      </c>
      <c r="C2180" s="96" t="s">
        <v>909</v>
      </c>
    </row>
    <row r="2181" spans="1:3" ht="15">
      <c r="A2181" s="90" t="s">
        <v>295</v>
      </c>
      <c r="B2181" s="89" t="s">
        <v>2298</v>
      </c>
      <c r="C2181" s="96" t="s">
        <v>909</v>
      </c>
    </row>
    <row r="2182" spans="1:3" ht="15">
      <c r="A2182" s="90" t="s">
        <v>295</v>
      </c>
      <c r="B2182" s="89" t="s">
        <v>2186</v>
      </c>
      <c r="C2182" s="96" t="s">
        <v>909</v>
      </c>
    </row>
    <row r="2183" spans="1:3" ht="15">
      <c r="A2183" s="90" t="s">
        <v>295</v>
      </c>
      <c r="B2183" s="89" t="s">
        <v>2299</v>
      </c>
      <c r="C2183" s="96" t="s">
        <v>909</v>
      </c>
    </row>
    <row r="2184" spans="1:3" ht="15">
      <c r="A2184" s="90" t="s">
        <v>295</v>
      </c>
      <c r="B2184" s="89" t="s">
        <v>2185</v>
      </c>
      <c r="C2184" s="96" t="s">
        <v>909</v>
      </c>
    </row>
    <row r="2185" spans="1:3" ht="15">
      <c r="A2185" s="90" t="s">
        <v>295</v>
      </c>
      <c r="B2185" s="89" t="s">
        <v>2300</v>
      </c>
      <c r="C2185" s="96" t="s">
        <v>909</v>
      </c>
    </row>
    <row r="2186" spans="1:3" ht="15">
      <c r="A2186" s="90" t="s">
        <v>295</v>
      </c>
      <c r="B2186" s="89" t="s">
        <v>2301</v>
      </c>
      <c r="C2186" s="96" t="s">
        <v>909</v>
      </c>
    </row>
    <row r="2187" spans="1:3" ht="15">
      <c r="A2187" s="90" t="s">
        <v>295</v>
      </c>
      <c r="B2187" s="89" t="s">
        <v>2752</v>
      </c>
      <c r="C2187" s="96" t="s">
        <v>909</v>
      </c>
    </row>
    <row r="2188" spans="1:3" ht="15">
      <c r="A2188" s="90" t="s">
        <v>295</v>
      </c>
      <c r="B2188" s="89" t="s">
        <v>2753</v>
      </c>
      <c r="C2188" s="96" t="s">
        <v>909</v>
      </c>
    </row>
    <row r="2189" spans="1:3" ht="15">
      <c r="A2189" s="90" t="s">
        <v>295</v>
      </c>
      <c r="B2189" s="89" t="s">
        <v>2754</v>
      </c>
      <c r="C2189" s="96" t="s">
        <v>909</v>
      </c>
    </row>
    <row r="2190" spans="1:3" ht="15">
      <c r="A2190" s="90" t="s">
        <v>294</v>
      </c>
      <c r="B2190" s="89" t="s">
        <v>2670</v>
      </c>
      <c r="C2190" s="96" t="s">
        <v>908</v>
      </c>
    </row>
    <row r="2191" spans="1:3" ht="15">
      <c r="A2191" s="90" t="s">
        <v>294</v>
      </c>
      <c r="B2191" s="89" t="s">
        <v>2755</v>
      </c>
      <c r="C2191" s="96" t="s">
        <v>908</v>
      </c>
    </row>
    <row r="2192" spans="1:3" ht="15">
      <c r="A2192" s="90" t="s">
        <v>294</v>
      </c>
      <c r="B2192" s="89" t="s">
        <v>2369</v>
      </c>
      <c r="C2192" s="96" t="s">
        <v>908</v>
      </c>
    </row>
    <row r="2193" spans="1:3" ht="15">
      <c r="A2193" s="90" t="s">
        <v>294</v>
      </c>
      <c r="B2193" s="89" t="s">
        <v>2370</v>
      </c>
      <c r="C2193" s="96" t="s">
        <v>908</v>
      </c>
    </row>
    <row r="2194" spans="1:3" ht="15">
      <c r="A2194" s="90" t="s">
        <v>294</v>
      </c>
      <c r="B2194" s="89" t="s">
        <v>2756</v>
      </c>
      <c r="C2194" s="96" t="s">
        <v>908</v>
      </c>
    </row>
    <row r="2195" spans="1:3" ht="15">
      <c r="A2195" s="90" t="s">
        <v>294</v>
      </c>
      <c r="B2195" s="89" t="s">
        <v>2757</v>
      </c>
      <c r="C2195" s="96" t="s">
        <v>908</v>
      </c>
    </row>
    <row r="2196" spans="1:3" ht="15">
      <c r="A2196" s="90" t="s">
        <v>294</v>
      </c>
      <c r="B2196" s="89" t="s">
        <v>2186</v>
      </c>
      <c r="C2196" s="96" t="s">
        <v>908</v>
      </c>
    </row>
    <row r="2197" spans="1:3" ht="15">
      <c r="A2197" s="90" t="s">
        <v>294</v>
      </c>
      <c r="B2197" s="89" t="s">
        <v>2758</v>
      </c>
      <c r="C2197" s="96" t="s">
        <v>908</v>
      </c>
    </row>
    <row r="2198" spans="1:3" ht="15">
      <c r="A2198" s="90" t="s">
        <v>294</v>
      </c>
      <c r="B2198" s="89" t="s">
        <v>2759</v>
      </c>
      <c r="C2198" s="96" t="s">
        <v>908</v>
      </c>
    </row>
    <row r="2199" spans="1:3" ht="15">
      <c r="A2199" s="90" t="s">
        <v>294</v>
      </c>
      <c r="B2199" s="89" t="s">
        <v>2760</v>
      </c>
      <c r="C2199" s="96" t="s">
        <v>908</v>
      </c>
    </row>
    <row r="2200" spans="1:3" ht="15">
      <c r="A2200" s="90" t="s">
        <v>294</v>
      </c>
      <c r="B2200" s="89" t="s">
        <v>2372</v>
      </c>
      <c r="C2200" s="96" t="s">
        <v>908</v>
      </c>
    </row>
    <row r="2201" spans="1:3" ht="15">
      <c r="A2201" s="90" t="s">
        <v>294</v>
      </c>
      <c r="B2201" s="89" t="s">
        <v>2761</v>
      </c>
      <c r="C2201" s="96" t="s">
        <v>908</v>
      </c>
    </row>
    <row r="2202" spans="1:3" ht="15">
      <c r="A2202" s="90" t="s">
        <v>294</v>
      </c>
      <c r="B2202" s="89" t="s">
        <v>2762</v>
      </c>
      <c r="C2202" s="96" t="s">
        <v>908</v>
      </c>
    </row>
    <row r="2203" spans="1:3" ht="15">
      <c r="A2203" s="90" t="s">
        <v>294</v>
      </c>
      <c r="B2203" s="89" t="s">
        <v>2763</v>
      </c>
      <c r="C2203" s="96" t="s">
        <v>908</v>
      </c>
    </row>
    <row r="2204" spans="1:3" ht="15">
      <c r="A2204" s="90" t="s">
        <v>294</v>
      </c>
      <c r="B2204" s="89" t="s">
        <v>2764</v>
      </c>
      <c r="C2204" s="96" t="s">
        <v>908</v>
      </c>
    </row>
    <row r="2205" spans="1:3" ht="15">
      <c r="A2205" s="90" t="s">
        <v>294</v>
      </c>
      <c r="B2205" s="89" t="s">
        <v>2765</v>
      </c>
      <c r="C2205" s="96" t="s">
        <v>908</v>
      </c>
    </row>
    <row r="2206" spans="1:3" ht="15">
      <c r="A2206" s="90" t="s">
        <v>294</v>
      </c>
      <c r="B2206" s="89" t="s">
        <v>2522</v>
      </c>
      <c r="C2206" s="96" t="s">
        <v>908</v>
      </c>
    </row>
    <row r="2207" spans="1:3" ht="15">
      <c r="A2207" s="90" t="s">
        <v>294</v>
      </c>
      <c r="B2207" s="89" t="s">
        <v>2766</v>
      </c>
      <c r="C2207" s="96" t="s">
        <v>908</v>
      </c>
    </row>
    <row r="2208" spans="1:3" ht="15">
      <c r="A2208" s="90" t="s">
        <v>294</v>
      </c>
      <c r="B2208" s="89" t="s">
        <v>2767</v>
      </c>
      <c r="C2208" s="96" t="s">
        <v>908</v>
      </c>
    </row>
    <row r="2209" spans="1:3" ht="15">
      <c r="A2209" s="90" t="s">
        <v>294</v>
      </c>
      <c r="B2209" s="89" t="s">
        <v>2635</v>
      </c>
      <c r="C2209" s="96" t="s">
        <v>908</v>
      </c>
    </row>
    <row r="2210" spans="1:3" ht="15">
      <c r="A2210" s="90" t="s">
        <v>294</v>
      </c>
      <c r="B2210" s="89" t="s">
        <v>2212</v>
      </c>
      <c r="C2210" s="96" t="s">
        <v>908</v>
      </c>
    </row>
    <row r="2211" spans="1:3" ht="15">
      <c r="A2211" s="90" t="s">
        <v>293</v>
      </c>
      <c r="B2211" s="89" t="s">
        <v>2768</v>
      </c>
      <c r="C2211" s="96" t="s">
        <v>907</v>
      </c>
    </row>
    <row r="2212" spans="1:3" ht="15">
      <c r="A2212" s="90" t="s">
        <v>293</v>
      </c>
      <c r="B2212" s="89" t="s">
        <v>2769</v>
      </c>
      <c r="C2212" s="96" t="s">
        <v>907</v>
      </c>
    </row>
    <row r="2213" spans="1:3" ht="15">
      <c r="A2213" s="90" t="s">
        <v>293</v>
      </c>
      <c r="B2213" s="89" t="s">
        <v>2369</v>
      </c>
      <c r="C2213" s="96" t="s">
        <v>907</v>
      </c>
    </row>
    <row r="2214" spans="1:3" ht="15">
      <c r="A2214" s="90" t="s">
        <v>293</v>
      </c>
      <c r="B2214" s="89" t="s">
        <v>2107</v>
      </c>
      <c r="C2214" s="96" t="s">
        <v>907</v>
      </c>
    </row>
    <row r="2215" spans="1:3" ht="15">
      <c r="A2215" s="90" t="s">
        <v>292</v>
      </c>
      <c r="B2215" s="89" t="s">
        <v>2770</v>
      </c>
      <c r="C2215" s="96" t="s">
        <v>906</v>
      </c>
    </row>
    <row r="2216" spans="1:3" ht="15">
      <c r="A2216" s="90" t="s">
        <v>292</v>
      </c>
      <c r="B2216" s="89" t="s">
        <v>2385</v>
      </c>
      <c r="C2216" s="96" t="s">
        <v>906</v>
      </c>
    </row>
    <row r="2217" spans="1:3" ht="15">
      <c r="A2217" s="90" t="s">
        <v>292</v>
      </c>
      <c r="B2217" s="89" t="s">
        <v>2369</v>
      </c>
      <c r="C2217" s="96" t="s">
        <v>906</v>
      </c>
    </row>
    <row r="2218" spans="1:3" ht="15">
      <c r="A2218" s="90" t="s">
        <v>292</v>
      </c>
      <c r="B2218" s="89" t="s">
        <v>2370</v>
      </c>
      <c r="C2218" s="96" t="s">
        <v>906</v>
      </c>
    </row>
    <row r="2219" spans="1:3" ht="15">
      <c r="A2219" s="90" t="s">
        <v>292</v>
      </c>
      <c r="B2219" s="89" t="s">
        <v>2771</v>
      </c>
      <c r="C2219" s="96" t="s">
        <v>906</v>
      </c>
    </row>
    <row r="2220" spans="1:3" ht="15">
      <c r="A2220" s="90" t="s">
        <v>292</v>
      </c>
      <c r="B2220" s="89" t="s">
        <v>2772</v>
      </c>
      <c r="C2220" s="96" t="s">
        <v>906</v>
      </c>
    </row>
    <row r="2221" spans="1:3" ht="15">
      <c r="A2221" s="90" t="s">
        <v>292</v>
      </c>
      <c r="B2221" s="89" t="s">
        <v>2773</v>
      </c>
      <c r="C2221" s="96" t="s">
        <v>906</v>
      </c>
    </row>
    <row r="2222" spans="1:3" ht="15">
      <c r="A2222" s="90" t="s">
        <v>292</v>
      </c>
      <c r="B2222" s="89" t="s">
        <v>2213</v>
      </c>
      <c r="C2222" s="96" t="s">
        <v>906</v>
      </c>
    </row>
    <row r="2223" spans="1:3" ht="15">
      <c r="A2223" s="90" t="s">
        <v>292</v>
      </c>
      <c r="B2223" s="89" t="s">
        <v>564</v>
      </c>
      <c r="C2223" s="96" t="s">
        <v>906</v>
      </c>
    </row>
    <row r="2224" spans="1:3" ht="15">
      <c r="A2224" s="90" t="s">
        <v>292</v>
      </c>
      <c r="B2224" s="89" t="s">
        <v>560</v>
      </c>
      <c r="C2224" s="96" t="s">
        <v>906</v>
      </c>
    </row>
    <row r="2225" spans="1:3" ht="15">
      <c r="A2225" s="90" t="s">
        <v>292</v>
      </c>
      <c r="B2225" s="89" t="s">
        <v>2774</v>
      </c>
      <c r="C2225" s="96" t="s">
        <v>906</v>
      </c>
    </row>
    <row r="2226" spans="1:3" ht="15">
      <c r="A2226" s="90" t="s">
        <v>292</v>
      </c>
      <c r="B2226" s="89" t="s">
        <v>2775</v>
      </c>
      <c r="C2226" s="96" t="s">
        <v>906</v>
      </c>
    </row>
    <row r="2227" spans="1:3" ht="15">
      <c r="A2227" s="90" t="s">
        <v>291</v>
      </c>
      <c r="B2227" s="89" t="s">
        <v>2369</v>
      </c>
      <c r="C2227" s="96" t="s">
        <v>905</v>
      </c>
    </row>
    <row r="2228" spans="1:3" ht="15">
      <c r="A2228" s="90" t="s">
        <v>291</v>
      </c>
      <c r="B2228" s="89" t="s">
        <v>2370</v>
      </c>
      <c r="C2228" s="96" t="s">
        <v>905</v>
      </c>
    </row>
    <row r="2229" spans="1:3" ht="15">
      <c r="A2229" s="90" t="s">
        <v>291</v>
      </c>
      <c r="B2229" s="89" t="s">
        <v>2298</v>
      </c>
      <c r="C2229" s="96" t="s">
        <v>905</v>
      </c>
    </row>
    <row r="2230" spans="1:3" ht="15">
      <c r="A2230" s="90" t="s">
        <v>291</v>
      </c>
      <c r="B2230" s="89" t="s">
        <v>2186</v>
      </c>
      <c r="C2230" s="96" t="s">
        <v>905</v>
      </c>
    </row>
    <row r="2231" spans="1:3" ht="15">
      <c r="A2231" s="90" t="s">
        <v>291</v>
      </c>
      <c r="B2231" s="89" t="s">
        <v>2299</v>
      </c>
      <c r="C2231" s="96" t="s">
        <v>905</v>
      </c>
    </row>
    <row r="2232" spans="1:3" ht="15">
      <c r="A2232" s="90" t="s">
        <v>291</v>
      </c>
      <c r="B2232" s="89" t="s">
        <v>2185</v>
      </c>
      <c r="C2232" s="96" t="s">
        <v>905</v>
      </c>
    </row>
    <row r="2233" spans="1:3" ht="15">
      <c r="A2233" s="90" t="s">
        <v>291</v>
      </c>
      <c r="B2233" s="89" t="s">
        <v>2300</v>
      </c>
      <c r="C2233" s="96" t="s">
        <v>905</v>
      </c>
    </row>
    <row r="2234" spans="1:3" ht="15">
      <c r="A2234" s="90" t="s">
        <v>291</v>
      </c>
      <c r="B2234" s="89" t="s">
        <v>2301</v>
      </c>
      <c r="C2234" s="96" t="s">
        <v>905</v>
      </c>
    </row>
    <row r="2235" spans="1:3" ht="15">
      <c r="A2235" s="90" t="s">
        <v>369</v>
      </c>
      <c r="B2235" s="89" t="s">
        <v>2770</v>
      </c>
      <c r="C2235" s="96" t="s">
        <v>1003</v>
      </c>
    </row>
    <row r="2236" spans="1:3" ht="15">
      <c r="A2236" s="90" t="s">
        <v>369</v>
      </c>
      <c r="B2236" s="89" t="s">
        <v>2385</v>
      </c>
      <c r="C2236" s="96" t="s">
        <v>1003</v>
      </c>
    </row>
    <row r="2237" spans="1:3" ht="15">
      <c r="A2237" s="90" t="s">
        <v>369</v>
      </c>
      <c r="B2237" s="89" t="s">
        <v>2369</v>
      </c>
      <c r="C2237" s="96" t="s">
        <v>1003</v>
      </c>
    </row>
    <row r="2238" spans="1:3" ht="15">
      <c r="A2238" s="90" t="s">
        <v>369</v>
      </c>
      <c r="B2238" s="89" t="s">
        <v>2370</v>
      </c>
      <c r="C2238" s="96" t="s">
        <v>1003</v>
      </c>
    </row>
    <row r="2239" spans="1:3" ht="15">
      <c r="A2239" s="90" t="s">
        <v>369</v>
      </c>
      <c r="B2239" s="89" t="s">
        <v>2771</v>
      </c>
      <c r="C2239" s="96" t="s">
        <v>1003</v>
      </c>
    </row>
    <row r="2240" spans="1:3" ht="15">
      <c r="A2240" s="90" t="s">
        <v>369</v>
      </c>
      <c r="B2240" s="89" t="s">
        <v>2772</v>
      </c>
      <c r="C2240" s="96" t="s">
        <v>1003</v>
      </c>
    </row>
    <row r="2241" spans="1:3" ht="15">
      <c r="A2241" s="90" t="s">
        <v>369</v>
      </c>
      <c r="B2241" s="89" t="s">
        <v>2773</v>
      </c>
      <c r="C2241" s="96" t="s">
        <v>1003</v>
      </c>
    </row>
    <row r="2242" spans="1:3" ht="15">
      <c r="A2242" s="90" t="s">
        <v>369</v>
      </c>
      <c r="B2242" s="89" t="s">
        <v>2213</v>
      </c>
      <c r="C2242" s="96" t="s">
        <v>1003</v>
      </c>
    </row>
    <row r="2243" spans="1:3" ht="15">
      <c r="A2243" s="90" t="s">
        <v>369</v>
      </c>
      <c r="B2243" s="89" t="s">
        <v>564</v>
      </c>
      <c r="C2243" s="96" t="s">
        <v>1003</v>
      </c>
    </row>
    <row r="2244" spans="1:3" ht="15">
      <c r="A2244" s="90" t="s">
        <v>369</v>
      </c>
      <c r="B2244" s="89" t="s">
        <v>560</v>
      </c>
      <c r="C2244" s="96" t="s">
        <v>1003</v>
      </c>
    </row>
    <row r="2245" spans="1:3" ht="15">
      <c r="A2245" s="90" t="s">
        <v>369</v>
      </c>
      <c r="B2245" s="89" t="s">
        <v>2774</v>
      </c>
      <c r="C2245" s="96" t="s">
        <v>1003</v>
      </c>
    </row>
    <row r="2246" spans="1:3" ht="15">
      <c r="A2246" s="90" t="s">
        <v>369</v>
      </c>
      <c r="B2246" s="89" t="s">
        <v>2775</v>
      </c>
      <c r="C2246" s="96" t="s">
        <v>1003</v>
      </c>
    </row>
    <row r="2247" spans="1:3" ht="15">
      <c r="A2247" s="90" t="s">
        <v>290</v>
      </c>
      <c r="B2247" s="89" t="s">
        <v>2770</v>
      </c>
      <c r="C2247" s="96" t="s">
        <v>904</v>
      </c>
    </row>
    <row r="2248" spans="1:3" ht="15">
      <c r="A2248" s="90" t="s">
        <v>290</v>
      </c>
      <c r="B2248" s="89" t="s">
        <v>2385</v>
      </c>
      <c r="C2248" s="96" t="s">
        <v>904</v>
      </c>
    </row>
    <row r="2249" spans="1:3" ht="15">
      <c r="A2249" s="90" t="s">
        <v>290</v>
      </c>
      <c r="B2249" s="89" t="s">
        <v>2369</v>
      </c>
      <c r="C2249" s="96" t="s">
        <v>904</v>
      </c>
    </row>
    <row r="2250" spans="1:3" ht="15">
      <c r="A2250" s="90" t="s">
        <v>290</v>
      </c>
      <c r="B2250" s="89" t="s">
        <v>2370</v>
      </c>
      <c r="C2250" s="96" t="s">
        <v>904</v>
      </c>
    </row>
    <row r="2251" spans="1:3" ht="15">
      <c r="A2251" s="90" t="s">
        <v>290</v>
      </c>
      <c r="B2251" s="89" t="s">
        <v>2771</v>
      </c>
      <c r="C2251" s="96" t="s">
        <v>904</v>
      </c>
    </row>
    <row r="2252" spans="1:3" ht="15">
      <c r="A2252" s="90" t="s">
        <v>290</v>
      </c>
      <c r="B2252" s="89" t="s">
        <v>2772</v>
      </c>
      <c r="C2252" s="96" t="s">
        <v>904</v>
      </c>
    </row>
    <row r="2253" spans="1:3" ht="15">
      <c r="A2253" s="90" t="s">
        <v>290</v>
      </c>
      <c r="B2253" s="89" t="s">
        <v>2773</v>
      </c>
      <c r="C2253" s="96" t="s">
        <v>904</v>
      </c>
    </row>
    <row r="2254" spans="1:3" ht="15">
      <c r="A2254" s="90" t="s">
        <v>290</v>
      </c>
      <c r="B2254" s="89" t="s">
        <v>2213</v>
      </c>
      <c r="C2254" s="96" t="s">
        <v>904</v>
      </c>
    </row>
    <row r="2255" spans="1:3" ht="15">
      <c r="A2255" s="90" t="s">
        <v>290</v>
      </c>
      <c r="B2255" s="89" t="s">
        <v>564</v>
      </c>
      <c r="C2255" s="96" t="s">
        <v>904</v>
      </c>
    </row>
    <row r="2256" spans="1:3" ht="15">
      <c r="A2256" s="90" t="s">
        <v>290</v>
      </c>
      <c r="B2256" s="89" t="s">
        <v>560</v>
      </c>
      <c r="C2256" s="96" t="s">
        <v>904</v>
      </c>
    </row>
    <row r="2257" spans="1:3" ht="15">
      <c r="A2257" s="90" t="s">
        <v>290</v>
      </c>
      <c r="B2257" s="89" t="s">
        <v>2774</v>
      </c>
      <c r="C2257" s="96" t="s">
        <v>904</v>
      </c>
    </row>
    <row r="2258" spans="1:3" ht="15">
      <c r="A2258" s="90" t="s">
        <v>290</v>
      </c>
      <c r="B2258" s="89" t="s">
        <v>2775</v>
      </c>
      <c r="C2258" s="96" t="s">
        <v>904</v>
      </c>
    </row>
    <row r="2259" spans="1:3" ht="15">
      <c r="A2259" s="90" t="s">
        <v>290</v>
      </c>
      <c r="B2259" s="89" t="s">
        <v>2369</v>
      </c>
      <c r="C2259" s="96" t="s">
        <v>903</v>
      </c>
    </row>
    <row r="2260" spans="1:3" ht="15">
      <c r="A2260" s="90" t="s">
        <v>290</v>
      </c>
      <c r="B2260" s="89" t="s">
        <v>2370</v>
      </c>
      <c r="C2260" s="96" t="s">
        <v>903</v>
      </c>
    </row>
    <row r="2261" spans="1:3" ht="15">
      <c r="A2261" s="90" t="s">
        <v>290</v>
      </c>
      <c r="B2261" s="89" t="s">
        <v>2399</v>
      </c>
      <c r="C2261" s="96" t="s">
        <v>903</v>
      </c>
    </row>
    <row r="2262" spans="1:3" ht="15">
      <c r="A2262" s="90" t="s">
        <v>290</v>
      </c>
      <c r="B2262" s="89" t="s">
        <v>2110</v>
      </c>
      <c r="C2262" s="96" t="s">
        <v>903</v>
      </c>
    </row>
    <row r="2263" spans="1:3" ht="15">
      <c r="A2263" s="90" t="s">
        <v>290</v>
      </c>
      <c r="B2263" s="89" t="s">
        <v>2125</v>
      </c>
      <c r="C2263" s="96" t="s">
        <v>903</v>
      </c>
    </row>
    <row r="2264" spans="1:3" ht="15">
      <c r="A2264" s="90" t="s">
        <v>290</v>
      </c>
      <c r="B2264" s="89" t="s">
        <v>2400</v>
      </c>
      <c r="C2264" s="96" t="s">
        <v>903</v>
      </c>
    </row>
    <row r="2265" spans="1:3" ht="15">
      <c r="A2265" s="90" t="s">
        <v>290</v>
      </c>
      <c r="B2265" s="89" t="s">
        <v>2127</v>
      </c>
      <c r="C2265" s="96" t="s">
        <v>903</v>
      </c>
    </row>
    <row r="2266" spans="1:3" ht="15">
      <c r="A2266" s="90" t="s">
        <v>290</v>
      </c>
      <c r="B2266" s="89" t="s">
        <v>2401</v>
      </c>
      <c r="C2266" s="96" t="s">
        <v>903</v>
      </c>
    </row>
    <row r="2267" spans="1:3" ht="15">
      <c r="A2267" s="90" t="s">
        <v>290</v>
      </c>
      <c r="B2267" s="89" t="s">
        <v>2402</v>
      </c>
      <c r="C2267" s="96" t="s">
        <v>903</v>
      </c>
    </row>
    <row r="2268" spans="1:3" ht="15">
      <c r="A2268" s="90" t="s">
        <v>290</v>
      </c>
      <c r="B2268" s="89" t="s">
        <v>2403</v>
      </c>
      <c r="C2268" s="96" t="s">
        <v>903</v>
      </c>
    </row>
    <row r="2269" spans="1:3" ht="15">
      <c r="A2269" s="90" t="s">
        <v>290</v>
      </c>
      <c r="B2269" s="89" t="s">
        <v>2404</v>
      </c>
      <c r="C2269" s="96" t="s">
        <v>903</v>
      </c>
    </row>
    <row r="2270" spans="1:3" ht="15">
      <c r="A2270" s="90" t="s">
        <v>290</v>
      </c>
      <c r="B2270" s="89" t="s">
        <v>2115</v>
      </c>
      <c r="C2270" s="96" t="s">
        <v>903</v>
      </c>
    </row>
    <row r="2271" spans="1:3" ht="15">
      <c r="A2271" s="90" t="s">
        <v>290</v>
      </c>
      <c r="B2271" s="89" t="s">
        <v>2116</v>
      </c>
      <c r="C2271" s="96" t="s">
        <v>903</v>
      </c>
    </row>
    <row r="2272" spans="1:3" ht="15">
      <c r="A2272" s="90" t="s">
        <v>290</v>
      </c>
      <c r="B2272" s="89" t="s">
        <v>2117</v>
      </c>
      <c r="C2272" s="96" t="s">
        <v>903</v>
      </c>
    </row>
    <row r="2273" spans="1:3" ht="15">
      <c r="A2273" s="90" t="s">
        <v>290</v>
      </c>
      <c r="B2273" s="89" t="s">
        <v>2118</v>
      </c>
      <c r="C2273" s="96" t="s">
        <v>903</v>
      </c>
    </row>
    <row r="2274" spans="1:3" ht="15">
      <c r="A2274" s="90" t="s">
        <v>290</v>
      </c>
      <c r="B2274" s="89" t="s">
        <v>2119</v>
      </c>
      <c r="C2274" s="96" t="s">
        <v>903</v>
      </c>
    </row>
    <row r="2275" spans="1:3" ht="15">
      <c r="A2275" s="90" t="s">
        <v>290</v>
      </c>
      <c r="B2275" s="89" t="s">
        <v>2129</v>
      </c>
      <c r="C2275" s="96" t="s">
        <v>903</v>
      </c>
    </row>
    <row r="2276" spans="1:3" ht="15">
      <c r="A2276" s="90" t="s">
        <v>290</v>
      </c>
      <c r="B2276" s="89" t="s">
        <v>2120</v>
      </c>
      <c r="C2276" s="96" t="s">
        <v>903</v>
      </c>
    </row>
    <row r="2277" spans="1:3" ht="15">
      <c r="A2277" s="90" t="s">
        <v>290</v>
      </c>
      <c r="B2277" s="89" t="s">
        <v>2121</v>
      </c>
      <c r="C2277" s="96" t="s">
        <v>903</v>
      </c>
    </row>
    <row r="2278" spans="1:3" ht="15">
      <c r="A2278" s="90" t="s">
        <v>290</v>
      </c>
      <c r="B2278" s="89" t="s">
        <v>2122</v>
      </c>
      <c r="C2278" s="96" t="s">
        <v>903</v>
      </c>
    </row>
    <row r="2279" spans="1:3" ht="15">
      <c r="A2279" s="90" t="s">
        <v>290</v>
      </c>
      <c r="B2279" s="89" t="s">
        <v>2130</v>
      </c>
      <c r="C2279" s="96" t="s">
        <v>903</v>
      </c>
    </row>
    <row r="2280" spans="1:3" ht="15">
      <c r="A2280" s="90" t="s">
        <v>290</v>
      </c>
      <c r="B2280" s="89" t="s">
        <v>2131</v>
      </c>
      <c r="C2280" s="96" t="s">
        <v>903</v>
      </c>
    </row>
    <row r="2281" spans="1:3" ht="15">
      <c r="A2281" s="90" t="s">
        <v>290</v>
      </c>
      <c r="B2281" s="89" t="s">
        <v>2123</v>
      </c>
      <c r="C2281" s="96" t="s">
        <v>903</v>
      </c>
    </row>
    <row r="2282" spans="1:3" ht="15">
      <c r="A2282" s="90" t="s">
        <v>290</v>
      </c>
      <c r="B2282" s="89" t="s">
        <v>2114</v>
      </c>
      <c r="C2282" s="96" t="s">
        <v>903</v>
      </c>
    </row>
    <row r="2283" spans="1:3" ht="15">
      <c r="A2283" s="90" t="s">
        <v>289</v>
      </c>
      <c r="B2283" s="89" t="s">
        <v>416</v>
      </c>
      <c r="C2283" s="96" t="s">
        <v>902</v>
      </c>
    </row>
    <row r="2284" spans="1:3" ht="15">
      <c r="A2284" s="90" t="s">
        <v>289</v>
      </c>
      <c r="B2284" s="89" t="s">
        <v>2566</v>
      </c>
      <c r="C2284" s="96" t="s">
        <v>902</v>
      </c>
    </row>
    <row r="2285" spans="1:3" ht="15">
      <c r="A2285" s="90" t="s">
        <v>289</v>
      </c>
      <c r="B2285" s="89" t="s">
        <v>2776</v>
      </c>
      <c r="C2285" s="96" t="s">
        <v>902</v>
      </c>
    </row>
    <row r="2286" spans="1:3" ht="15">
      <c r="A2286" s="90" t="s">
        <v>289</v>
      </c>
      <c r="B2286" s="89" t="s">
        <v>2376</v>
      </c>
      <c r="C2286" s="96" t="s">
        <v>902</v>
      </c>
    </row>
    <row r="2287" spans="1:3" ht="15">
      <c r="A2287" s="90" t="s">
        <v>289</v>
      </c>
      <c r="B2287" s="89" t="s">
        <v>2777</v>
      </c>
      <c r="C2287" s="96" t="s">
        <v>902</v>
      </c>
    </row>
    <row r="2288" spans="1:3" ht="15">
      <c r="A2288" s="90" t="s">
        <v>289</v>
      </c>
      <c r="B2288" s="89" t="s">
        <v>2289</v>
      </c>
      <c r="C2288" s="96" t="s">
        <v>902</v>
      </c>
    </row>
    <row r="2289" spans="1:3" ht="15">
      <c r="A2289" s="90" t="s">
        <v>289</v>
      </c>
      <c r="B2289" s="89" t="s">
        <v>2778</v>
      </c>
      <c r="C2289" s="96" t="s">
        <v>902</v>
      </c>
    </row>
    <row r="2290" spans="1:3" ht="15">
      <c r="A2290" s="90" t="s">
        <v>289</v>
      </c>
      <c r="B2290" s="89" t="s">
        <v>2428</v>
      </c>
      <c r="C2290" s="96" t="s">
        <v>902</v>
      </c>
    </row>
    <row r="2291" spans="1:3" ht="15">
      <c r="A2291" s="90" t="s">
        <v>289</v>
      </c>
      <c r="B2291" s="89" t="s">
        <v>2779</v>
      </c>
      <c r="C2291" s="96" t="s">
        <v>902</v>
      </c>
    </row>
    <row r="2292" spans="1:3" ht="15">
      <c r="A2292" s="90" t="s">
        <v>289</v>
      </c>
      <c r="B2292" s="89" t="s">
        <v>2780</v>
      </c>
      <c r="C2292" s="96" t="s">
        <v>902</v>
      </c>
    </row>
    <row r="2293" spans="1:3" ht="15">
      <c r="A2293" s="90" t="s">
        <v>289</v>
      </c>
      <c r="B2293" s="89" t="s">
        <v>2361</v>
      </c>
      <c r="C2293" s="96" t="s">
        <v>902</v>
      </c>
    </row>
    <row r="2294" spans="1:3" ht="15">
      <c r="A2294" s="90" t="s">
        <v>289</v>
      </c>
      <c r="B2294" s="89" t="s">
        <v>2715</v>
      </c>
      <c r="C2294" s="96" t="s">
        <v>902</v>
      </c>
    </row>
    <row r="2295" spans="1:3" ht="15">
      <c r="A2295" s="90" t="s">
        <v>289</v>
      </c>
      <c r="B2295" s="89" t="s">
        <v>2642</v>
      </c>
      <c r="C2295" s="96" t="s">
        <v>902</v>
      </c>
    </row>
    <row r="2296" spans="1:3" ht="15">
      <c r="A2296" s="90" t="s">
        <v>289</v>
      </c>
      <c r="B2296" s="89" t="s">
        <v>2781</v>
      </c>
      <c r="C2296" s="96" t="s">
        <v>902</v>
      </c>
    </row>
    <row r="2297" spans="1:3" ht="15">
      <c r="A2297" s="90" t="s">
        <v>289</v>
      </c>
      <c r="B2297" s="89" t="s">
        <v>2762</v>
      </c>
      <c r="C2297" s="96" t="s">
        <v>902</v>
      </c>
    </row>
    <row r="2298" spans="1:3" ht="15">
      <c r="A2298" s="90" t="s">
        <v>289</v>
      </c>
      <c r="B2298" s="89" t="s">
        <v>2782</v>
      </c>
      <c r="C2298" s="96" t="s">
        <v>902</v>
      </c>
    </row>
    <row r="2299" spans="1:3" ht="15">
      <c r="A2299" s="90" t="s">
        <v>289</v>
      </c>
      <c r="B2299" s="89" t="s">
        <v>2439</v>
      </c>
      <c r="C2299" s="96" t="s">
        <v>902</v>
      </c>
    </row>
    <row r="2300" spans="1:3" ht="15">
      <c r="A2300" s="90" t="s">
        <v>289</v>
      </c>
      <c r="B2300" s="89" t="s">
        <v>2652</v>
      </c>
      <c r="C2300" s="96" t="s">
        <v>902</v>
      </c>
    </row>
    <row r="2301" spans="1:3" ht="15">
      <c r="A2301" s="90" t="s">
        <v>289</v>
      </c>
      <c r="B2301" s="89" t="s">
        <v>2364</v>
      </c>
      <c r="C2301" s="96" t="s">
        <v>902</v>
      </c>
    </row>
    <row r="2302" spans="1:3" ht="15">
      <c r="A2302" s="90" t="s">
        <v>289</v>
      </c>
      <c r="B2302" s="89" t="s">
        <v>2783</v>
      </c>
      <c r="C2302" s="96" t="s">
        <v>902</v>
      </c>
    </row>
    <row r="2303" spans="1:3" ht="15">
      <c r="A2303" s="90" t="s">
        <v>289</v>
      </c>
      <c r="B2303" s="89" t="s">
        <v>2784</v>
      </c>
      <c r="C2303" s="96" t="s">
        <v>902</v>
      </c>
    </row>
    <row r="2304" spans="1:3" ht="15">
      <c r="A2304" s="90" t="s">
        <v>289</v>
      </c>
      <c r="B2304" s="89" t="s">
        <v>2785</v>
      </c>
      <c r="C2304" s="96" t="s">
        <v>902</v>
      </c>
    </row>
    <row r="2305" spans="1:3" ht="15">
      <c r="A2305" s="90" t="s">
        <v>289</v>
      </c>
      <c r="B2305" s="89" t="s">
        <v>2505</v>
      </c>
      <c r="C2305" s="96" t="s">
        <v>902</v>
      </c>
    </row>
    <row r="2306" spans="1:3" ht="15">
      <c r="A2306" s="90" t="s">
        <v>289</v>
      </c>
      <c r="B2306" s="89" t="s">
        <v>2786</v>
      </c>
      <c r="C2306" s="96" t="s">
        <v>902</v>
      </c>
    </row>
    <row r="2307" spans="1:3" ht="15">
      <c r="A2307" s="90" t="s">
        <v>289</v>
      </c>
      <c r="B2307" s="89" t="s">
        <v>2186</v>
      </c>
      <c r="C2307" s="96" t="s">
        <v>902</v>
      </c>
    </row>
    <row r="2308" spans="1:3" ht="15">
      <c r="A2308" s="90" t="s">
        <v>289</v>
      </c>
      <c r="B2308" s="89" t="s">
        <v>2214</v>
      </c>
      <c r="C2308" s="96" t="s">
        <v>902</v>
      </c>
    </row>
    <row r="2309" spans="1:3" ht="15">
      <c r="A2309" s="90" t="s">
        <v>289</v>
      </c>
      <c r="B2309" s="89" t="s">
        <v>1129</v>
      </c>
      <c r="C2309" s="96" t="s">
        <v>902</v>
      </c>
    </row>
    <row r="2310" spans="1:3" ht="15">
      <c r="A2310" s="90" t="s">
        <v>289</v>
      </c>
      <c r="B2310" s="89" t="s">
        <v>2441</v>
      </c>
      <c r="C2310" s="96" t="s">
        <v>902</v>
      </c>
    </row>
    <row r="2311" spans="1:3" ht="15">
      <c r="A2311" s="90" t="s">
        <v>289</v>
      </c>
      <c r="B2311" s="89" t="s">
        <v>2787</v>
      </c>
      <c r="C2311" s="96" t="s">
        <v>902</v>
      </c>
    </row>
    <row r="2312" spans="1:3" ht="15">
      <c r="A2312" s="90" t="s">
        <v>289</v>
      </c>
      <c r="B2312" s="89" t="s">
        <v>2788</v>
      </c>
      <c r="C2312" s="96" t="s">
        <v>902</v>
      </c>
    </row>
    <row r="2313" spans="1:3" ht="15">
      <c r="A2313" s="90" t="s">
        <v>289</v>
      </c>
      <c r="B2313" s="89" t="s">
        <v>2789</v>
      </c>
      <c r="C2313" s="96" t="s">
        <v>902</v>
      </c>
    </row>
    <row r="2314" spans="1:3" ht="15">
      <c r="A2314" s="90" t="s">
        <v>289</v>
      </c>
      <c r="B2314" s="89" t="s">
        <v>2697</v>
      </c>
      <c r="C2314" s="96" t="s">
        <v>902</v>
      </c>
    </row>
    <row r="2315" spans="1:3" ht="15">
      <c r="A2315" s="90" t="s">
        <v>289</v>
      </c>
      <c r="B2315" s="89" t="s">
        <v>2790</v>
      </c>
      <c r="C2315" s="96" t="s">
        <v>902</v>
      </c>
    </row>
    <row r="2316" spans="1:3" ht="15">
      <c r="A2316" s="90" t="s">
        <v>289</v>
      </c>
      <c r="B2316" s="89" t="s">
        <v>2791</v>
      </c>
      <c r="C2316" s="96" t="s">
        <v>902</v>
      </c>
    </row>
    <row r="2317" spans="1:3" ht="15">
      <c r="A2317" s="90" t="s">
        <v>289</v>
      </c>
      <c r="B2317" s="89" t="s">
        <v>2792</v>
      </c>
      <c r="C2317" s="96" t="s">
        <v>902</v>
      </c>
    </row>
    <row r="2318" spans="1:3" ht="15">
      <c r="A2318" s="90" t="s">
        <v>289</v>
      </c>
      <c r="B2318" s="89" t="s">
        <v>2793</v>
      </c>
      <c r="C2318" s="96" t="s">
        <v>902</v>
      </c>
    </row>
    <row r="2319" spans="1:3" ht="15">
      <c r="A2319" s="90" t="s">
        <v>289</v>
      </c>
      <c r="B2319" s="89" t="s">
        <v>2794</v>
      </c>
      <c r="C2319" s="96" t="s">
        <v>902</v>
      </c>
    </row>
    <row r="2320" spans="1:3" ht="15">
      <c r="A2320" s="90" t="s">
        <v>289</v>
      </c>
      <c r="B2320" s="89" t="s">
        <v>2795</v>
      </c>
      <c r="C2320" s="96" t="s">
        <v>901</v>
      </c>
    </row>
    <row r="2321" spans="1:3" ht="15">
      <c r="A2321" s="90" t="s">
        <v>289</v>
      </c>
      <c r="B2321" s="89" t="s">
        <v>416</v>
      </c>
      <c r="C2321" s="96" t="s">
        <v>901</v>
      </c>
    </row>
    <row r="2322" spans="1:3" ht="15">
      <c r="A2322" s="90" t="s">
        <v>289</v>
      </c>
      <c r="B2322" s="89" t="s">
        <v>2361</v>
      </c>
      <c r="C2322" s="96" t="s">
        <v>901</v>
      </c>
    </row>
    <row r="2323" spans="1:3" ht="15">
      <c r="A2323" s="90" t="s">
        <v>289</v>
      </c>
      <c r="B2323" s="89" t="s">
        <v>2796</v>
      </c>
      <c r="C2323" s="96" t="s">
        <v>901</v>
      </c>
    </row>
    <row r="2324" spans="1:3" ht="15">
      <c r="A2324" s="90" t="s">
        <v>289</v>
      </c>
      <c r="B2324" s="89" t="s">
        <v>2797</v>
      </c>
      <c r="C2324" s="96" t="s">
        <v>901</v>
      </c>
    </row>
    <row r="2325" spans="1:3" ht="15">
      <c r="A2325" s="90" t="s">
        <v>289</v>
      </c>
      <c r="B2325" s="89" t="s">
        <v>2798</v>
      </c>
      <c r="C2325" s="96" t="s">
        <v>901</v>
      </c>
    </row>
    <row r="2326" spans="1:3" ht="15">
      <c r="A2326" s="90" t="s">
        <v>289</v>
      </c>
      <c r="B2326" s="89" t="s">
        <v>2799</v>
      </c>
      <c r="C2326" s="96" t="s">
        <v>901</v>
      </c>
    </row>
    <row r="2327" spans="1:3" ht="15">
      <c r="A2327" s="90" t="s">
        <v>289</v>
      </c>
      <c r="B2327" s="89" t="s">
        <v>2800</v>
      </c>
      <c r="C2327" s="96" t="s">
        <v>901</v>
      </c>
    </row>
    <row r="2328" spans="1:3" ht="15">
      <c r="A2328" s="90" t="s">
        <v>289</v>
      </c>
      <c r="B2328" s="89" t="s">
        <v>2801</v>
      </c>
      <c r="C2328" s="96" t="s">
        <v>901</v>
      </c>
    </row>
    <row r="2329" spans="1:3" ht="15">
      <c r="A2329" s="90" t="s">
        <v>289</v>
      </c>
      <c r="B2329" s="89" t="s">
        <v>2802</v>
      </c>
      <c r="C2329" s="96" t="s">
        <v>901</v>
      </c>
    </row>
    <row r="2330" spans="1:3" ht="15">
      <c r="A2330" s="90" t="s">
        <v>289</v>
      </c>
      <c r="B2330" s="89" t="s">
        <v>2381</v>
      </c>
      <c r="C2330" s="96" t="s">
        <v>901</v>
      </c>
    </row>
    <row r="2331" spans="1:3" ht="15">
      <c r="A2331" s="90" t="s">
        <v>289</v>
      </c>
      <c r="B2331" s="89" t="s">
        <v>2376</v>
      </c>
      <c r="C2331" s="96" t="s">
        <v>901</v>
      </c>
    </row>
    <row r="2332" spans="1:3" ht="15">
      <c r="A2332" s="90" t="s">
        <v>289</v>
      </c>
      <c r="B2332" s="89" t="s">
        <v>2715</v>
      </c>
      <c r="C2332" s="96" t="s">
        <v>901</v>
      </c>
    </row>
    <row r="2333" spans="1:3" ht="15">
      <c r="A2333" s="90" t="s">
        <v>289</v>
      </c>
      <c r="B2333" s="89" t="s">
        <v>2803</v>
      </c>
      <c r="C2333" s="96" t="s">
        <v>901</v>
      </c>
    </row>
    <row r="2334" spans="1:3" ht="15">
      <c r="A2334" s="90" t="s">
        <v>289</v>
      </c>
      <c r="B2334" s="89" t="s">
        <v>2804</v>
      </c>
      <c r="C2334" s="96" t="s">
        <v>901</v>
      </c>
    </row>
    <row r="2335" spans="1:3" ht="15">
      <c r="A2335" s="90" t="s">
        <v>289</v>
      </c>
      <c r="B2335" s="89" t="s">
        <v>2805</v>
      </c>
      <c r="C2335" s="96" t="s">
        <v>901</v>
      </c>
    </row>
    <row r="2336" spans="1:3" ht="15">
      <c r="A2336" s="90" t="s">
        <v>289</v>
      </c>
      <c r="B2336" s="89" t="s">
        <v>2369</v>
      </c>
      <c r="C2336" s="96" t="s">
        <v>901</v>
      </c>
    </row>
    <row r="2337" spans="1:3" ht="15">
      <c r="A2337" s="90" t="s">
        <v>289</v>
      </c>
      <c r="B2337" s="89" t="s">
        <v>2806</v>
      </c>
      <c r="C2337" s="96" t="s">
        <v>901</v>
      </c>
    </row>
    <row r="2338" spans="1:3" ht="15">
      <c r="A2338" s="90" t="s">
        <v>289</v>
      </c>
      <c r="B2338" s="89" t="s">
        <v>2807</v>
      </c>
      <c r="C2338" s="96" t="s">
        <v>901</v>
      </c>
    </row>
    <row r="2339" spans="1:3" ht="15">
      <c r="A2339" s="90" t="s">
        <v>289</v>
      </c>
      <c r="B2339" s="89" t="s">
        <v>2558</v>
      </c>
      <c r="C2339" s="96" t="s">
        <v>901</v>
      </c>
    </row>
    <row r="2340" spans="1:3" ht="15">
      <c r="A2340" s="90" t="s">
        <v>289</v>
      </c>
      <c r="B2340" s="89" t="s">
        <v>2697</v>
      </c>
      <c r="C2340" s="96" t="s">
        <v>901</v>
      </c>
    </row>
    <row r="2341" spans="1:3" ht="15">
      <c r="A2341" s="90" t="s">
        <v>289</v>
      </c>
      <c r="B2341" s="89" t="s">
        <v>2266</v>
      </c>
      <c r="C2341" s="96" t="s">
        <v>901</v>
      </c>
    </row>
    <row r="2342" spans="1:3" ht="15">
      <c r="A2342" s="90" t="s">
        <v>289</v>
      </c>
      <c r="B2342" s="89" t="s">
        <v>2808</v>
      </c>
      <c r="C2342" s="96" t="s">
        <v>901</v>
      </c>
    </row>
    <row r="2343" spans="1:3" ht="15">
      <c r="A2343" s="90" t="s">
        <v>289</v>
      </c>
      <c r="B2343" s="89" t="s">
        <v>2809</v>
      </c>
      <c r="C2343" s="96" t="s">
        <v>901</v>
      </c>
    </row>
    <row r="2344" spans="1:3" ht="15">
      <c r="A2344" s="90" t="s">
        <v>289</v>
      </c>
      <c r="B2344" s="89" t="s">
        <v>2810</v>
      </c>
      <c r="C2344" s="96" t="s">
        <v>901</v>
      </c>
    </row>
    <row r="2345" spans="1:3" ht="15">
      <c r="A2345" s="90" t="s">
        <v>289</v>
      </c>
      <c r="B2345" s="89" t="s">
        <v>2811</v>
      </c>
      <c r="C2345" s="96" t="s">
        <v>901</v>
      </c>
    </row>
    <row r="2346" spans="1:3" ht="15">
      <c r="A2346" s="90" t="s">
        <v>289</v>
      </c>
      <c r="B2346" s="89" t="s">
        <v>2812</v>
      </c>
      <c r="C2346" s="96" t="s">
        <v>901</v>
      </c>
    </row>
    <row r="2347" spans="1:3" ht="15">
      <c r="A2347" s="90" t="s">
        <v>289</v>
      </c>
      <c r="B2347" s="89" t="s">
        <v>2364</v>
      </c>
      <c r="C2347" s="96" t="s">
        <v>901</v>
      </c>
    </row>
    <row r="2348" spans="1:3" ht="15">
      <c r="A2348" s="90" t="s">
        <v>289</v>
      </c>
      <c r="B2348" s="89" t="s">
        <v>1129</v>
      </c>
      <c r="C2348" s="96" t="s">
        <v>901</v>
      </c>
    </row>
    <row r="2349" spans="1:3" ht="15">
      <c r="A2349" s="90" t="s">
        <v>289</v>
      </c>
      <c r="B2349" s="89" t="s">
        <v>2813</v>
      </c>
      <c r="C2349" s="96" t="s">
        <v>901</v>
      </c>
    </row>
    <row r="2350" spans="1:3" ht="15">
      <c r="A2350" s="90" t="s">
        <v>289</v>
      </c>
      <c r="B2350" s="89" t="s">
        <v>2193</v>
      </c>
      <c r="C2350" s="96" t="s">
        <v>901</v>
      </c>
    </row>
    <row r="2351" spans="1:3" ht="15">
      <c r="A2351" s="90" t="s">
        <v>289</v>
      </c>
      <c r="B2351" s="89" t="s">
        <v>2814</v>
      </c>
      <c r="C2351" s="96" t="s">
        <v>901</v>
      </c>
    </row>
    <row r="2352" spans="1:3" ht="15">
      <c r="A2352" s="90" t="s">
        <v>289</v>
      </c>
      <c r="B2352" s="89" t="s">
        <v>2635</v>
      </c>
      <c r="C2352" s="96" t="s">
        <v>901</v>
      </c>
    </row>
    <row r="2353" spans="1:3" ht="15">
      <c r="A2353" s="90" t="s">
        <v>288</v>
      </c>
      <c r="B2353" s="89" t="s">
        <v>2815</v>
      </c>
      <c r="C2353" s="96" t="s">
        <v>900</v>
      </c>
    </row>
    <row r="2354" spans="1:3" ht="15">
      <c r="A2354" s="90" t="s">
        <v>288</v>
      </c>
      <c r="B2354" s="89" t="s">
        <v>2505</v>
      </c>
      <c r="C2354" s="96" t="s">
        <v>900</v>
      </c>
    </row>
    <row r="2355" spans="1:3" ht="15">
      <c r="A2355" s="90" t="s">
        <v>288</v>
      </c>
      <c r="B2355" s="89" t="s">
        <v>2364</v>
      </c>
      <c r="C2355" s="96" t="s">
        <v>900</v>
      </c>
    </row>
    <row r="2356" spans="1:3" ht="15">
      <c r="A2356" s="90" t="s">
        <v>288</v>
      </c>
      <c r="B2356" s="89" t="s">
        <v>2816</v>
      </c>
      <c r="C2356" s="96" t="s">
        <v>900</v>
      </c>
    </row>
    <row r="2357" spans="1:3" ht="15">
      <c r="A2357" s="90" t="s">
        <v>288</v>
      </c>
      <c r="B2357" s="89" t="s">
        <v>2817</v>
      </c>
      <c r="C2357" s="96" t="s">
        <v>900</v>
      </c>
    </row>
    <row r="2358" spans="1:3" ht="15">
      <c r="A2358" s="90" t="s">
        <v>288</v>
      </c>
      <c r="B2358" s="89" t="s">
        <v>2818</v>
      </c>
      <c r="C2358" s="96" t="s">
        <v>900</v>
      </c>
    </row>
    <row r="2359" spans="1:3" ht="15">
      <c r="A2359" s="90" t="s">
        <v>288</v>
      </c>
      <c r="B2359" s="89" t="s">
        <v>2819</v>
      </c>
      <c r="C2359" s="96" t="s">
        <v>900</v>
      </c>
    </row>
    <row r="2360" spans="1:3" ht="15">
      <c r="A2360" s="90" t="s">
        <v>288</v>
      </c>
      <c r="B2360" s="89" t="s">
        <v>2302</v>
      </c>
      <c r="C2360" s="96" t="s">
        <v>900</v>
      </c>
    </row>
    <row r="2361" spans="1:3" ht="15">
      <c r="A2361" s="90" t="s">
        <v>288</v>
      </c>
      <c r="B2361" s="89" t="s">
        <v>1242</v>
      </c>
      <c r="C2361" s="96" t="s">
        <v>900</v>
      </c>
    </row>
    <row r="2362" spans="1:3" ht="15">
      <c r="A2362" s="90" t="s">
        <v>288</v>
      </c>
      <c r="B2362" s="89" t="s">
        <v>2602</v>
      </c>
      <c r="C2362" s="96" t="s">
        <v>900</v>
      </c>
    </row>
    <row r="2363" spans="1:3" ht="15">
      <c r="A2363" s="90" t="s">
        <v>288</v>
      </c>
      <c r="B2363" s="89" t="s">
        <v>2541</v>
      </c>
      <c r="C2363" s="96" t="s">
        <v>900</v>
      </c>
    </row>
    <row r="2364" spans="1:3" ht="15">
      <c r="A2364" s="90" t="s">
        <v>288</v>
      </c>
      <c r="B2364" s="89" t="s">
        <v>2369</v>
      </c>
      <c r="C2364" s="96" t="s">
        <v>900</v>
      </c>
    </row>
    <row r="2365" spans="1:3" ht="15">
      <c r="A2365" s="90" t="s">
        <v>288</v>
      </c>
      <c r="B2365" s="89" t="s">
        <v>2370</v>
      </c>
      <c r="C2365" s="96" t="s">
        <v>900</v>
      </c>
    </row>
    <row r="2366" spans="1:3" ht="15">
      <c r="A2366" s="90" t="s">
        <v>288</v>
      </c>
      <c r="B2366" s="89" t="s">
        <v>2552</v>
      </c>
      <c r="C2366" s="96" t="s">
        <v>900</v>
      </c>
    </row>
    <row r="2367" spans="1:3" ht="15">
      <c r="A2367" s="90" t="s">
        <v>288</v>
      </c>
      <c r="B2367" s="89" t="s">
        <v>2820</v>
      </c>
      <c r="C2367" s="96" t="s">
        <v>900</v>
      </c>
    </row>
    <row r="2368" spans="1:3" ht="15">
      <c r="A2368" s="90" t="s">
        <v>288</v>
      </c>
      <c r="B2368" s="89" t="s">
        <v>2821</v>
      </c>
      <c r="C2368" s="96" t="s">
        <v>900</v>
      </c>
    </row>
    <row r="2369" spans="1:3" ht="15">
      <c r="A2369" s="90" t="s">
        <v>288</v>
      </c>
      <c r="B2369" s="89" t="s">
        <v>2214</v>
      </c>
      <c r="C2369" s="96" t="s">
        <v>900</v>
      </c>
    </row>
    <row r="2370" spans="1:3" ht="15">
      <c r="A2370" s="90" t="s">
        <v>288</v>
      </c>
      <c r="B2370" s="89" t="s">
        <v>2822</v>
      </c>
      <c r="C2370" s="96" t="s">
        <v>900</v>
      </c>
    </row>
    <row r="2371" spans="1:3" ht="15">
      <c r="A2371" s="90" t="s">
        <v>288</v>
      </c>
      <c r="B2371" s="89" t="s">
        <v>2762</v>
      </c>
      <c r="C2371" s="96" t="s">
        <v>900</v>
      </c>
    </row>
    <row r="2372" spans="1:3" ht="15">
      <c r="A2372" s="90" t="s">
        <v>288</v>
      </c>
      <c r="B2372" s="89" t="s">
        <v>2823</v>
      </c>
      <c r="C2372" s="96" t="s">
        <v>900</v>
      </c>
    </row>
    <row r="2373" spans="1:3" ht="15">
      <c r="A2373" s="90" t="s">
        <v>288</v>
      </c>
      <c r="B2373" s="89" t="s">
        <v>2824</v>
      </c>
      <c r="C2373" s="96" t="s">
        <v>900</v>
      </c>
    </row>
    <row r="2374" spans="1:3" ht="15">
      <c r="A2374" s="90" t="s">
        <v>288</v>
      </c>
      <c r="B2374" s="89" t="s">
        <v>2825</v>
      </c>
      <c r="C2374" s="96" t="s">
        <v>900</v>
      </c>
    </row>
    <row r="2375" spans="1:3" ht="15">
      <c r="A2375" s="90" t="s">
        <v>288</v>
      </c>
      <c r="B2375" s="89" t="s">
        <v>2826</v>
      </c>
      <c r="C2375" s="96" t="s">
        <v>900</v>
      </c>
    </row>
    <row r="2376" spans="1:3" ht="15">
      <c r="A2376" s="90" t="s">
        <v>288</v>
      </c>
      <c r="B2376" s="89" t="s">
        <v>2439</v>
      </c>
      <c r="C2376" s="96" t="s">
        <v>900</v>
      </c>
    </row>
    <row r="2377" spans="1:3" ht="15">
      <c r="A2377" s="90" t="s">
        <v>287</v>
      </c>
      <c r="B2377" s="89" t="s">
        <v>2369</v>
      </c>
      <c r="C2377" s="96" t="s">
        <v>899</v>
      </c>
    </row>
    <row r="2378" spans="1:3" ht="15">
      <c r="A2378" s="90" t="s">
        <v>287</v>
      </c>
      <c r="B2378" s="89" t="s">
        <v>2370</v>
      </c>
      <c r="C2378" s="96" t="s">
        <v>899</v>
      </c>
    </row>
    <row r="2379" spans="1:3" ht="15">
      <c r="A2379" s="90" t="s">
        <v>287</v>
      </c>
      <c r="B2379" s="89" t="s">
        <v>2212</v>
      </c>
      <c r="C2379" s="96" t="s">
        <v>899</v>
      </c>
    </row>
    <row r="2380" spans="1:3" ht="15">
      <c r="A2380" s="90" t="s">
        <v>287</v>
      </c>
      <c r="B2380" s="89" t="s">
        <v>2827</v>
      </c>
      <c r="C2380" s="96" t="s">
        <v>899</v>
      </c>
    </row>
    <row r="2381" spans="1:3" ht="15">
      <c r="A2381" s="90" t="s">
        <v>287</v>
      </c>
      <c r="B2381" s="89" t="s">
        <v>2828</v>
      </c>
      <c r="C2381" s="96" t="s">
        <v>899</v>
      </c>
    </row>
    <row r="2382" spans="1:3" ht="15">
      <c r="A2382" s="90" t="s">
        <v>287</v>
      </c>
      <c r="B2382" s="89" t="s">
        <v>2364</v>
      </c>
      <c r="C2382" s="96" t="s">
        <v>899</v>
      </c>
    </row>
    <row r="2383" spans="1:3" ht="15">
      <c r="A2383" s="90" t="s">
        <v>287</v>
      </c>
      <c r="B2383" s="89" t="s">
        <v>2829</v>
      </c>
      <c r="C2383" s="96" t="s">
        <v>899</v>
      </c>
    </row>
    <row r="2384" spans="1:3" ht="15">
      <c r="A2384" s="90" t="s">
        <v>287</v>
      </c>
      <c r="B2384" s="89" t="s">
        <v>2830</v>
      </c>
      <c r="C2384" s="96" t="s">
        <v>899</v>
      </c>
    </row>
    <row r="2385" spans="1:3" ht="15">
      <c r="A2385" s="90" t="s">
        <v>287</v>
      </c>
      <c r="B2385" s="89" t="s">
        <v>2831</v>
      </c>
      <c r="C2385" s="96" t="s">
        <v>899</v>
      </c>
    </row>
    <row r="2386" spans="1:3" ht="15">
      <c r="A2386" s="90" t="s">
        <v>287</v>
      </c>
      <c r="B2386" s="89" t="s">
        <v>2832</v>
      </c>
      <c r="C2386" s="96" t="s">
        <v>899</v>
      </c>
    </row>
    <row r="2387" spans="1:3" ht="15">
      <c r="A2387" s="90" t="s">
        <v>287</v>
      </c>
      <c r="B2387" s="89" t="s">
        <v>2376</v>
      </c>
      <c r="C2387" s="96" t="s">
        <v>899</v>
      </c>
    </row>
    <row r="2388" spans="1:3" ht="15">
      <c r="A2388" s="90" t="s">
        <v>287</v>
      </c>
      <c r="B2388" s="89" t="s">
        <v>2833</v>
      </c>
      <c r="C2388" s="96" t="s">
        <v>899</v>
      </c>
    </row>
    <row r="2389" spans="1:3" ht="15">
      <c r="A2389" s="90" t="s">
        <v>287</v>
      </c>
      <c r="B2389" s="89" t="s">
        <v>2303</v>
      </c>
      <c r="C2389" s="96" t="s">
        <v>899</v>
      </c>
    </row>
    <row r="2390" spans="1:3" ht="15">
      <c r="A2390" s="90" t="s">
        <v>287</v>
      </c>
      <c r="B2390" s="89" t="s">
        <v>2834</v>
      </c>
      <c r="C2390" s="96" t="s">
        <v>899</v>
      </c>
    </row>
    <row r="2391" spans="1:3" ht="15">
      <c r="A2391" s="90" t="s">
        <v>287</v>
      </c>
      <c r="B2391" s="89" t="s">
        <v>2110</v>
      </c>
      <c r="C2391" s="96" t="s">
        <v>899</v>
      </c>
    </row>
    <row r="2392" spans="1:3" ht="15">
      <c r="A2392" s="90" t="s">
        <v>287</v>
      </c>
      <c r="B2392" s="89" t="s">
        <v>2385</v>
      </c>
      <c r="C2392" s="96" t="s">
        <v>899</v>
      </c>
    </row>
    <row r="2393" spans="1:3" ht="15">
      <c r="A2393" s="90" t="s">
        <v>287</v>
      </c>
      <c r="B2393" s="89" t="s">
        <v>2835</v>
      </c>
      <c r="C2393" s="96" t="s">
        <v>899</v>
      </c>
    </row>
    <row r="2394" spans="1:3" ht="15">
      <c r="A2394" s="90" t="s">
        <v>287</v>
      </c>
      <c r="B2394" s="89" t="s">
        <v>2836</v>
      </c>
      <c r="C2394" s="96" t="s">
        <v>899</v>
      </c>
    </row>
    <row r="2395" spans="1:3" ht="15">
      <c r="A2395" s="90" t="s">
        <v>287</v>
      </c>
      <c r="B2395" s="89" t="s">
        <v>2837</v>
      </c>
      <c r="C2395" s="96" t="s">
        <v>899</v>
      </c>
    </row>
    <row r="2396" spans="1:3" ht="15">
      <c r="A2396" s="90" t="s">
        <v>287</v>
      </c>
      <c r="B2396" s="89" t="s">
        <v>2838</v>
      </c>
      <c r="C2396" s="96" t="s">
        <v>899</v>
      </c>
    </row>
    <row r="2397" spans="1:3" ht="15">
      <c r="A2397" s="90" t="s">
        <v>287</v>
      </c>
      <c r="B2397" s="89" t="s">
        <v>2304</v>
      </c>
      <c r="C2397" s="96" t="s">
        <v>899</v>
      </c>
    </row>
    <row r="2398" spans="1:3" ht="15">
      <c r="A2398" s="90" t="s">
        <v>287</v>
      </c>
      <c r="B2398" s="89" t="s">
        <v>2839</v>
      </c>
      <c r="C2398" s="96" t="s">
        <v>899</v>
      </c>
    </row>
    <row r="2399" spans="1:3" ht="15">
      <c r="A2399" s="90" t="s">
        <v>287</v>
      </c>
      <c r="B2399" s="89" t="s">
        <v>2840</v>
      </c>
      <c r="C2399" s="96" t="s">
        <v>899</v>
      </c>
    </row>
    <row r="2400" spans="1:3" ht="15">
      <c r="A2400" s="90" t="s">
        <v>287</v>
      </c>
      <c r="B2400" s="89" t="s">
        <v>2841</v>
      </c>
      <c r="C2400" s="96" t="s">
        <v>899</v>
      </c>
    </row>
    <row r="2401" spans="1:3" ht="15">
      <c r="A2401" s="90" t="s">
        <v>287</v>
      </c>
      <c r="B2401" s="89" t="s">
        <v>2652</v>
      </c>
      <c r="C2401" s="96" t="s">
        <v>899</v>
      </c>
    </row>
    <row r="2402" spans="1:3" ht="15">
      <c r="A2402" s="90" t="s">
        <v>287</v>
      </c>
      <c r="B2402" s="89" t="s">
        <v>2842</v>
      </c>
      <c r="C2402" s="96" t="s">
        <v>899</v>
      </c>
    </row>
    <row r="2403" spans="1:3" ht="15">
      <c r="A2403" s="90" t="s">
        <v>287</v>
      </c>
      <c r="B2403" s="89" t="s">
        <v>1323</v>
      </c>
      <c r="C2403" s="96" t="s">
        <v>899</v>
      </c>
    </row>
    <row r="2404" spans="1:3" ht="15">
      <c r="A2404" s="90" t="s">
        <v>286</v>
      </c>
      <c r="B2404" s="89" t="s">
        <v>2843</v>
      </c>
      <c r="C2404" s="96" t="s">
        <v>898</v>
      </c>
    </row>
    <row r="2405" spans="1:3" ht="15">
      <c r="A2405" s="90" t="s">
        <v>286</v>
      </c>
      <c r="B2405" s="89" t="s">
        <v>2844</v>
      </c>
      <c r="C2405" s="96" t="s">
        <v>898</v>
      </c>
    </row>
    <row r="2406" spans="1:3" ht="15">
      <c r="A2406" s="90" t="s">
        <v>286</v>
      </c>
      <c r="B2406" s="89" t="s">
        <v>2845</v>
      </c>
      <c r="C2406" s="96" t="s">
        <v>898</v>
      </c>
    </row>
    <row r="2407" spans="1:3" ht="15">
      <c r="A2407" s="90" t="s">
        <v>286</v>
      </c>
      <c r="B2407" s="89" t="s">
        <v>2846</v>
      </c>
      <c r="C2407" s="96" t="s">
        <v>898</v>
      </c>
    </row>
    <row r="2408" spans="1:3" ht="15">
      <c r="A2408" s="90" t="s">
        <v>286</v>
      </c>
      <c r="B2408" s="89" t="s">
        <v>2847</v>
      </c>
      <c r="C2408" s="96" t="s">
        <v>898</v>
      </c>
    </row>
    <row r="2409" spans="1:3" ht="15">
      <c r="A2409" s="90" t="s">
        <v>286</v>
      </c>
      <c r="B2409" s="89" t="s">
        <v>2848</v>
      </c>
      <c r="C2409" s="96" t="s">
        <v>898</v>
      </c>
    </row>
    <row r="2410" spans="1:3" ht="15">
      <c r="A2410" s="90" t="s">
        <v>286</v>
      </c>
      <c r="B2410" s="89" t="s">
        <v>2404</v>
      </c>
      <c r="C2410" s="96" t="s">
        <v>898</v>
      </c>
    </row>
    <row r="2411" spans="1:3" ht="15">
      <c r="A2411" s="90" t="s">
        <v>286</v>
      </c>
      <c r="B2411" s="89" t="s">
        <v>2115</v>
      </c>
      <c r="C2411" s="96" t="s">
        <v>898</v>
      </c>
    </row>
    <row r="2412" spans="1:3" ht="15">
      <c r="A2412" s="90" t="s">
        <v>286</v>
      </c>
      <c r="B2412" s="89" t="s">
        <v>2116</v>
      </c>
      <c r="C2412" s="96" t="s">
        <v>898</v>
      </c>
    </row>
    <row r="2413" spans="1:3" ht="15">
      <c r="A2413" s="90" t="s">
        <v>286</v>
      </c>
      <c r="B2413" s="89" t="s">
        <v>2117</v>
      </c>
      <c r="C2413" s="96" t="s">
        <v>898</v>
      </c>
    </row>
    <row r="2414" spans="1:3" ht="15">
      <c r="A2414" s="90" t="s">
        <v>286</v>
      </c>
      <c r="B2414" s="89" t="s">
        <v>2118</v>
      </c>
      <c r="C2414" s="96" t="s">
        <v>898</v>
      </c>
    </row>
    <row r="2415" spans="1:3" ht="15">
      <c r="A2415" s="90" t="s">
        <v>286</v>
      </c>
      <c r="B2415" s="89" t="s">
        <v>2119</v>
      </c>
      <c r="C2415" s="96" t="s">
        <v>898</v>
      </c>
    </row>
    <row r="2416" spans="1:3" ht="15">
      <c r="A2416" s="90" t="s">
        <v>286</v>
      </c>
      <c r="B2416" s="89" t="s">
        <v>2849</v>
      </c>
      <c r="C2416" s="96" t="s">
        <v>898</v>
      </c>
    </row>
    <row r="2417" spans="1:3" ht="15">
      <c r="A2417" s="90" t="s">
        <v>286</v>
      </c>
      <c r="B2417" s="89" t="s">
        <v>2120</v>
      </c>
      <c r="C2417" s="96" t="s">
        <v>898</v>
      </c>
    </row>
    <row r="2418" spans="1:3" ht="15">
      <c r="A2418" s="90" t="s">
        <v>286</v>
      </c>
      <c r="B2418" s="89" t="s">
        <v>2121</v>
      </c>
      <c r="C2418" s="96" t="s">
        <v>898</v>
      </c>
    </row>
    <row r="2419" spans="1:3" ht="15">
      <c r="A2419" s="90" t="s">
        <v>286</v>
      </c>
      <c r="B2419" s="89" t="s">
        <v>2122</v>
      </c>
      <c r="C2419" s="96" t="s">
        <v>898</v>
      </c>
    </row>
    <row r="2420" spans="1:3" ht="15">
      <c r="A2420" s="90" t="s">
        <v>286</v>
      </c>
      <c r="B2420" s="89" t="s">
        <v>2850</v>
      </c>
      <c r="C2420" s="96" t="s">
        <v>898</v>
      </c>
    </row>
    <row r="2421" spans="1:3" ht="15">
      <c r="A2421" s="90" t="s">
        <v>286</v>
      </c>
      <c r="B2421" s="89" t="s">
        <v>2851</v>
      </c>
      <c r="C2421" s="96" t="s">
        <v>898</v>
      </c>
    </row>
    <row r="2422" spans="1:3" ht="15">
      <c r="A2422" s="90" t="s">
        <v>286</v>
      </c>
      <c r="B2422" s="89" t="s">
        <v>2123</v>
      </c>
      <c r="C2422" s="96" t="s">
        <v>898</v>
      </c>
    </row>
    <row r="2423" spans="1:3" ht="15">
      <c r="A2423" s="90" t="s">
        <v>286</v>
      </c>
      <c r="B2423" s="89" t="s">
        <v>2114</v>
      </c>
      <c r="C2423" s="96" t="s">
        <v>898</v>
      </c>
    </row>
    <row r="2424" spans="1:3" ht="15">
      <c r="A2424" s="90" t="s">
        <v>286</v>
      </c>
      <c r="B2424" s="89" t="s">
        <v>2852</v>
      </c>
      <c r="C2424" s="96" t="s">
        <v>898</v>
      </c>
    </row>
    <row r="2425" spans="1:3" ht="15">
      <c r="A2425" s="90" t="s">
        <v>286</v>
      </c>
      <c r="B2425" s="89" t="s">
        <v>2853</v>
      </c>
      <c r="C2425" s="96" t="s">
        <v>898</v>
      </c>
    </row>
    <row r="2426" spans="1:3" ht="15">
      <c r="A2426" s="90" t="s">
        <v>286</v>
      </c>
      <c r="B2426" s="89" t="s">
        <v>2854</v>
      </c>
      <c r="C2426" s="96" t="s">
        <v>898</v>
      </c>
    </row>
    <row r="2427" spans="1:3" ht="15">
      <c r="A2427" s="90" t="s">
        <v>286</v>
      </c>
      <c r="B2427" s="89" t="s">
        <v>2364</v>
      </c>
      <c r="C2427" s="96" t="s">
        <v>898</v>
      </c>
    </row>
    <row r="2428" spans="1:3" ht="15">
      <c r="A2428" s="90" t="s">
        <v>286</v>
      </c>
      <c r="B2428" s="89" t="s">
        <v>2855</v>
      </c>
      <c r="C2428" s="96" t="s">
        <v>898</v>
      </c>
    </row>
    <row r="2429" spans="1:3" ht="15">
      <c r="A2429" s="90" t="s">
        <v>286</v>
      </c>
      <c r="B2429" s="89" t="s">
        <v>2856</v>
      </c>
      <c r="C2429" s="96" t="s">
        <v>898</v>
      </c>
    </row>
    <row r="2430" spans="1:3" ht="15">
      <c r="A2430" s="90" t="s">
        <v>286</v>
      </c>
      <c r="B2430" s="89" t="s">
        <v>2857</v>
      </c>
      <c r="C2430" s="96" t="s">
        <v>898</v>
      </c>
    </row>
    <row r="2431" spans="1:3" ht="15">
      <c r="A2431" s="90" t="s">
        <v>286</v>
      </c>
      <c r="B2431" s="89" t="s">
        <v>2858</v>
      </c>
      <c r="C2431" s="96" t="s">
        <v>898</v>
      </c>
    </row>
    <row r="2432" spans="1:3" ht="15">
      <c r="A2432" s="90" t="s">
        <v>286</v>
      </c>
      <c r="B2432" s="89">
        <v>80</v>
      </c>
      <c r="C2432" s="96" t="s">
        <v>898</v>
      </c>
    </row>
    <row r="2433" spans="1:3" ht="15">
      <c r="A2433" s="90" t="s">
        <v>286</v>
      </c>
      <c r="B2433" s="89" t="s">
        <v>2859</v>
      </c>
      <c r="C2433" s="96" t="s">
        <v>898</v>
      </c>
    </row>
    <row r="2434" spans="1:3" ht="15">
      <c r="A2434" s="90" t="s">
        <v>285</v>
      </c>
      <c r="B2434" s="89" t="s">
        <v>416</v>
      </c>
      <c r="C2434" s="96" t="s">
        <v>897</v>
      </c>
    </row>
    <row r="2435" spans="1:3" ht="15">
      <c r="A2435" s="90" t="s">
        <v>285</v>
      </c>
      <c r="B2435" s="89" t="s">
        <v>2174</v>
      </c>
      <c r="C2435" s="96" t="s">
        <v>897</v>
      </c>
    </row>
    <row r="2436" spans="1:3" ht="15">
      <c r="A2436" s="90" t="s">
        <v>285</v>
      </c>
      <c r="B2436" s="89" t="s">
        <v>2860</v>
      </c>
      <c r="C2436" s="96" t="s">
        <v>897</v>
      </c>
    </row>
    <row r="2437" spans="1:3" ht="15">
      <c r="A2437" s="90" t="s">
        <v>285</v>
      </c>
      <c r="B2437" s="89" t="s">
        <v>2861</v>
      </c>
      <c r="C2437" s="96" t="s">
        <v>897</v>
      </c>
    </row>
    <row r="2438" spans="1:3" ht="15">
      <c r="A2438" s="90" t="s">
        <v>285</v>
      </c>
      <c r="B2438" s="89" t="s">
        <v>2370</v>
      </c>
      <c r="C2438" s="96" t="s">
        <v>897</v>
      </c>
    </row>
    <row r="2439" spans="1:3" ht="15">
      <c r="A2439" s="90" t="s">
        <v>285</v>
      </c>
      <c r="B2439" s="89" t="s">
        <v>2369</v>
      </c>
      <c r="C2439" s="96" t="s">
        <v>897</v>
      </c>
    </row>
    <row r="2440" spans="1:3" ht="15">
      <c r="A2440" s="90" t="s">
        <v>285</v>
      </c>
      <c r="B2440" s="89" t="s">
        <v>384</v>
      </c>
      <c r="C2440" s="96" t="s">
        <v>896</v>
      </c>
    </row>
    <row r="2441" spans="1:3" ht="15">
      <c r="A2441" s="90" t="s">
        <v>285</v>
      </c>
      <c r="B2441" s="89" t="s">
        <v>416</v>
      </c>
      <c r="C2441" s="96" t="s">
        <v>896</v>
      </c>
    </row>
    <row r="2442" spans="1:3" ht="15">
      <c r="A2442" s="90" t="s">
        <v>284</v>
      </c>
      <c r="B2442" s="89" t="s">
        <v>349</v>
      </c>
      <c r="C2442" s="96" t="s">
        <v>895</v>
      </c>
    </row>
    <row r="2443" spans="1:3" ht="15">
      <c r="A2443" s="90" t="s">
        <v>284</v>
      </c>
      <c r="B2443" s="89" t="s">
        <v>2862</v>
      </c>
      <c r="C2443" s="96" t="s">
        <v>895</v>
      </c>
    </row>
    <row r="2444" spans="1:3" ht="15">
      <c r="A2444" s="90" t="s">
        <v>284</v>
      </c>
      <c r="B2444" s="89" t="s">
        <v>2557</v>
      </c>
      <c r="C2444" s="96" t="s">
        <v>895</v>
      </c>
    </row>
    <row r="2445" spans="1:3" ht="15">
      <c r="A2445" s="90" t="s">
        <v>284</v>
      </c>
      <c r="B2445" s="89" t="s">
        <v>2863</v>
      </c>
      <c r="C2445" s="96" t="s">
        <v>895</v>
      </c>
    </row>
    <row r="2446" spans="1:3" ht="15">
      <c r="A2446" s="90" t="s">
        <v>284</v>
      </c>
      <c r="B2446" s="89" t="s">
        <v>2864</v>
      </c>
      <c r="C2446" s="96" t="s">
        <v>895</v>
      </c>
    </row>
    <row r="2447" spans="1:3" ht="15">
      <c r="A2447" s="90" t="s">
        <v>284</v>
      </c>
      <c r="B2447" s="89" t="s">
        <v>2865</v>
      </c>
      <c r="C2447" s="96" t="s">
        <v>895</v>
      </c>
    </row>
    <row r="2448" spans="1:3" ht="15">
      <c r="A2448" s="90" t="s">
        <v>284</v>
      </c>
      <c r="B2448" s="89" t="s">
        <v>2866</v>
      </c>
      <c r="C2448" s="96" t="s">
        <v>895</v>
      </c>
    </row>
    <row r="2449" spans="1:3" ht="15">
      <c r="A2449" s="90" t="s">
        <v>284</v>
      </c>
      <c r="B2449" s="89" t="s">
        <v>2867</v>
      </c>
      <c r="C2449" s="96" t="s">
        <v>895</v>
      </c>
    </row>
    <row r="2450" spans="1:3" ht="15">
      <c r="A2450" s="90" t="s">
        <v>284</v>
      </c>
      <c r="B2450" s="89" t="s">
        <v>2360</v>
      </c>
      <c r="C2450" s="96" t="s">
        <v>895</v>
      </c>
    </row>
    <row r="2451" spans="1:3" ht="15">
      <c r="A2451" s="90" t="s">
        <v>283</v>
      </c>
      <c r="B2451" s="89" t="s">
        <v>2378</v>
      </c>
      <c r="C2451" s="96" t="s">
        <v>894</v>
      </c>
    </row>
    <row r="2452" spans="1:3" ht="15">
      <c r="A2452" s="90" t="s">
        <v>283</v>
      </c>
      <c r="B2452" s="89" t="s">
        <v>2868</v>
      </c>
      <c r="C2452" s="96" t="s">
        <v>894</v>
      </c>
    </row>
    <row r="2453" spans="1:3" ht="15">
      <c r="A2453" s="90" t="s">
        <v>283</v>
      </c>
      <c r="B2453" s="89" t="s">
        <v>2869</v>
      </c>
      <c r="C2453" s="96" t="s">
        <v>894</v>
      </c>
    </row>
    <row r="2454" spans="1:3" ht="15">
      <c r="A2454" s="90" t="s">
        <v>283</v>
      </c>
      <c r="B2454" s="89" t="s">
        <v>2870</v>
      </c>
      <c r="C2454" s="96" t="s">
        <v>894</v>
      </c>
    </row>
    <row r="2455" spans="1:3" ht="15">
      <c r="A2455" s="90" t="s">
        <v>283</v>
      </c>
      <c r="B2455" s="89" t="s">
        <v>2871</v>
      </c>
      <c r="C2455" s="96" t="s">
        <v>894</v>
      </c>
    </row>
    <row r="2456" spans="1:3" ht="15">
      <c r="A2456" s="90" t="s">
        <v>283</v>
      </c>
      <c r="B2456" s="89" t="s">
        <v>2872</v>
      </c>
      <c r="C2456" s="96" t="s">
        <v>894</v>
      </c>
    </row>
    <row r="2457" spans="1:3" ht="15">
      <c r="A2457" s="90" t="s">
        <v>283</v>
      </c>
      <c r="B2457" s="89" t="s">
        <v>2873</v>
      </c>
      <c r="C2457" s="96" t="s">
        <v>894</v>
      </c>
    </row>
    <row r="2458" spans="1:3" ht="15">
      <c r="A2458" s="90" t="s">
        <v>283</v>
      </c>
      <c r="B2458" s="89" t="s">
        <v>2715</v>
      </c>
      <c r="C2458" s="96" t="s">
        <v>894</v>
      </c>
    </row>
    <row r="2459" spans="1:3" ht="15">
      <c r="A2459" s="90" t="s">
        <v>283</v>
      </c>
      <c r="B2459" s="89" t="s">
        <v>2874</v>
      </c>
      <c r="C2459" s="96" t="s">
        <v>894</v>
      </c>
    </row>
    <row r="2460" spans="1:3" ht="15">
      <c r="A2460" s="90" t="s">
        <v>283</v>
      </c>
      <c r="B2460" s="89" t="s">
        <v>2875</v>
      </c>
      <c r="C2460" s="96" t="s">
        <v>894</v>
      </c>
    </row>
    <row r="2461" spans="1:3" ht="15">
      <c r="A2461" s="90" t="s">
        <v>283</v>
      </c>
      <c r="B2461" s="89" t="s">
        <v>2876</v>
      </c>
      <c r="C2461" s="96" t="s">
        <v>894</v>
      </c>
    </row>
    <row r="2462" spans="1:3" ht="15">
      <c r="A2462" s="90" t="s">
        <v>283</v>
      </c>
      <c r="B2462" s="89" t="s">
        <v>2877</v>
      </c>
      <c r="C2462" s="96" t="s">
        <v>894</v>
      </c>
    </row>
    <row r="2463" spans="1:3" ht="15">
      <c r="A2463" s="90" t="s">
        <v>283</v>
      </c>
      <c r="B2463" s="89" t="s">
        <v>2878</v>
      </c>
      <c r="C2463" s="96" t="s">
        <v>894</v>
      </c>
    </row>
    <row r="2464" spans="1:3" ht="15">
      <c r="A2464" s="90" t="s">
        <v>283</v>
      </c>
      <c r="B2464" s="89" t="s">
        <v>2215</v>
      </c>
      <c r="C2464" s="96" t="s">
        <v>894</v>
      </c>
    </row>
    <row r="2465" spans="1:3" ht="15">
      <c r="A2465" s="90" t="s">
        <v>283</v>
      </c>
      <c r="B2465" s="89" t="s">
        <v>2369</v>
      </c>
      <c r="C2465" s="96" t="s">
        <v>894</v>
      </c>
    </row>
    <row r="2466" spans="1:3" ht="15">
      <c r="A2466" s="90" t="s">
        <v>283</v>
      </c>
      <c r="B2466" s="89" t="s">
        <v>2370</v>
      </c>
      <c r="C2466" s="96" t="s">
        <v>894</v>
      </c>
    </row>
    <row r="2467" spans="1:3" ht="15">
      <c r="A2467" s="90" t="s">
        <v>283</v>
      </c>
      <c r="B2467" s="89" t="s">
        <v>2212</v>
      </c>
      <c r="C2467" s="96" t="s">
        <v>894</v>
      </c>
    </row>
    <row r="2468" spans="1:3" ht="15">
      <c r="A2468" s="90" t="s">
        <v>283</v>
      </c>
      <c r="B2468" s="89" t="s">
        <v>2364</v>
      </c>
      <c r="C2468" s="96" t="s">
        <v>894</v>
      </c>
    </row>
    <row r="2469" spans="1:3" ht="15">
      <c r="A2469" s="90" t="s">
        <v>283</v>
      </c>
      <c r="B2469" s="89" t="s">
        <v>2879</v>
      </c>
      <c r="C2469" s="96" t="s">
        <v>894</v>
      </c>
    </row>
    <row r="2470" spans="1:3" ht="15">
      <c r="A2470" s="90" t="s">
        <v>283</v>
      </c>
      <c r="B2470" s="89" t="s">
        <v>2288</v>
      </c>
      <c r="C2470" s="96" t="s">
        <v>894</v>
      </c>
    </row>
    <row r="2471" spans="1:3" ht="15">
      <c r="A2471" s="90" t="s">
        <v>283</v>
      </c>
      <c r="B2471" s="89" t="s">
        <v>2880</v>
      </c>
      <c r="C2471" s="96" t="s">
        <v>894</v>
      </c>
    </row>
    <row r="2472" spans="1:3" ht="15">
      <c r="A2472" s="90" t="s">
        <v>283</v>
      </c>
      <c r="B2472" s="89" t="s">
        <v>2881</v>
      </c>
      <c r="C2472" s="96" t="s">
        <v>894</v>
      </c>
    </row>
    <row r="2473" spans="1:3" ht="15">
      <c r="A2473" s="90" t="s">
        <v>283</v>
      </c>
      <c r="B2473" s="89" t="s">
        <v>2305</v>
      </c>
      <c r="C2473" s="96" t="s">
        <v>894</v>
      </c>
    </row>
    <row r="2474" spans="1:3" ht="15">
      <c r="A2474" s="90" t="s">
        <v>283</v>
      </c>
      <c r="B2474" s="89" t="s">
        <v>2376</v>
      </c>
      <c r="C2474" s="96" t="s">
        <v>894</v>
      </c>
    </row>
    <row r="2475" spans="1:3" ht="15">
      <c r="A2475" s="90" t="s">
        <v>283</v>
      </c>
      <c r="B2475" s="89" t="s">
        <v>2882</v>
      </c>
      <c r="C2475" s="96" t="s">
        <v>894</v>
      </c>
    </row>
    <row r="2476" spans="1:3" ht="15">
      <c r="A2476" s="90" t="s">
        <v>283</v>
      </c>
      <c r="B2476" s="89" t="s">
        <v>2385</v>
      </c>
      <c r="C2476" s="96" t="s">
        <v>894</v>
      </c>
    </row>
    <row r="2477" spans="1:3" ht="15">
      <c r="A2477" s="90" t="s">
        <v>283</v>
      </c>
      <c r="B2477" s="89" t="s">
        <v>2883</v>
      </c>
      <c r="C2477" s="96" t="s">
        <v>894</v>
      </c>
    </row>
    <row r="2478" spans="1:3" ht="15">
      <c r="A2478" s="90" t="s">
        <v>282</v>
      </c>
      <c r="B2478" s="89" t="s">
        <v>2884</v>
      </c>
      <c r="C2478" s="96" t="s">
        <v>893</v>
      </c>
    </row>
    <row r="2479" spans="1:3" ht="15">
      <c r="A2479" s="90" t="s">
        <v>282</v>
      </c>
      <c r="B2479" s="89" t="s">
        <v>2364</v>
      </c>
      <c r="C2479" s="96" t="s">
        <v>893</v>
      </c>
    </row>
    <row r="2480" spans="1:3" ht="15">
      <c r="A2480" s="90" t="s">
        <v>282</v>
      </c>
      <c r="B2480" s="89" t="s">
        <v>2376</v>
      </c>
      <c r="C2480" s="96" t="s">
        <v>893</v>
      </c>
    </row>
    <row r="2481" spans="1:3" ht="15">
      <c r="A2481" s="90" t="s">
        <v>282</v>
      </c>
      <c r="B2481" s="89" t="s">
        <v>2307</v>
      </c>
      <c r="C2481" s="96" t="s">
        <v>893</v>
      </c>
    </row>
    <row r="2482" spans="1:3" ht="15">
      <c r="A2482" s="90" t="s">
        <v>282</v>
      </c>
      <c r="B2482" s="89" t="s">
        <v>2308</v>
      </c>
      <c r="C2482" s="96" t="s">
        <v>893</v>
      </c>
    </row>
    <row r="2483" spans="1:3" ht="15">
      <c r="A2483" s="90" t="s">
        <v>282</v>
      </c>
      <c r="B2483" s="89" t="s">
        <v>2885</v>
      </c>
      <c r="C2483" s="96" t="s">
        <v>893</v>
      </c>
    </row>
    <row r="2484" spans="1:3" ht="15">
      <c r="A2484" s="90" t="s">
        <v>282</v>
      </c>
      <c r="B2484" s="89" t="s">
        <v>416</v>
      </c>
      <c r="C2484" s="96" t="s">
        <v>893</v>
      </c>
    </row>
    <row r="2485" spans="1:3" ht="15">
      <c r="A2485" s="90" t="s">
        <v>281</v>
      </c>
      <c r="B2485" s="89" t="s">
        <v>2378</v>
      </c>
      <c r="C2485" s="96" t="s">
        <v>892</v>
      </c>
    </row>
    <row r="2486" spans="1:3" ht="15">
      <c r="A2486" s="90" t="s">
        <v>281</v>
      </c>
      <c r="B2486" s="89" t="s">
        <v>416</v>
      </c>
      <c r="C2486" s="96" t="s">
        <v>892</v>
      </c>
    </row>
    <row r="2487" spans="1:3" ht="15">
      <c r="A2487" s="90" t="s">
        <v>281</v>
      </c>
      <c r="B2487" s="89" t="s">
        <v>2886</v>
      </c>
      <c r="C2487" s="96" t="s">
        <v>892</v>
      </c>
    </row>
    <row r="2488" spans="1:3" ht="15">
      <c r="A2488" s="90" t="s">
        <v>281</v>
      </c>
      <c r="B2488" s="89" t="s">
        <v>2887</v>
      </c>
      <c r="C2488" s="96" t="s">
        <v>892</v>
      </c>
    </row>
    <row r="2489" spans="1:3" ht="15">
      <c r="A2489" s="90" t="s">
        <v>280</v>
      </c>
      <c r="B2489" s="89" t="s">
        <v>2626</v>
      </c>
      <c r="C2489" s="96" t="s">
        <v>891</v>
      </c>
    </row>
    <row r="2490" spans="1:3" ht="15">
      <c r="A2490" s="90" t="s">
        <v>280</v>
      </c>
      <c r="B2490" s="89" t="s">
        <v>2888</v>
      </c>
      <c r="C2490" s="96" t="s">
        <v>891</v>
      </c>
    </row>
    <row r="2491" spans="1:3" ht="15">
      <c r="A2491" s="90" t="s">
        <v>280</v>
      </c>
      <c r="B2491" s="89" t="s">
        <v>2376</v>
      </c>
      <c r="C2491" s="96" t="s">
        <v>891</v>
      </c>
    </row>
    <row r="2492" spans="1:3" ht="15">
      <c r="A2492" s="90" t="s">
        <v>280</v>
      </c>
      <c r="B2492" s="89" t="s">
        <v>2889</v>
      </c>
      <c r="C2492" s="96" t="s">
        <v>891</v>
      </c>
    </row>
    <row r="2493" spans="1:3" ht="15">
      <c r="A2493" s="90" t="s">
        <v>280</v>
      </c>
      <c r="B2493" s="89" t="s">
        <v>2890</v>
      </c>
      <c r="C2493" s="96" t="s">
        <v>891</v>
      </c>
    </row>
    <row r="2494" spans="1:3" ht="15">
      <c r="A2494" s="90" t="s">
        <v>280</v>
      </c>
      <c r="B2494" s="89" t="s">
        <v>2891</v>
      </c>
      <c r="C2494" s="96" t="s">
        <v>891</v>
      </c>
    </row>
    <row r="2495" spans="1:3" ht="15">
      <c r="A2495" s="90" t="s">
        <v>280</v>
      </c>
      <c r="B2495" s="89" t="s">
        <v>2892</v>
      </c>
      <c r="C2495" s="96" t="s">
        <v>891</v>
      </c>
    </row>
    <row r="2496" spans="1:3" ht="15">
      <c r="A2496" s="90" t="s">
        <v>280</v>
      </c>
      <c r="B2496" s="89" t="s">
        <v>2381</v>
      </c>
      <c r="C2496" s="96" t="s">
        <v>891</v>
      </c>
    </row>
    <row r="2497" spans="1:3" ht="15">
      <c r="A2497" s="90" t="s">
        <v>280</v>
      </c>
      <c r="B2497" s="89" t="s">
        <v>2893</v>
      </c>
      <c r="C2497" s="96" t="s">
        <v>891</v>
      </c>
    </row>
    <row r="2498" spans="1:3" ht="15">
      <c r="A2498" s="90" t="s">
        <v>280</v>
      </c>
      <c r="B2498" s="89" t="s">
        <v>2894</v>
      </c>
      <c r="C2498" s="96" t="s">
        <v>891</v>
      </c>
    </row>
    <row r="2499" spans="1:3" ht="15">
      <c r="A2499" s="90" t="s">
        <v>280</v>
      </c>
      <c r="B2499" s="89" t="s">
        <v>2895</v>
      </c>
      <c r="C2499" s="96" t="s">
        <v>891</v>
      </c>
    </row>
    <row r="2500" spans="1:3" ht="15">
      <c r="A2500" s="90" t="s">
        <v>280</v>
      </c>
      <c r="B2500" s="89" t="s">
        <v>2896</v>
      </c>
      <c r="C2500" s="96" t="s">
        <v>891</v>
      </c>
    </row>
    <row r="2501" spans="1:3" ht="15">
      <c r="A2501" s="90" t="s">
        <v>280</v>
      </c>
      <c r="B2501" s="89" t="s">
        <v>2897</v>
      </c>
      <c r="C2501" s="96" t="s">
        <v>891</v>
      </c>
    </row>
    <row r="2502" spans="1:3" ht="15">
      <c r="A2502" s="90" t="s">
        <v>280</v>
      </c>
      <c r="B2502" s="89" t="s">
        <v>416</v>
      </c>
      <c r="C2502" s="96" t="s">
        <v>891</v>
      </c>
    </row>
    <row r="2503" spans="1:3" ht="15">
      <c r="A2503" s="90" t="s">
        <v>280</v>
      </c>
      <c r="B2503" s="89" t="s">
        <v>2898</v>
      </c>
      <c r="C2503" s="96" t="s">
        <v>891</v>
      </c>
    </row>
    <row r="2504" spans="1:3" ht="15">
      <c r="A2504" s="90" t="s">
        <v>279</v>
      </c>
      <c r="B2504" s="89" t="s">
        <v>2360</v>
      </c>
      <c r="C2504" s="96" t="s">
        <v>890</v>
      </c>
    </row>
    <row r="2505" spans="1:3" ht="15">
      <c r="A2505" s="90" t="s">
        <v>279</v>
      </c>
      <c r="B2505" s="89" t="s">
        <v>2159</v>
      </c>
      <c r="C2505" s="96" t="s">
        <v>890</v>
      </c>
    </row>
    <row r="2506" spans="1:3" ht="15">
      <c r="A2506" s="90" t="s">
        <v>279</v>
      </c>
      <c r="B2506" s="89" t="s">
        <v>2160</v>
      </c>
      <c r="C2506" s="96" t="s">
        <v>890</v>
      </c>
    </row>
    <row r="2507" spans="1:3" ht="15">
      <c r="A2507" s="90" t="s">
        <v>279</v>
      </c>
      <c r="B2507" s="89" t="s">
        <v>2442</v>
      </c>
      <c r="C2507" s="96" t="s">
        <v>890</v>
      </c>
    </row>
    <row r="2508" spans="1:3" ht="15">
      <c r="A2508" s="90" t="s">
        <v>279</v>
      </c>
      <c r="B2508" s="89" t="s">
        <v>2584</v>
      </c>
      <c r="C2508" s="96" t="s">
        <v>890</v>
      </c>
    </row>
    <row r="2509" spans="1:3" ht="15">
      <c r="A2509" s="90" t="s">
        <v>279</v>
      </c>
      <c r="B2509" s="89" t="s">
        <v>2428</v>
      </c>
      <c r="C2509" s="96" t="s">
        <v>890</v>
      </c>
    </row>
    <row r="2510" spans="1:3" ht="15">
      <c r="A2510" s="90" t="s">
        <v>279</v>
      </c>
      <c r="B2510" s="89" t="s">
        <v>2585</v>
      </c>
      <c r="C2510" s="96" t="s">
        <v>890</v>
      </c>
    </row>
    <row r="2511" spans="1:3" ht="15">
      <c r="A2511" s="90" t="s">
        <v>279</v>
      </c>
      <c r="B2511" s="89" t="s">
        <v>2109</v>
      </c>
      <c r="C2511" s="96" t="s">
        <v>890</v>
      </c>
    </row>
    <row r="2512" spans="1:3" ht="15">
      <c r="A2512" s="90" t="s">
        <v>279</v>
      </c>
      <c r="B2512" s="89" t="s">
        <v>2586</v>
      </c>
      <c r="C2512" s="96" t="s">
        <v>890</v>
      </c>
    </row>
    <row r="2513" spans="1:3" ht="15">
      <c r="A2513" s="90" t="s">
        <v>279</v>
      </c>
      <c r="B2513" s="89" t="s">
        <v>2158</v>
      </c>
      <c r="C2513" s="96" t="s">
        <v>890</v>
      </c>
    </row>
    <row r="2514" spans="1:3" ht="15">
      <c r="A2514" s="90" t="s">
        <v>279</v>
      </c>
      <c r="B2514" s="89" t="s">
        <v>2162</v>
      </c>
      <c r="C2514" s="96" t="s">
        <v>890</v>
      </c>
    </row>
    <row r="2515" spans="1:3" ht="15">
      <c r="A2515" s="90" t="s">
        <v>279</v>
      </c>
      <c r="B2515" s="89" t="s">
        <v>2587</v>
      </c>
      <c r="C2515" s="96" t="s">
        <v>890</v>
      </c>
    </row>
    <row r="2516" spans="1:3" ht="15">
      <c r="A2516" s="90" t="s">
        <v>279</v>
      </c>
      <c r="B2516" s="89" t="s">
        <v>2588</v>
      </c>
      <c r="C2516" s="96" t="s">
        <v>890</v>
      </c>
    </row>
    <row r="2517" spans="1:3" ht="15">
      <c r="A2517" s="90" t="s">
        <v>279</v>
      </c>
      <c r="B2517" s="89" t="s">
        <v>2589</v>
      </c>
      <c r="C2517" s="96" t="s">
        <v>890</v>
      </c>
    </row>
    <row r="2518" spans="1:3" ht="15">
      <c r="A2518" s="90" t="s">
        <v>279</v>
      </c>
      <c r="B2518" s="89" t="s">
        <v>2369</v>
      </c>
      <c r="C2518" s="96" t="s">
        <v>890</v>
      </c>
    </row>
    <row r="2519" spans="1:3" ht="15">
      <c r="A2519" s="90" t="s">
        <v>279</v>
      </c>
      <c r="B2519" s="89" t="s">
        <v>2376</v>
      </c>
      <c r="C2519" s="96" t="s">
        <v>890</v>
      </c>
    </row>
    <row r="2520" spans="1:3" ht="15">
      <c r="A2520" s="90" t="s">
        <v>279</v>
      </c>
      <c r="B2520" s="89" t="s">
        <v>2590</v>
      </c>
      <c r="C2520" s="96" t="s">
        <v>890</v>
      </c>
    </row>
    <row r="2521" spans="1:3" ht="15">
      <c r="A2521" s="90" t="s">
        <v>279</v>
      </c>
      <c r="B2521" s="89" t="s">
        <v>2165</v>
      </c>
      <c r="C2521" s="96" t="s">
        <v>890</v>
      </c>
    </row>
    <row r="2522" spans="1:3" ht="15">
      <c r="A2522" s="90" t="s">
        <v>279</v>
      </c>
      <c r="B2522" s="89" t="s">
        <v>2591</v>
      </c>
      <c r="C2522" s="96" t="s">
        <v>890</v>
      </c>
    </row>
    <row r="2523" spans="1:3" ht="15">
      <c r="A2523" s="90" t="s">
        <v>279</v>
      </c>
      <c r="B2523" s="89" t="s">
        <v>2167</v>
      </c>
      <c r="C2523" s="96" t="s">
        <v>890</v>
      </c>
    </row>
    <row r="2524" spans="1:3" ht="15">
      <c r="A2524" s="90" t="s">
        <v>279</v>
      </c>
      <c r="B2524" s="89" t="s">
        <v>2168</v>
      </c>
      <c r="C2524" s="96" t="s">
        <v>890</v>
      </c>
    </row>
    <row r="2525" spans="1:3" ht="15">
      <c r="A2525" s="90" t="s">
        <v>279</v>
      </c>
      <c r="B2525" s="89" t="s">
        <v>2169</v>
      </c>
      <c r="C2525" s="96" t="s">
        <v>890</v>
      </c>
    </row>
    <row r="2526" spans="1:3" ht="15">
      <c r="A2526" s="90" t="s">
        <v>279</v>
      </c>
      <c r="B2526" s="89" t="s">
        <v>2170</v>
      </c>
      <c r="C2526" s="96" t="s">
        <v>890</v>
      </c>
    </row>
    <row r="2527" spans="1:3" ht="15">
      <c r="A2527" s="90" t="s">
        <v>279</v>
      </c>
      <c r="B2527" s="89" t="s">
        <v>2361</v>
      </c>
      <c r="C2527" s="96" t="s">
        <v>890</v>
      </c>
    </row>
    <row r="2528" spans="1:3" ht="15">
      <c r="A2528" s="90" t="s">
        <v>279</v>
      </c>
      <c r="B2528" s="89" t="s">
        <v>2171</v>
      </c>
      <c r="C2528" s="96" t="s">
        <v>890</v>
      </c>
    </row>
    <row r="2529" spans="1:3" ht="15">
      <c r="A2529" s="90" t="s">
        <v>279</v>
      </c>
      <c r="B2529" s="89" t="s">
        <v>2172</v>
      </c>
      <c r="C2529" s="96" t="s">
        <v>890</v>
      </c>
    </row>
    <row r="2530" spans="1:3" ht="15">
      <c r="A2530" s="90" t="s">
        <v>279</v>
      </c>
      <c r="B2530" s="89" t="s">
        <v>2173</v>
      </c>
      <c r="C2530" s="96" t="s">
        <v>890</v>
      </c>
    </row>
    <row r="2531" spans="1:3" ht="15">
      <c r="A2531" s="90" t="s">
        <v>279</v>
      </c>
      <c r="B2531" s="89" t="s">
        <v>2592</v>
      </c>
      <c r="C2531" s="96" t="s">
        <v>890</v>
      </c>
    </row>
    <row r="2532" spans="1:3" ht="15">
      <c r="A2532" s="90" t="s">
        <v>279</v>
      </c>
      <c r="B2532" s="89" t="s">
        <v>2174</v>
      </c>
      <c r="C2532" s="96" t="s">
        <v>890</v>
      </c>
    </row>
    <row r="2533" spans="1:3" ht="15">
      <c r="A2533" s="90" t="s">
        <v>278</v>
      </c>
      <c r="B2533" s="89" t="s">
        <v>2899</v>
      </c>
      <c r="C2533" s="96" t="s">
        <v>889</v>
      </c>
    </row>
    <row r="2534" spans="1:3" ht="15">
      <c r="A2534" s="90" t="s">
        <v>278</v>
      </c>
      <c r="B2534" s="89" t="s">
        <v>2900</v>
      </c>
      <c r="C2534" s="96" t="s">
        <v>889</v>
      </c>
    </row>
    <row r="2535" spans="1:3" ht="15">
      <c r="A2535" s="90" t="s">
        <v>278</v>
      </c>
      <c r="B2535" s="89" t="s">
        <v>2376</v>
      </c>
      <c r="C2535" s="96" t="s">
        <v>889</v>
      </c>
    </row>
    <row r="2536" spans="1:3" ht="15">
      <c r="A2536" s="90" t="s">
        <v>278</v>
      </c>
      <c r="B2536" s="89">
        <v>2</v>
      </c>
      <c r="C2536" s="96" t="s">
        <v>889</v>
      </c>
    </row>
    <row r="2537" spans="1:3" ht="15">
      <c r="A2537" s="90" t="s">
        <v>278</v>
      </c>
      <c r="B2537" s="89" t="s">
        <v>2901</v>
      </c>
      <c r="C2537" s="96" t="s">
        <v>889</v>
      </c>
    </row>
    <row r="2538" spans="1:3" ht="15">
      <c r="A2538" s="90" t="s">
        <v>278</v>
      </c>
      <c r="B2538" s="89" t="s">
        <v>2902</v>
      </c>
      <c r="C2538" s="96" t="s">
        <v>889</v>
      </c>
    </row>
    <row r="2539" spans="1:3" ht="15">
      <c r="A2539" s="90" t="s">
        <v>278</v>
      </c>
      <c r="B2539" s="89" t="s">
        <v>2522</v>
      </c>
      <c r="C2539" s="96" t="s">
        <v>889</v>
      </c>
    </row>
    <row r="2540" spans="1:3" ht="15">
      <c r="A2540" s="90" t="s">
        <v>278</v>
      </c>
      <c r="B2540" s="89" t="s">
        <v>2903</v>
      </c>
      <c r="C2540" s="96" t="s">
        <v>889</v>
      </c>
    </row>
    <row r="2541" spans="1:3" ht="15">
      <c r="A2541" s="90" t="s">
        <v>278</v>
      </c>
      <c r="B2541" s="89" t="s">
        <v>2904</v>
      </c>
      <c r="C2541" s="96" t="s">
        <v>889</v>
      </c>
    </row>
    <row r="2542" spans="1:3" ht="15">
      <c r="A2542" s="90" t="s">
        <v>278</v>
      </c>
      <c r="B2542" s="89" t="s">
        <v>2106</v>
      </c>
      <c r="C2542" s="96" t="s">
        <v>889</v>
      </c>
    </row>
    <row r="2543" spans="1:3" ht="15">
      <c r="A2543" s="90" t="s">
        <v>278</v>
      </c>
      <c r="B2543" s="89" t="s">
        <v>2107</v>
      </c>
      <c r="C2543" s="96" t="s">
        <v>889</v>
      </c>
    </row>
    <row r="2544" spans="1:3" ht="15">
      <c r="A2544" s="90" t="s">
        <v>278</v>
      </c>
      <c r="B2544" s="89" t="s">
        <v>2361</v>
      </c>
      <c r="C2544" s="96" t="s">
        <v>889</v>
      </c>
    </row>
    <row r="2545" spans="1:3" ht="15">
      <c r="A2545" s="90" t="s">
        <v>278</v>
      </c>
      <c r="B2545" s="89" t="s">
        <v>2905</v>
      </c>
      <c r="C2545" s="96" t="s">
        <v>889</v>
      </c>
    </row>
    <row r="2546" spans="1:3" ht="15">
      <c r="A2546" s="90" t="s">
        <v>278</v>
      </c>
      <c r="B2546" s="89" t="s">
        <v>2906</v>
      </c>
      <c r="C2546" s="96" t="s">
        <v>889</v>
      </c>
    </row>
    <row r="2547" spans="1:3" ht="15">
      <c r="A2547" s="90" t="s">
        <v>278</v>
      </c>
      <c r="B2547" s="89" t="s">
        <v>2907</v>
      </c>
      <c r="C2547" s="96" t="s">
        <v>889</v>
      </c>
    </row>
    <row r="2548" spans="1:3" ht="15">
      <c r="A2548" s="90" t="s">
        <v>278</v>
      </c>
      <c r="B2548" s="89" t="s">
        <v>2899</v>
      </c>
      <c r="C2548" s="96" t="s">
        <v>888</v>
      </c>
    </row>
    <row r="2549" spans="1:3" ht="15">
      <c r="A2549" s="90" t="s">
        <v>278</v>
      </c>
      <c r="B2549" s="89" t="s">
        <v>2369</v>
      </c>
      <c r="C2549" s="96" t="s">
        <v>888</v>
      </c>
    </row>
    <row r="2550" spans="1:3" ht="15">
      <c r="A2550" s="90" t="s">
        <v>278</v>
      </c>
      <c r="B2550" s="89" t="s">
        <v>2107</v>
      </c>
      <c r="C2550" s="96" t="s">
        <v>888</v>
      </c>
    </row>
    <row r="2551" spans="1:3" ht="15">
      <c r="A2551" s="90" t="s">
        <v>278</v>
      </c>
      <c r="B2551" s="89" t="s">
        <v>2376</v>
      </c>
      <c r="C2551" s="96" t="s">
        <v>888</v>
      </c>
    </row>
    <row r="2552" spans="1:3" ht="15">
      <c r="A2552" s="90" t="s">
        <v>278</v>
      </c>
      <c r="B2552" s="89" t="s">
        <v>2908</v>
      </c>
      <c r="C2552" s="96" t="s">
        <v>888</v>
      </c>
    </row>
    <row r="2553" spans="1:3" ht="15">
      <c r="A2553" s="90" t="s">
        <v>278</v>
      </c>
      <c r="B2553" s="89" t="s">
        <v>2899</v>
      </c>
      <c r="C2553" s="96" t="s">
        <v>887</v>
      </c>
    </row>
    <row r="2554" spans="1:3" ht="15">
      <c r="A2554" s="90" t="s">
        <v>278</v>
      </c>
      <c r="B2554" s="89" t="s">
        <v>65</v>
      </c>
      <c r="C2554" s="96" t="s">
        <v>887</v>
      </c>
    </row>
    <row r="2555" spans="1:3" ht="15">
      <c r="A2555" s="90" t="s">
        <v>278</v>
      </c>
      <c r="B2555" s="89" t="s">
        <v>2909</v>
      </c>
      <c r="C2555" s="96" t="s">
        <v>887</v>
      </c>
    </row>
    <row r="2556" spans="1:3" ht="15">
      <c r="A2556" s="90" t="s">
        <v>278</v>
      </c>
      <c r="B2556" s="89" t="s">
        <v>2369</v>
      </c>
      <c r="C2556" s="96" t="s">
        <v>887</v>
      </c>
    </row>
    <row r="2557" spans="1:3" ht="15">
      <c r="A2557" s="90" t="s">
        <v>278</v>
      </c>
      <c r="B2557" s="89" t="s">
        <v>2910</v>
      </c>
      <c r="C2557" s="96" t="s">
        <v>887</v>
      </c>
    </row>
    <row r="2558" spans="1:3" ht="15">
      <c r="A2558" s="90" t="s">
        <v>278</v>
      </c>
      <c r="B2558" s="89" t="s">
        <v>2215</v>
      </c>
      <c r="C2558" s="96" t="s">
        <v>887</v>
      </c>
    </row>
    <row r="2559" spans="1:3" ht="15">
      <c r="A2559" s="90" t="s">
        <v>278</v>
      </c>
      <c r="B2559" s="89" t="s">
        <v>2370</v>
      </c>
      <c r="C2559" s="96" t="s">
        <v>887</v>
      </c>
    </row>
    <row r="2560" spans="1:3" ht="15">
      <c r="A2560" s="90" t="s">
        <v>278</v>
      </c>
      <c r="B2560" s="89" t="s">
        <v>2911</v>
      </c>
      <c r="C2560" s="96" t="s">
        <v>887</v>
      </c>
    </row>
    <row r="2561" spans="1:3" ht="15">
      <c r="A2561" s="90" t="s">
        <v>278</v>
      </c>
      <c r="B2561" s="89" t="s">
        <v>2735</v>
      </c>
      <c r="C2561" s="96" t="s">
        <v>887</v>
      </c>
    </row>
    <row r="2562" spans="1:3" ht="15">
      <c r="A2562" s="90" t="s">
        <v>278</v>
      </c>
      <c r="B2562" s="89" t="s">
        <v>2385</v>
      </c>
      <c r="C2562" s="96" t="s">
        <v>887</v>
      </c>
    </row>
    <row r="2563" spans="1:3" ht="15">
      <c r="A2563" s="90" t="s">
        <v>278</v>
      </c>
      <c r="B2563" s="89" t="s">
        <v>2912</v>
      </c>
      <c r="C2563" s="96" t="s">
        <v>887</v>
      </c>
    </row>
    <row r="2564" spans="1:3" ht="15">
      <c r="A2564" s="90" t="s">
        <v>278</v>
      </c>
      <c r="B2564" s="89" t="s">
        <v>2382</v>
      </c>
      <c r="C2564" s="96" t="s">
        <v>887</v>
      </c>
    </row>
    <row r="2565" spans="1:3" ht="15">
      <c r="A2565" s="90" t="s">
        <v>278</v>
      </c>
      <c r="B2565" s="89" t="s">
        <v>2913</v>
      </c>
      <c r="C2565" s="96" t="s">
        <v>887</v>
      </c>
    </row>
    <row r="2566" spans="1:3" ht="15">
      <c r="A2566" s="90" t="s">
        <v>278</v>
      </c>
      <c r="B2566" s="89" t="s">
        <v>2914</v>
      </c>
      <c r="C2566" s="96" t="s">
        <v>886</v>
      </c>
    </row>
    <row r="2567" spans="1:3" ht="15">
      <c r="A2567" s="90" t="s">
        <v>278</v>
      </c>
      <c r="B2567" s="89" t="s">
        <v>416</v>
      </c>
      <c r="C2567" s="96" t="s">
        <v>886</v>
      </c>
    </row>
    <row r="2568" spans="1:3" ht="15">
      <c r="A2568" s="90" t="s">
        <v>278</v>
      </c>
      <c r="B2568" s="89" t="s">
        <v>2915</v>
      </c>
      <c r="C2568" s="96" t="s">
        <v>886</v>
      </c>
    </row>
    <row r="2569" spans="1:3" ht="15">
      <c r="A2569" s="90" t="s">
        <v>278</v>
      </c>
      <c r="B2569" s="89" t="s">
        <v>2916</v>
      </c>
      <c r="C2569" s="96" t="s">
        <v>886</v>
      </c>
    </row>
    <row r="2570" spans="1:3" ht="15">
      <c r="A2570" s="90" t="s">
        <v>277</v>
      </c>
      <c r="B2570" s="89" t="s">
        <v>333</v>
      </c>
      <c r="C2570" s="96" t="s">
        <v>885</v>
      </c>
    </row>
    <row r="2571" spans="1:3" ht="15">
      <c r="A2571" s="90" t="s">
        <v>277</v>
      </c>
      <c r="B2571" s="89" t="s">
        <v>556</v>
      </c>
      <c r="C2571" s="96" t="s">
        <v>885</v>
      </c>
    </row>
    <row r="2572" spans="1:3" ht="15">
      <c r="A2572" s="90" t="s">
        <v>277</v>
      </c>
      <c r="B2572" s="89" t="s">
        <v>2917</v>
      </c>
      <c r="C2572" s="96" t="s">
        <v>885</v>
      </c>
    </row>
    <row r="2573" spans="1:3" ht="15">
      <c r="A2573" s="90" t="s">
        <v>277</v>
      </c>
      <c r="B2573" s="89" t="s">
        <v>2918</v>
      </c>
      <c r="C2573" s="96" t="s">
        <v>885</v>
      </c>
    </row>
    <row r="2574" spans="1:3" ht="15">
      <c r="A2574" s="90" t="s">
        <v>277</v>
      </c>
      <c r="B2574" s="89" t="s">
        <v>2919</v>
      </c>
      <c r="C2574" s="96" t="s">
        <v>885</v>
      </c>
    </row>
    <row r="2575" spans="1:3" ht="15">
      <c r="A2575" s="90" t="s">
        <v>277</v>
      </c>
      <c r="B2575" s="89" t="s">
        <v>2920</v>
      </c>
      <c r="C2575" s="96" t="s">
        <v>885</v>
      </c>
    </row>
    <row r="2576" spans="1:3" ht="15">
      <c r="A2576" s="90" t="s">
        <v>277</v>
      </c>
      <c r="B2576" s="89" t="s">
        <v>2921</v>
      </c>
      <c r="C2576" s="96" t="s">
        <v>885</v>
      </c>
    </row>
    <row r="2577" spans="1:3" ht="15">
      <c r="A2577" s="90" t="s">
        <v>277</v>
      </c>
      <c r="B2577" s="89" t="s">
        <v>2730</v>
      </c>
      <c r="C2577" s="96" t="s">
        <v>885</v>
      </c>
    </row>
    <row r="2578" spans="1:3" ht="15">
      <c r="A2578" s="90" t="s">
        <v>277</v>
      </c>
      <c r="B2578" s="89" t="s">
        <v>2922</v>
      </c>
      <c r="C2578" s="96" t="s">
        <v>885</v>
      </c>
    </row>
    <row r="2579" spans="1:3" ht="15">
      <c r="A2579" s="90" t="s">
        <v>277</v>
      </c>
      <c r="B2579" s="89" t="s">
        <v>2923</v>
      </c>
      <c r="C2579" s="96" t="s">
        <v>885</v>
      </c>
    </row>
    <row r="2580" spans="1:3" ht="15">
      <c r="A2580" s="90" t="s">
        <v>277</v>
      </c>
      <c r="B2580" s="89" t="s">
        <v>2924</v>
      </c>
      <c r="C2580" s="96" t="s">
        <v>885</v>
      </c>
    </row>
    <row r="2581" spans="1:3" ht="15">
      <c r="A2581" s="90" t="s">
        <v>277</v>
      </c>
      <c r="B2581" s="89" t="s">
        <v>2925</v>
      </c>
      <c r="C2581" s="96" t="s">
        <v>885</v>
      </c>
    </row>
    <row r="2582" spans="1:3" ht="15">
      <c r="A2582" s="90" t="s">
        <v>277</v>
      </c>
      <c r="B2582" s="89" t="s">
        <v>2926</v>
      </c>
      <c r="C2582" s="96" t="s">
        <v>885</v>
      </c>
    </row>
    <row r="2583" spans="1:3" ht="15">
      <c r="A2583" s="90" t="s">
        <v>277</v>
      </c>
      <c r="B2583" s="89" t="s">
        <v>2305</v>
      </c>
      <c r="C2583" s="96" t="s">
        <v>885</v>
      </c>
    </row>
    <row r="2584" spans="1:3" ht="15">
      <c r="A2584" s="90" t="s">
        <v>277</v>
      </c>
      <c r="B2584" s="89" t="s">
        <v>2216</v>
      </c>
      <c r="C2584" s="96" t="s">
        <v>885</v>
      </c>
    </row>
    <row r="2585" spans="1:3" ht="15">
      <c r="A2585" s="90" t="s">
        <v>277</v>
      </c>
      <c r="B2585" s="89" t="s">
        <v>1129</v>
      </c>
      <c r="C2585" s="96" t="s">
        <v>885</v>
      </c>
    </row>
    <row r="2586" spans="1:3" ht="15">
      <c r="A2586" s="90" t="s">
        <v>277</v>
      </c>
      <c r="B2586" s="89" t="s">
        <v>2383</v>
      </c>
      <c r="C2586" s="96" t="s">
        <v>885</v>
      </c>
    </row>
    <row r="2587" spans="1:3" ht="15">
      <c r="A2587" s="90" t="s">
        <v>277</v>
      </c>
      <c r="B2587" s="89" t="s">
        <v>2927</v>
      </c>
      <c r="C2587" s="96" t="s">
        <v>885</v>
      </c>
    </row>
    <row r="2588" spans="1:3" ht="15">
      <c r="A2588" s="90" t="s">
        <v>276</v>
      </c>
      <c r="B2588" s="89" t="s">
        <v>2928</v>
      </c>
      <c r="C2588" s="96" t="s">
        <v>883</v>
      </c>
    </row>
    <row r="2589" spans="1:3" ht="15">
      <c r="A2589" s="90" t="s">
        <v>276</v>
      </c>
      <c r="B2589" s="89" t="s">
        <v>2361</v>
      </c>
      <c r="C2589" s="96" t="s">
        <v>883</v>
      </c>
    </row>
    <row r="2590" spans="1:3" ht="15">
      <c r="A2590" s="90" t="s">
        <v>276</v>
      </c>
      <c r="B2590" s="89" t="s">
        <v>2929</v>
      </c>
      <c r="C2590" s="96" t="s">
        <v>883</v>
      </c>
    </row>
    <row r="2591" spans="1:3" ht="15">
      <c r="A2591" s="90" t="s">
        <v>276</v>
      </c>
      <c r="B2591" s="89" t="s">
        <v>2376</v>
      </c>
      <c r="C2591" s="96" t="s">
        <v>883</v>
      </c>
    </row>
    <row r="2592" spans="1:3" ht="15">
      <c r="A2592" s="90" t="s">
        <v>276</v>
      </c>
      <c r="B2592" s="89" t="s">
        <v>2311</v>
      </c>
      <c r="C2592" s="96" t="s">
        <v>883</v>
      </c>
    </row>
    <row r="2593" spans="1:3" ht="15">
      <c r="A2593" s="90" t="s">
        <v>276</v>
      </c>
      <c r="B2593" s="89" t="s">
        <v>2735</v>
      </c>
      <c r="C2593" s="96" t="s">
        <v>883</v>
      </c>
    </row>
    <row r="2594" spans="1:3" ht="15">
      <c r="A2594" s="90" t="s">
        <v>276</v>
      </c>
      <c r="B2594" s="89" t="s">
        <v>2617</v>
      </c>
      <c r="C2594" s="96" t="s">
        <v>883</v>
      </c>
    </row>
    <row r="2595" spans="1:3" ht="15">
      <c r="A2595" s="90" t="s">
        <v>276</v>
      </c>
      <c r="B2595" s="89" t="s">
        <v>2930</v>
      </c>
      <c r="C2595" s="96" t="s">
        <v>883</v>
      </c>
    </row>
    <row r="2596" spans="1:3" ht="15">
      <c r="A2596" s="90" t="s">
        <v>276</v>
      </c>
      <c r="B2596" s="89" t="s">
        <v>2931</v>
      </c>
      <c r="C2596" s="96" t="s">
        <v>883</v>
      </c>
    </row>
    <row r="2597" spans="1:3" ht="15">
      <c r="A2597" s="90" t="s">
        <v>276</v>
      </c>
      <c r="B2597" s="89" t="s">
        <v>2932</v>
      </c>
      <c r="C2597" s="96" t="s">
        <v>883</v>
      </c>
    </row>
    <row r="2598" spans="1:3" ht="15">
      <c r="A2598" s="90" t="s">
        <v>276</v>
      </c>
      <c r="B2598" s="89" t="s">
        <v>2513</v>
      </c>
      <c r="C2598" s="96" t="s">
        <v>883</v>
      </c>
    </row>
    <row r="2599" spans="1:3" ht="15">
      <c r="A2599" s="90" t="s">
        <v>276</v>
      </c>
      <c r="B2599" s="89" t="s">
        <v>2215</v>
      </c>
      <c r="C2599" s="96" t="s">
        <v>883</v>
      </c>
    </row>
    <row r="2600" spans="1:3" ht="15">
      <c r="A2600" s="90" t="s">
        <v>276</v>
      </c>
      <c r="B2600" s="89" t="s">
        <v>2933</v>
      </c>
      <c r="C2600" s="96" t="s">
        <v>883</v>
      </c>
    </row>
    <row r="2601" spans="1:3" ht="15">
      <c r="A2601" s="90" t="s">
        <v>276</v>
      </c>
      <c r="B2601" s="89" t="s">
        <v>2934</v>
      </c>
      <c r="C2601" s="96" t="s">
        <v>883</v>
      </c>
    </row>
    <row r="2602" spans="1:3" ht="15">
      <c r="A2602" s="90" t="s">
        <v>276</v>
      </c>
      <c r="B2602" s="89" t="s">
        <v>2935</v>
      </c>
      <c r="C2602" s="96" t="s">
        <v>883</v>
      </c>
    </row>
    <row r="2603" spans="1:3" ht="15">
      <c r="A2603" s="90" t="s">
        <v>276</v>
      </c>
      <c r="B2603" s="89" t="s">
        <v>416</v>
      </c>
      <c r="C2603" s="96" t="s">
        <v>883</v>
      </c>
    </row>
    <row r="2604" spans="1:3" ht="15">
      <c r="A2604" s="90" t="s">
        <v>276</v>
      </c>
      <c r="B2604" s="89" t="s">
        <v>2524</v>
      </c>
      <c r="C2604" s="96" t="s">
        <v>883</v>
      </c>
    </row>
    <row r="2605" spans="1:3" ht="15">
      <c r="A2605" s="90" t="s">
        <v>276</v>
      </c>
      <c r="B2605" s="89" t="s">
        <v>2936</v>
      </c>
      <c r="C2605" s="96" t="s">
        <v>883</v>
      </c>
    </row>
    <row r="2606" spans="1:3" ht="15">
      <c r="A2606" s="90" t="s">
        <v>276</v>
      </c>
      <c r="B2606" s="89" t="s">
        <v>2937</v>
      </c>
      <c r="C2606" s="96" t="s">
        <v>883</v>
      </c>
    </row>
    <row r="2607" spans="1:3" ht="15">
      <c r="A2607" s="90" t="s">
        <v>276</v>
      </c>
      <c r="B2607" s="89" t="s">
        <v>2938</v>
      </c>
      <c r="C2607" s="96" t="s">
        <v>883</v>
      </c>
    </row>
    <row r="2608" spans="1:3" ht="15">
      <c r="A2608" s="90" t="s">
        <v>276</v>
      </c>
      <c r="B2608" s="89" t="s">
        <v>2939</v>
      </c>
      <c r="C2608" s="96" t="s">
        <v>883</v>
      </c>
    </row>
    <row r="2609" spans="1:3" ht="15">
      <c r="A2609" s="90" t="s">
        <v>276</v>
      </c>
      <c r="B2609" s="89" t="s">
        <v>2398</v>
      </c>
      <c r="C2609" s="96" t="s">
        <v>883</v>
      </c>
    </row>
    <row r="2610" spans="1:3" ht="15">
      <c r="A2610" s="90" t="s">
        <v>276</v>
      </c>
      <c r="B2610" s="89" t="s">
        <v>2940</v>
      </c>
      <c r="C2610" s="96" t="s">
        <v>883</v>
      </c>
    </row>
    <row r="2611" spans="1:3" ht="15">
      <c r="A2611" s="90" t="s">
        <v>276</v>
      </c>
      <c r="B2611" s="89" t="s">
        <v>2941</v>
      </c>
      <c r="C2611" s="96" t="s">
        <v>883</v>
      </c>
    </row>
    <row r="2612" spans="1:3" ht="15">
      <c r="A2612" s="90" t="s">
        <v>276</v>
      </c>
      <c r="B2612" s="89" t="s">
        <v>564</v>
      </c>
      <c r="C2612" s="96" t="s">
        <v>883</v>
      </c>
    </row>
    <row r="2613" spans="1:3" ht="15">
      <c r="A2613" s="90" t="s">
        <v>276</v>
      </c>
      <c r="B2613" s="89" t="s">
        <v>2942</v>
      </c>
      <c r="C2613" s="96" t="s">
        <v>884</v>
      </c>
    </row>
    <row r="2614" spans="1:3" ht="15">
      <c r="A2614" s="90" t="s">
        <v>276</v>
      </c>
      <c r="B2614" s="89" t="s">
        <v>2943</v>
      </c>
      <c r="C2614" s="96" t="s">
        <v>884</v>
      </c>
    </row>
    <row r="2615" spans="1:3" ht="15">
      <c r="A2615" s="90" t="s">
        <v>276</v>
      </c>
      <c r="B2615" s="89" t="s">
        <v>2944</v>
      </c>
      <c r="C2615" s="96" t="s">
        <v>884</v>
      </c>
    </row>
    <row r="2616" spans="1:3" ht="15">
      <c r="A2616" s="90" t="s">
        <v>276</v>
      </c>
      <c r="B2616" s="89" t="s">
        <v>2945</v>
      </c>
      <c r="C2616" s="96" t="s">
        <v>884</v>
      </c>
    </row>
    <row r="2617" spans="1:3" ht="15">
      <c r="A2617" s="90" t="s">
        <v>276</v>
      </c>
      <c r="B2617" s="89" t="s">
        <v>2946</v>
      </c>
      <c r="C2617" s="96" t="s">
        <v>884</v>
      </c>
    </row>
    <row r="2618" spans="1:3" ht="15">
      <c r="A2618" s="90" t="s">
        <v>276</v>
      </c>
      <c r="B2618" s="89" t="s">
        <v>2364</v>
      </c>
      <c r="C2618" s="96" t="s">
        <v>884</v>
      </c>
    </row>
    <row r="2619" spans="1:3" ht="15">
      <c r="A2619" s="90" t="s">
        <v>276</v>
      </c>
      <c r="B2619" s="89" t="s">
        <v>2630</v>
      </c>
      <c r="C2619" s="96" t="s">
        <v>884</v>
      </c>
    </row>
    <row r="2620" spans="1:3" ht="15">
      <c r="A2620" s="90" t="s">
        <v>276</v>
      </c>
      <c r="B2620" s="89" t="s">
        <v>2947</v>
      </c>
      <c r="C2620" s="96" t="s">
        <v>884</v>
      </c>
    </row>
    <row r="2621" spans="1:3" ht="15">
      <c r="A2621" s="90" t="s">
        <v>276</v>
      </c>
      <c r="B2621" s="89" t="s">
        <v>2948</v>
      </c>
      <c r="C2621" s="96" t="s">
        <v>884</v>
      </c>
    </row>
    <row r="2622" spans="1:3" ht="15">
      <c r="A2622" s="90" t="s">
        <v>276</v>
      </c>
      <c r="B2622" s="89" t="s">
        <v>2949</v>
      </c>
      <c r="C2622" s="96" t="s">
        <v>884</v>
      </c>
    </row>
    <row r="2623" spans="1:3" ht="15">
      <c r="A2623" s="90" t="s">
        <v>276</v>
      </c>
      <c r="B2623" s="89" t="s">
        <v>2428</v>
      </c>
      <c r="C2623" s="96" t="s">
        <v>884</v>
      </c>
    </row>
    <row r="2624" spans="1:3" ht="15">
      <c r="A2624" s="90" t="s">
        <v>276</v>
      </c>
      <c r="B2624" s="89" t="s">
        <v>2281</v>
      </c>
      <c r="C2624" s="96" t="s">
        <v>884</v>
      </c>
    </row>
    <row r="2625" spans="1:3" ht="15">
      <c r="A2625" s="90" t="s">
        <v>276</v>
      </c>
      <c r="B2625" s="89" t="s">
        <v>2950</v>
      </c>
      <c r="C2625" s="96" t="s">
        <v>884</v>
      </c>
    </row>
    <row r="2626" spans="1:3" ht="15">
      <c r="A2626" s="90" t="s">
        <v>276</v>
      </c>
      <c r="B2626" s="89" t="s">
        <v>2951</v>
      </c>
      <c r="C2626" s="96" t="s">
        <v>884</v>
      </c>
    </row>
    <row r="2627" spans="1:3" ht="15">
      <c r="A2627" s="90" t="s">
        <v>276</v>
      </c>
      <c r="B2627" s="89" t="s">
        <v>2361</v>
      </c>
      <c r="C2627" s="96" t="s">
        <v>884</v>
      </c>
    </row>
    <row r="2628" spans="1:3" ht="15">
      <c r="A2628" s="90" t="s">
        <v>276</v>
      </c>
      <c r="B2628" s="89" t="s">
        <v>2369</v>
      </c>
      <c r="C2628" s="96" t="s">
        <v>884</v>
      </c>
    </row>
    <row r="2629" spans="1:3" ht="15">
      <c r="A2629" s="90" t="s">
        <v>276</v>
      </c>
      <c r="B2629" s="89" t="s">
        <v>2370</v>
      </c>
      <c r="C2629" s="96" t="s">
        <v>884</v>
      </c>
    </row>
    <row r="2630" spans="1:3" ht="15">
      <c r="A2630" s="90" t="s">
        <v>276</v>
      </c>
      <c r="B2630" s="89" t="s">
        <v>2952</v>
      </c>
      <c r="C2630" s="96" t="s">
        <v>884</v>
      </c>
    </row>
    <row r="2631" spans="1:3" ht="15">
      <c r="A2631" s="90" t="s">
        <v>276</v>
      </c>
      <c r="B2631" s="89" t="s">
        <v>2953</v>
      </c>
      <c r="C2631" s="96" t="s">
        <v>884</v>
      </c>
    </row>
    <row r="2632" spans="1:3" ht="15">
      <c r="A2632" s="90" t="s">
        <v>276</v>
      </c>
      <c r="B2632" s="89" t="s">
        <v>2397</v>
      </c>
      <c r="C2632" s="96" t="s">
        <v>884</v>
      </c>
    </row>
    <row r="2633" spans="1:3" ht="15">
      <c r="A2633" s="90" t="s">
        <v>276</v>
      </c>
      <c r="B2633" s="89" t="s">
        <v>2954</v>
      </c>
      <c r="C2633" s="96" t="s">
        <v>884</v>
      </c>
    </row>
    <row r="2634" spans="1:3" ht="15">
      <c r="A2634" s="90" t="s">
        <v>276</v>
      </c>
      <c r="B2634" s="89" t="s">
        <v>2955</v>
      </c>
      <c r="C2634" s="96" t="s">
        <v>884</v>
      </c>
    </row>
    <row r="2635" spans="1:3" ht="15">
      <c r="A2635" s="90" t="s">
        <v>276</v>
      </c>
      <c r="B2635" s="89" t="s">
        <v>2956</v>
      </c>
      <c r="C2635" s="96" t="s">
        <v>884</v>
      </c>
    </row>
    <row r="2636" spans="1:3" ht="15">
      <c r="A2636" s="90" t="s">
        <v>276</v>
      </c>
      <c r="B2636" s="89" t="s">
        <v>2756</v>
      </c>
      <c r="C2636" s="96" t="s">
        <v>884</v>
      </c>
    </row>
    <row r="2637" spans="1:3" ht="15">
      <c r="A2637" s="90" t="s">
        <v>275</v>
      </c>
      <c r="B2637" s="89" t="s">
        <v>2369</v>
      </c>
      <c r="C2637" s="96" t="s">
        <v>882</v>
      </c>
    </row>
    <row r="2638" spans="1:3" ht="15">
      <c r="A2638" s="90" t="s">
        <v>275</v>
      </c>
      <c r="B2638" s="89" t="s">
        <v>2370</v>
      </c>
      <c r="C2638" s="96" t="s">
        <v>882</v>
      </c>
    </row>
    <row r="2639" spans="1:3" ht="15">
      <c r="A2639" s="90" t="s">
        <v>275</v>
      </c>
      <c r="B2639" s="89" t="s">
        <v>2376</v>
      </c>
      <c r="C2639" s="96" t="s">
        <v>882</v>
      </c>
    </row>
    <row r="2640" spans="1:3" ht="15">
      <c r="A2640" s="90" t="s">
        <v>275</v>
      </c>
      <c r="B2640" s="89" t="s">
        <v>2566</v>
      </c>
      <c r="C2640" s="96" t="s">
        <v>882</v>
      </c>
    </row>
    <row r="2641" spans="1:3" ht="15">
      <c r="A2641" s="90" t="s">
        <v>275</v>
      </c>
      <c r="B2641" s="89" t="s">
        <v>2957</v>
      </c>
      <c r="C2641" s="96" t="s">
        <v>882</v>
      </c>
    </row>
    <row r="2642" spans="1:3" ht="15">
      <c r="A2642" s="90" t="s">
        <v>275</v>
      </c>
      <c r="B2642" s="89" t="s">
        <v>2303</v>
      </c>
      <c r="C2642" s="96" t="s">
        <v>882</v>
      </c>
    </row>
    <row r="2643" spans="1:3" ht="15">
      <c r="A2643" s="90" t="s">
        <v>275</v>
      </c>
      <c r="B2643" s="89" t="s">
        <v>2958</v>
      </c>
      <c r="C2643" s="96" t="s">
        <v>882</v>
      </c>
    </row>
    <row r="2644" spans="1:3" ht="15">
      <c r="A2644" s="90" t="s">
        <v>275</v>
      </c>
      <c r="B2644" s="89" t="s">
        <v>2959</v>
      </c>
      <c r="C2644" s="96" t="s">
        <v>882</v>
      </c>
    </row>
    <row r="2645" spans="1:3" ht="15">
      <c r="A2645" s="90" t="s">
        <v>275</v>
      </c>
      <c r="B2645" s="89" t="s">
        <v>2960</v>
      </c>
      <c r="C2645" s="96" t="s">
        <v>882</v>
      </c>
    </row>
    <row r="2646" spans="1:3" ht="15">
      <c r="A2646" s="90" t="s">
        <v>275</v>
      </c>
      <c r="B2646" s="89" t="s">
        <v>2481</v>
      </c>
      <c r="C2646" s="96" t="s">
        <v>882</v>
      </c>
    </row>
    <row r="2647" spans="1:3" ht="15">
      <c r="A2647" s="90" t="s">
        <v>275</v>
      </c>
      <c r="B2647" s="89" t="s">
        <v>2961</v>
      </c>
      <c r="C2647" s="96" t="s">
        <v>882</v>
      </c>
    </row>
    <row r="2648" spans="1:3" ht="15">
      <c r="A2648" s="90" t="s">
        <v>275</v>
      </c>
      <c r="B2648" s="89" t="s">
        <v>2217</v>
      </c>
      <c r="C2648" s="96" t="s">
        <v>882</v>
      </c>
    </row>
    <row r="2649" spans="1:3" ht="15">
      <c r="A2649" s="90" t="s">
        <v>275</v>
      </c>
      <c r="B2649" s="89" t="s">
        <v>2382</v>
      </c>
      <c r="C2649" s="96" t="s">
        <v>882</v>
      </c>
    </row>
    <row r="2650" spans="1:3" ht="15">
      <c r="A2650" s="90" t="s">
        <v>275</v>
      </c>
      <c r="B2650" s="89" t="s">
        <v>2962</v>
      </c>
      <c r="C2650" s="96" t="s">
        <v>882</v>
      </c>
    </row>
    <row r="2651" spans="1:3" ht="15">
      <c r="A2651" s="90" t="s">
        <v>275</v>
      </c>
      <c r="B2651" s="89" t="s">
        <v>2642</v>
      </c>
      <c r="C2651" s="96" t="s">
        <v>882</v>
      </c>
    </row>
    <row r="2652" spans="1:3" ht="15">
      <c r="A2652" s="90" t="s">
        <v>275</v>
      </c>
      <c r="B2652" s="89" t="s">
        <v>2380</v>
      </c>
      <c r="C2652" s="96" t="s">
        <v>882</v>
      </c>
    </row>
    <row r="2653" spans="1:3" ht="15">
      <c r="A2653" s="90" t="s">
        <v>275</v>
      </c>
      <c r="B2653" s="89" t="s">
        <v>2963</v>
      </c>
      <c r="C2653" s="96" t="s">
        <v>882</v>
      </c>
    </row>
    <row r="2654" spans="1:3" ht="15">
      <c r="A2654" s="90" t="s">
        <v>275</v>
      </c>
      <c r="B2654" s="89" t="s">
        <v>2964</v>
      </c>
      <c r="C2654" s="96" t="s">
        <v>882</v>
      </c>
    </row>
    <row r="2655" spans="1:3" ht="15">
      <c r="A2655" s="90" t="s">
        <v>275</v>
      </c>
      <c r="B2655" s="89" t="s">
        <v>2361</v>
      </c>
      <c r="C2655" s="96" t="s">
        <v>882</v>
      </c>
    </row>
    <row r="2656" spans="1:3" ht="15">
      <c r="A2656" s="90" t="s">
        <v>275</v>
      </c>
      <c r="B2656" s="89" t="s">
        <v>2965</v>
      </c>
      <c r="C2656" s="96" t="s">
        <v>882</v>
      </c>
    </row>
    <row r="2657" spans="1:3" ht="15">
      <c r="A2657" s="90" t="s">
        <v>275</v>
      </c>
      <c r="B2657" s="89" t="s">
        <v>2394</v>
      </c>
      <c r="C2657" s="96" t="s">
        <v>882</v>
      </c>
    </row>
    <row r="2658" spans="1:3" ht="15">
      <c r="A2658" s="90" t="s">
        <v>275</v>
      </c>
      <c r="B2658" s="89" t="s">
        <v>2966</v>
      </c>
      <c r="C2658" s="96" t="s">
        <v>882</v>
      </c>
    </row>
    <row r="2659" spans="1:3" ht="15">
      <c r="A2659" s="90" t="s">
        <v>275</v>
      </c>
      <c r="B2659" s="89" t="s">
        <v>2124</v>
      </c>
      <c r="C2659" s="96" t="s">
        <v>882</v>
      </c>
    </row>
    <row r="2660" spans="1:3" ht="15">
      <c r="A2660" s="90" t="s">
        <v>275</v>
      </c>
      <c r="B2660" s="89" t="s">
        <v>2774</v>
      </c>
      <c r="C2660" s="96" t="s">
        <v>882</v>
      </c>
    </row>
    <row r="2661" spans="1:3" ht="15">
      <c r="A2661" s="90" t="s">
        <v>275</v>
      </c>
      <c r="B2661" s="89" t="s">
        <v>2511</v>
      </c>
      <c r="C2661" s="96" t="s">
        <v>882</v>
      </c>
    </row>
    <row r="2662" spans="1:3" ht="15">
      <c r="A2662" s="90" t="s">
        <v>275</v>
      </c>
      <c r="B2662" s="89" t="s">
        <v>2149</v>
      </c>
      <c r="C2662" s="96" t="s">
        <v>882</v>
      </c>
    </row>
    <row r="2663" spans="1:3" ht="15">
      <c r="A2663" s="90" t="s">
        <v>274</v>
      </c>
      <c r="B2663" s="89" t="s">
        <v>2815</v>
      </c>
      <c r="C2663" s="96" t="s">
        <v>881</v>
      </c>
    </row>
    <row r="2664" spans="1:3" ht="15">
      <c r="A2664" s="90" t="s">
        <v>274</v>
      </c>
      <c r="B2664" s="89" t="s">
        <v>2369</v>
      </c>
      <c r="C2664" s="96" t="s">
        <v>881</v>
      </c>
    </row>
    <row r="2665" spans="1:3" ht="15">
      <c r="A2665" s="90" t="s">
        <v>274</v>
      </c>
      <c r="B2665" s="89" t="s">
        <v>2967</v>
      </c>
      <c r="C2665" s="96" t="s">
        <v>881</v>
      </c>
    </row>
    <row r="2666" spans="1:3" ht="15">
      <c r="A2666" s="90" t="s">
        <v>274</v>
      </c>
      <c r="B2666" s="89" t="s">
        <v>2370</v>
      </c>
      <c r="C2666" s="96" t="s">
        <v>881</v>
      </c>
    </row>
    <row r="2667" spans="1:3" ht="15">
      <c r="A2667" s="90" t="s">
        <v>333</v>
      </c>
      <c r="B2667" s="89" t="s">
        <v>2360</v>
      </c>
      <c r="C2667" s="96" t="s">
        <v>954</v>
      </c>
    </row>
    <row r="2668" spans="1:3" ht="15">
      <c r="A2668" s="90" t="s">
        <v>333</v>
      </c>
      <c r="B2668" s="89" t="s">
        <v>2159</v>
      </c>
      <c r="C2668" s="96" t="s">
        <v>954</v>
      </c>
    </row>
    <row r="2669" spans="1:3" ht="15">
      <c r="A2669" s="90" t="s">
        <v>333</v>
      </c>
      <c r="B2669" s="89" t="s">
        <v>2160</v>
      </c>
      <c r="C2669" s="96" t="s">
        <v>954</v>
      </c>
    </row>
    <row r="2670" spans="1:3" ht="15">
      <c r="A2670" s="90" t="s">
        <v>333</v>
      </c>
      <c r="B2670" s="89" t="s">
        <v>2442</v>
      </c>
      <c r="C2670" s="96" t="s">
        <v>954</v>
      </c>
    </row>
    <row r="2671" spans="1:3" ht="15">
      <c r="A2671" s="90" t="s">
        <v>333</v>
      </c>
      <c r="B2671" s="89" t="s">
        <v>2584</v>
      </c>
      <c r="C2671" s="96" t="s">
        <v>954</v>
      </c>
    </row>
    <row r="2672" spans="1:3" ht="15">
      <c r="A2672" s="90" t="s">
        <v>333</v>
      </c>
      <c r="B2672" s="89" t="s">
        <v>2428</v>
      </c>
      <c r="C2672" s="96" t="s">
        <v>954</v>
      </c>
    </row>
    <row r="2673" spans="1:3" ht="15">
      <c r="A2673" s="90" t="s">
        <v>333</v>
      </c>
      <c r="B2673" s="89" t="s">
        <v>2585</v>
      </c>
      <c r="C2673" s="96" t="s">
        <v>954</v>
      </c>
    </row>
    <row r="2674" spans="1:3" ht="15">
      <c r="A2674" s="90" t="s">
        <v>333</v>
      </c>
      <c r="B2674" s="89" t="s">
        <v>2109</v>
      </c>
      <c r="C2674" s="96" t="s">
        <v>954</v>
      </c>
    </row>
    <row r="2675" spans="1:3" ht="15">
      <c r="A2675" s="90" t="s">
        <v>333</v>
      </c>
      <c r="B2675" s="89" t="s">
        <v>2586</v>
      </c>
      <c r="C2675" s="96" t="s">
        <v>954</v>
      </c>
    </row>
    <row r="2676" spans="1:3" ht="15">
      <c r="A2676" s="90" t="s">
        <v>333</v>
      </c>
      <c r="B2676" s="89" t="s">
        <v>2158</v>
      </c>
      <c r="C2676" s="96" t="s">
        <v>954</v>
      </c>
    </row>
    <row r="2677" spans="1:3" ht="15">
      <c r="A2677" s="90" t="s">
        <v>333</v>
      </c>
      <c r="B2677" s="89" t="s">
        <v>2162</v>
      </c>
      <c r="C2677" s="96" t="s">
        <v>954</v>
      </c>
    </row>
    <row r="2678" spans="1:3" ht="15">
      <c r="A2678" s="90" t="s">
        <v>333</v>
      </c>
      <c r="B2678" s="89" t="s">
        <v>2587</v>
      </c>
      <c r="C2678" s="96" t="s">
        <v>954</v>
      </c>
    </row>
    <row r="2679" spans="1:3" ht="15">
      <c r="A2679" s="90" t="s">
        <v>333</v>
      </c>
      <c r="B2679" s="89" t="s">
        <v>2588</v>
      </c>
      <c r="C2679" s="96" t="s">
        <v>954</v>
      </c>
    </row>
    <row r="2680" spans="1:3" ht="15">
      <c r="A2680" s="90" t="s">
        <v>333</v>
      </c>
      <c r="B2680" s="89" t="s">
        <v>2589</v>
      </c>
      <c r="C2680" s="96" t="s">
        <v>954</v>
      </c>
    </row>
    <row r="2681" spans="1:3" ht="15">
      <c r="A2681" s="90" t="s">
        <v>333</v>
      </c>
      <c r="B2681" s="89" t="s">
        <v>2369</v>
      </c>
      <c r="C2681" s="96" t="s">
        <v>954</v>
      </c>
    </row>
    <row r="2682" spans="1:3" ht="15">
      <c r="A2682" s="90" t="s">
        <v>333</v>
      </c>
      <c r="B2682" s="89" t="s">
        <v>2376</v>
      </c>
      <c r="C2682" s="96" t="s">
        <v>954</v>
      </c>
    </row>
    <row r="2683" spans="1:3" ht="15">
      <c r="A2683" s="90" t="s">
        <v>333</v>
      </c>
      <c r="B2683" s="89" t="s">
        <v>2590</v>
      </c>
      <c r="C2683" s="96" t="s">
        <v>954</v>
      </c>
    </row>
    <row r="2684" spans="1:3" ht="15">
      <c r="A2684" s="90" t="s">
        <v>333</v>
      </c>
      <c r="B2684" s="89" t="s">
        <v>2165</v>
      </c>
      <c r="C2684" s="96" t="s">
        <v>954</v>
      </c>
    </row>
    <row r="2685" spans="1:3" ht="15">
      <c r="A2685" s="90" t="s">
        <v>333</v>
      </c>
      <c r="B2685" s="89" t="s">
        <v>2591</v>
      </c>
      <c r="C2685" s="96" t="s">
        <v>954</v>
      </c>
    </row>
    <row r="2686" spans="1:3" ht="15">
      <c r="A2686" s="90" t="s">
        <v>333</v>
      </c>
      <c r="B2686" s="89" t="s">
        <v>2167</v>
      </c>
      <c r="C2686" s="96" t="s">
        <v>954</v>
      </c>
    </row>
    <row r="2687" spans="1:3" ht="15">
      <c r="A2687" s="90" t="s">
        <v>333</v>
      </c>
      <c r="B2687" s="89" t="s">
        <v>2168</v>
      </c>
      <c r="C2687" s="96" t="s">
        <v>954</v>
      </c>
    </row>
    <row r="2688" spans="1:3" ht="15">
      <c r="A2688" s="90" t="s">
        <v>333</v>
      </c>
      <c r="B2688" s="89" t="s">
        <v>2169</v>
      </c>
      <c r="C2688" s="96" t="s">
        <v>954</v>
      </c>
    </row>
    <row r="2689" spans="1:3" ht="15">
      <c r="A2689" s="90" t="s">
        <v>333</v>
      </c>
      <c r="B2689" s="89" t="s">
        <v>2170</v>
      </c>
      <c r="C2689" s="96" t="s">
        <v>954</v>
      </c>
    </row>
    <row r="2690" spans="1:3" ht="15">
      <c r="A2690" s="90" t="s">
        <v>333</v>
      </c>
      <c r="B2690" s="89" t="s">
        <v>2361</v>
      </c>
      <c r="C2690" s="96" t="s">
        <v>954</v>
      </c>
    </row>
    <row r="2691" spans="1:3" ht="15">
      <c r="A2691" s="90" t="s">
        <v>333</v>
      </c>
      <c r="B2691" s="89" t="s">
        <v>2171</v>
      </c>
      <c r="C2691" s="96" t="s">
        <v>954</v>
      </c>
    </row>
    <row r="2692" spans="1:3" ht="15">
      <c r="A2692" s="90" t="s">
        <v>333</v>
      </c>
      <c r="B2692" s="89" t="s">
        <v>2172</v>
      </c>
      <c r="C2692" s="96" t="s">
        <v>954</v>
      </c>
    </row>
    <row r="2693" spans="1:3" ht="15">
      <c r="A2693" s="90" t="s">
        <v>333</v>
      </c>
      <c r="B2693" s="89" t="s">
        <v>2173</v>
      </c>
      <c r="C2693" s="96" t="s">
        <v>954</v>
      </c>
    </row>
    <row r="2694" spans="1:3" ht="15">
      <c r="A2694" s="90" t="s">
        <v>333</v>
      </c>
      <c r="B2694" s="89" t="s">
        <v>2592</v>
      </c>
      <c r="C2694" s="96" t="s">
        <v>954</v>
      </c>
    </row>
    <row r="2695" spans="1:3" ht="15">
      <c r="A2695" s="90" t="s">
        <v>333</v>
      </c>
      <c r="B2695" s="89" t="s">
        <v>2174</v>
      </c>
      <c r="C2695" s="96" t="s">
        <v>954</v>
      </c>
    </row>
    <row r="2696" spans="1:3" ht="15">
      <c r="A2696" s="90" t="s">
        <v>273</v>
      </c>
      <c r="B2696" s="89" t="s">
        <v>333</v>
      </c>
      <c r="C2696" s="96" t="s">
        <v>879</v>
      </c>
    </row>
    <row r="2697" spans="1:3" ht="15">
      <c r="A2697" s="90" t="s">
        <v>273</v>
      </c>
      <c r="B2697" s="89" t="s">
        <v>2968</v>
      </c>
      <c r="C2697" s="96" t="s">
        <v>879</v>
      </c>
    </row>
    <row r="2698" spans="1:3" ht="15">
      <c r="A2698" s="90" t="s">
        <v>273</v>
      </c>
      <c r="B2698" s="89" t="s">
        <v>2969</v>
      </c>
      <c r="C2698" s="96" t="s">
        <v>879</v>
      </c>
    </row>
    <row r="2699" spans="1:3" ht="15">
      <c r="A2699" s="90" t="s">
        <v>273</v>
      </c>
      <c r="B2699" s="89" t="s">
        <v>2313</v>
      </c>
      <c r="C2699" s="96" t="s">
        <v>879</v>
      </c>
    </row>
    <row r="2700" spans="1:3" ht="15">
      <c r="A2700" s="90" t="s">
        <v>273</v>
      </c>
      <c r="B2700" s="89" t="s">
        <v>2970</v>
      </c>
      <c r="C2700" s="96" t="s">
        <v>879</v>
      </c>
    </row>
    <row r="2701" spans="1:3" ht="15">
      <c r="A2701" s="90" t="s">
        <v>273</v>
      </c>
      <c r="B2701" s="89" t="s">
        <v>2971</v>
      </c>
      <c r="C2701" s="96" t="s">
        <v>879</v>
      </c>
    </row>
    <row r="2702" spans="1:3" ht="15">
      <c r="A2702" s="90" t="s">
        <v>273</v>
      </c>
      <c r="B2702" s="89" t="s">
        <v>2972</v>
      </c>
      <c r="C2702" s="96" t="s">
        <v>879</v>
      </c>
    </row>
    <row r="2703" spans="1:3" ht="15">
      <c r="A2703" s="90" t="s">
        <v>273</v>
      </c>
      <c r="B2703" s="89" t="s">
        <v>2361</v>
      </c>
      <c r="C2703" s="96" t="s">
        <v>879</v>
      </c>
    </row>
    <row r="2704" spans="1:3" ht="15">
      <c r="A2704" s="90" t="s">
        <v>273</v>
      </c>
      <c r="B2704" s="89" t="s">
        <v>2542</v>
      </c>
      <c r="C2704" s="96" t="s">
        <v>879</v>
      </c>
    </row>
    <row r="2705" spans="1:3" ht="15">
      <c r="A2705" s="90" t="s">
        <v>273</v>
      </c>
      <c r="B2705" s="89" t="s">
        <v>2973</v>
      </c>
      <c r="C2705" s="96" t="s">
        <v>879</v>
      </c>
    </row>
    <row r="2706" spans="1:3" ht="15">
      <c r="A2706" s="90" t="s">
        <v>273</v>
      </c>
      <c r="B2706" s="89" t="s">
        <v>2974</v>
      </c>
      <c r="C2706" s="96" t="s">
        <v>879</v>
      </c>
    </row>
    <row r="2707" spans="1:3" ht="15">
      <c r="A2707" s="90" t="s">
        <v>273</v>
      </c>
      <c r="B2707" s="89" t="s">
        <v>2554</v>
      </c>
      <c r="C2707" s="96" t="s">
        <v>879</v>
      </c>
    </row>
    <row r="2708" spans="1:3" ht="15">
      <c r="A2708" s="90" t="s">
        <v>273</v>
      </c>
      <c r="B2708" s="89" t="s">
        <v>2975</v>
      </c>
      <c r="C2708" s="96" t="s">
        <v>879</v>
      </c>
    </row>
    <row r="2709" spans="1:3" ht="15">
      <c r="A2709" s="90" t="s">
        <v>273</v>
      </c>
      <c r="B2709" s="89" t="s">
        <v>2976</v>
      </c>
      <c r="C2709" s="96" t="s">
        <v>879</v>
      </c>
    </row>
    <row r="2710" spans="1:3" ht="15">
      <c r="A2710" s="90" t="s">
        <v>273</v>
      </c>
      <c r="B2710" s="89" t="s">
        <v>2412</v>
      </c>
      <c r="C2710" s="96" t="s">
        <v>879</v>
      </c>
    </row>
    <row r="2711" spans="1:3" ht="15">
      <c r="A2711" s="90" t="s">
        <v>273</v>
      </c>
      <c r="B2711" s="89" t="s">
        <v>2977</v>
      </c>
      <c r="C2711" s="96" t="s">
        <v>879</v>
      </c>
    </row>
    <row r="2712" spans="1:3" ht="15">
      <c r="A2712" s="90" t="s">
        <v>273</v>
      </c>
      <c r="B2712" s="89" t="s">
        <v>2978</v>
      </c>
      <c r="C2712" s="96" t="s">
        <v>879</v>
      </c>
    </row>
    <row r="2713" spans="1:3" ht="15">
      <c r="A2713" s="90" t="s">
        <v>273</v>
      </c>
      <c r="B2713" s="89" t="s">
        <v>2979</v>
      </c>
      <c r="C2713" s="96" t="s">
        <v>879</v>
      </c>
    </row>
    <row r="2714" spans="1:3" ht="15">
      <c r="A2714" s="90" t="s">
        <v>273</v>
      </c>
      <c r="B2714" s="89" t="s">
        <v>2376</v>
      </c>
      <c r="C2714" s="96" t="s">
        <v>879</v>
      </c>
    </row>
    <row r="2715" spans="1:3" ht="15">
      <c r="A2715" s="90" t="s">
        <v>273</v>
      </c>
      <c r="B2715" s="89" t="s">
        <v>556</v>
      </c>
      <c r="C2715" s="96" t="s">
        <v>879</v>
      </c>
    </row>
    <row r="2716" spans="1:3" ht="15">
      <c r="A2716" s="90" t="s">
        <v>272</v>
      </c>
      <c r="B2716" s="89" t="s">
        <v>384</v>
      </c>
      <c r="C2716" s="96" t="s">
        <v>880</v>
      </c>
    </row>
    <row r="2717" spans="1:3" ht="15">
      <c r="A2717" s="90" t="s">
        <v>272</v>
      </c>
      <c r="B2717" s="89" t="s">
        <v>2980</v>
      </c>
      <c r="C2717" s="96" t="s">
        <v>880</v>
      </c>
    </row>
    <row r="2718" spans="1:3" ht="15">
      <c r="A2718" s="90" t="s">
        <v>272</v>
      </c>
      <c r="B2718" s="89" t="s">
        <v>2376</v>
      </c>
      <c r="C2718" s="96" t="s">
        <v>880</v>
      </c>
    </row>
    <row r="2719" spans="1:3" ht="15">
      <c r="A2719" s="90" t="s">
        <v>272</v>
      </c>
      <c r="B2719" s="89" t="s">
        <v>2219</v>
      </c>
      <c r="C2719" s="96" t="s">
        <v>880</v>
      </c>
    </row>
    <row r="2720" spans="1:3" ht="15">
      <c r="A2720" s="90" t="s">
        <v>272</v>
      </c>
      <c r="B2720" s="89" t="s">
        <v>2220</v>
      </c>
      <c r="C2720" s="96" t="s">
        <v>880</v>
      </c>
    </row>
    <row r="2721" spans="1:3" ht="15">
      <c r="A2721" s="90" t="s">
        <v>272</v>
      </c>
      <c r="B2721" s="89" t="s">
        <v>2697</v>
      </c>
      <c r="C2721" s="96" t="s">
        <v>880</v>
      </c>
    </row>
    <row r="2722" spans="1:3" ht="15">
      <c r="A2722" s="90" t="s">
        <v>272</v>
      </c>
      <c r="B2722" s="89" t="s">
        <v>2382</v>
      </c>
      <c r="C2722" s="96" t="s">
        <v>880</v>
      </c>
    </row>
    <row r="2723" spans="1:3" ht="15">
      <c r="A2723" s="90" t="s">
        <v>272</v>
      </c>
      <c r="B2723" s="89" t="s">
        <v>2981</v>
      </c>
      <c r="C2723" s="96" t="s">
        <v>880</v>
      </c>
    </row>
    <row r="2724" spans="1:3" ht="15">
      <c r="A2724" s="90" t="s">
        <v>272</v>
      </c>
      <c r="B2724" s="89" t="s">
        <v>2221</v>
      </c>
      <c r="C2724" s="96" t="s">
        <v>880</v>
      </c>
    </row>
    <row r="2725" spans="1:3" ht="15">
      <c r="A2725" s="90" t="s">
        <v>272</v>
      </c>
      <c r="B2725" s="89" t="s">
        <v>2181</v>
      </c>
      <c r="C2725" s="96" t="s">
        <v>880</v>
      </c>
    </row>
    <row r="2726" spans="1:3" ht="15">
      <c r="A2726" s="90" t="s">
        <v>272</v>
      </c>
      <c r="B2726" s="89" t="s">
        <v>2222</v>
      </c>
      <c r="C2726" s="96" t="s">
        <v>880</v>
      </c>
    </row>
    <row r="2727" spans="1:3" ht="15">
      <c r="A2727" s="90" t="s">
        <v>272</v>
      </c>
      <c r="B2727" s="89" t="s">
        <v>2223</v>
      </c>
      <c r="C2727" s="96" t="s">
        <v>880</v>
      </c>
    </row>
    <row r="2728" spans="1:3" ht="15">
      <c r="A2728" s="90" t="s">
        <v>272</v>
      </c>
      <c r="B2728" s="89" t="s">
        <v>2224</v>
      </c>
      <c r="C2728" s="96" t="s">
        <v>880</v>
      </c>
    </row>
    <row r="2729" spans="1:3" ht="15">
      <c r="A2729" s="90" t="s">
        <v>272</v>
      </c>
      <c r="B2729" s="89" t="s">
        <v>556</v>
      </c>
      <c r="C2729" s="96" t="s">
        <v>880</v>
      </c>
    </row>
    <row r="2730" spans="1:3" ht="15">
      <c r="A2730" s="90" t="s">
        <v>272</v>
      </c>
      <c r="B2730" s="89" t="s">
        <v>2361</v>
      </c>
      <c r="C2730" s="96" t="s">
        <v>880</v>
      </c>
    </row>
    <row r="2731" spans="1:3" ht="15">
      <c r="A2731" s="90" t="s">
        <v>272</v>
      </c>
      <c r="B2731" s="89" t="s">
        <v>2443</v>
      </c>
      <c r="C2731" s="96" t="s">
        <v>880</v>
      </c>
    </row>
    <row r="2732" spans="1:3" ht="15">
      <c r="A2732" s="90" t="s">
        <v>272</v>
      </c>
      <c r="B2732" s="89" t="s">
        <v>2225</v>
      </c>
      <c r="C2732" s="96" t="s">
        <v>880</v>
      </c>
    </row>
    <row r="2733" spans="1:3" ht="15">
      <c r="A2733" s="90" t="s">
        <v>272</v>
      </c>
      <c r="B2733" s="89" t="s">
        <v>2982</v>
      </c>
      <c r="C2733" s="96" t="s">
        <v>880</v>
      </c>
    </row>
    <row r="2734" spans="1:3" ht="15">
      <c r="A2734" s="90" t="s">
        <v>272</v>
      </c>
      <c r="B2734" s="89" t="s">
        <v>2226</v>
      </c>
      <c r="C2734" s="96" t="s">
        <v>880</v>
      </c>
    </row>
    <row r="2735" spans="1:3" ht="15">
      <c r="A2735" s="90" t="s">
        <v>272</v>
      </c>
      <c r="B2735" s="89" t="s">
        <v>2227</v>
      </c>
      <c r="C2735" s="96" t="s">
        <v>880</v>
      </c>
    </row>
    <row r="2736" spans="1:3" ht="15">
      <c r="A2736" s="90" t="s">
        <v>272</v>
      </c>
      <c r="B2736" s="89" t="s">
        <v>2228</v>
      </c>
      <c r="C2736" s="96" t="s">
        <v>880</v>
      </c>
    </row>
    <row r="2737" spans="1:3" ht="15">
      <c r="A2737" s="90" t="s">
        <v>272</v>
      </c>
      <c r="B2737" s="89" t="s">
        <v>2229</v>
      </c>
      <c r="C2737" s="96" t="s">
        <v>880</v>
      </c>
    </row>
    <row r="2738" spans="1:3" ht="15">
      <c r="A2738" s="90" t="s">
        <v>272</v>
      </c>
      <c r="B2738" s="89" t="s">
        <v>2230</v>
      </c>
      <c r="C2738" s="96" t="s">
        <v>880</v>
      </c>
    </row>
    <row r="2739" spans="1:3" ht="15">
      <c r="A2739" s="90" t="s">
        <v>272</v>
      </c>
      <c r="B2739" s="89" t="s">
        <v>2385</v>
      </c>
      <c r="C2739" s="96" t="s">
        <v>880</v>
      </c>
    </row>
    <row r="2740" spans="1:3" ht="15">
      <c r="A2740" s="90" t="s">
        <v>272</v>
      </c>
      <c r="B2740" s="89" t="s">
        <v>2983</v>
      </c>
      <c r="C2740" s="96" t="s">
        <v>880</v>
      </c>
    </row>
    <row r="2741" spans="1:3" ht="15">
      <c r="A2741" s="90" t="s">
        <v>272</v>
      </c>
      <c r="B2741" s="89" t="s">
        <v>2231</v>
      </c>
      <c r="C2741" s="96" t="s">
        <v>880</v>
      </c>
    </row>
    <row r="2742" spans="1:3" ht="15">
      <c r="A2742" s="90" t="s">
        <v>272</v>
      </c>
      <c r="B2742" s="89" t="s">
        <v>2984</v>
      </c>
      <c r="C2742" s="96" t="s">
        <v>880</v>
      </c>
    </row>
    <row r="2743" spans="1:3" ht="15">
      <c r="A2743" s="90" t="s">
        <v>272</v>
      </c>
      <c r="B2743" s="89" t="s">
        <v>2232</v>
      </c>
      <c r="C2743" s="96" t="s">
        <v>880</v>
      </c>
    </row>
    <row r="2744" spans="1:3" ht="15">
      <c r="A2744" s="90" t="s">
        <v>272</v>
      </c>
      <c r="B2744" s="89" t="s">
        <v>2985</v>
      </c>
      <c r="C2744" s="96" t="s">
        <v>880</v>
      </c>
    </row>
    <row r="2745" spans="1:3" ht="15">
      <c r="A2745" s="90" t="s">
        <v>272</v>
      </c>
      <c r="B2745" s="89" t="s">
        <v>2547</v>
      </c>
      <c r="C2745" s="96" t="s">
        <v>880</v>
      </c>
    </row>
    <row r="2746" spans="1:3" ht="15">
      <c r="A2746" s="90" t="s">
        <v>272</v>
      </c>
      <c r="B2746" s="89" t="s">
        <v>2545</v>
      </c>
      <c r="C2746" s="96" t="s">
        <v>880</v>
      </c>
    </row>
    <row r="2747" spans="1:3" ht="15">
      <c r="A2747" s="90" t="s">
        <v>272</v>
      </c>
      <c r="B2747" s="89" t="s">
        <v>2986</v>
      </c>
      <c r="C2747" s="96" t="s">
        <v>880</v>
      </c>
    </row>
    <row r="2748" spans="1:3" ht="15">
      <c r="A2748" s="90" t="s">
        <v>272</v>
      </c>
      <c r="B2748" s="89" t="s">
        <v>2234</v>
      </c>
      <c r="C2748" s="96" t="s">
        <v>880</v>
      </c>
    </row>
    <row r="2749" spans="1:3" ht="15">
      <c r="A2749" s="90" t="s">
        <v>272</v>
      </c>
      <c r="B2749" s="89" t="s">
        <v>2773</v>
      </c>
      <c r="C2749" s="96" t="s">
        <v>880</v>
      </c>
    </row>
    <row r="2750" spans="1:3" ht="15">
      <c r="A2750" s="90" t="s">
        <v>272</v>
      </c>
      <c r="B2750" s="89" t="s">
        <v>2235</v>
      </c>
      <c r="C2750" s="96" t="s">
        <v>880</v>
      </c>
    </row>
    <row r="2751" spans="1:3" ht="15">
      <c r="A2751" s="90" t="s">
        <v>272</v>
      </c>
      <c r="B2751" s="89" t="s">
        <v>2236</v>
      </c>
      <c r="C2751" s="96" t="s">
        <v>880</v>
      </c>
    </row>
    <row r="2752" spans="1:3" ht="15">
      <c r="A2752" s="90" t="s">
        <v>272</v>
      </c>
      <c r="B2752" s="89" t="s">
        <v>2987</v>
      </c>
      <c r="C2752" s="96" t="s">
        <v>876</v>
      </c>
    </row>
    <row r="2753" spans="1:3" ht="15">
      <c r="A2753" s="90" t="s">
        <v>272</v>
      </c>
      <c r="B2753" s="89" t="s">
        <v>2369</v>
      </c>
      <c r="C2753" s="96" t="s">
        <v>876</v>
      </c>
    </row>
    <row r="2754" spans="1:3" ht="15">
      <c r="A2754" s="90" t="s">
        <v>272</v>
      </c>
      <c r="B2754" s="89" t="s">
        <v>2370</v>
      </c>
      <c r="C2754" s="96" t="s">
        <v>876</v>
      </c>
    </row>
    <row r="2755" spans="1:3" ht="15">
      <c r="A2755" s="90" t="s">
        <v>272</v>
      </c>
      <c r="B2755" s="89" t="s">
        <v>2988</v>
      </c>
      <c r="C2755" s="96" t="s">
        <v>876</v>
      </c>
    </row>
    <row r="2756" spans="1:3" ht="15">
      <c r="A2756" s="90" t="s">
        <v>272</v>
      </c>
      <c r="B2756" s="89" t="s">
        <v>2989</v>
      </c>
      <c r="C2756" s="96" t="s">
        <v>876</v>
      </c>
    </row>
    <row r="2757" spans="1:3" ht="15">
      <c r="A2757" s="90" t="s">
        <v>272</v>
      </c>
      <c r="B2757" s="89" t="s">
        <v>2990</v>
      </c>
      <c r="C2757" s="96" t="s">
        <v>876</v>
      </c>
    </row>
    <row r="2758" spans="1:3" ht="15">
      <c r="A2758" s="90" t="s">
        <v>270</v>
      </c>
      <c r="B2758" s="89" t="s">
        <v>426</v>
      </c>
      <c r="C2758" s="96" t="s">
        <v>873</v>
      </c>
    </row>
    <row r="2759" spans="1:3" ht="15">
      <c r="A2759" s="90" t="s">
        <v>270</v>
      </c>
      <c r="B2759" s="89" t="s">
        <v>2991</v>
      </c>
      <c r="C2759" s="96" t="s">
        <v>873</v>
      </c>
    </row>
    <row r="2760" spans="1:3" ht="15">
      <c r="A2760" s="90" t="s">
        <v>270</v>
      </c>
      <c r="B2760" s="89" t="s">
        <v>2796</v>
      </c>
      <c r="C2760" s="96" t="s">
        <v>873</v>
      </c>
    </row>
    <row r="2761" spans="1:3" ht="15">
      <c r="A2761" s="90" t="s">
        <v>270</v>
      </c>
      <c r="B2761" s="89" t="s">
        <v>416</v>
      </c>
      <c r="C2761" s="96" t="s">
        <v>873</v>
      </c>
    </row>
    <row r="2762" spans="1:3" ht="15">
      <c r="A2762" s="90" t="s">
        <v>270</v>
      </c>
      <c r="B2762" s="89" t="s">
        <v>271</v>
      </c>
      <c r="C2762" s="96" t="s">
        <v>875</v>
      </c>
    </row>
    <row r="2763" spans="1:3" ht="15">
      <c r="A2763" s="90" t="s">
        <v>270</v>
      </c>
      <c r="B2763" s="89" t="s">
        <v>2370</v>
      </c>
      <c r="C2763" s="96" t="s">
        <v>875</v>
      </c>
    </row>
    <row r="2764" spans="1:3" ht="15">
      <c r="A2764" s="90" t="s">
        <v>270</v>
      </c>
      <c r="B2764" s="89" t="s">
        <v>2214</v>
      </c>
      <c r="C2764" s="96" t="s">
        <v>875</v>
      </c>
    </row>
    <row r="2765" spans="1:3" ht="15">
      <c r="A2765" s="90" t="s">
        <v>270</v>
      </c>
      <c r="B2765" s="89" t="s">
        <v>2364</v>
      </c>
      <c r="C2765" s="96" t="s">
        <v>875</v>
      </c>
    </row>
    <row r="2766" spans="1:3" ht="15">
      <c r="A2766" s="90" t="s">
        <v>270</v>
      </c>
      <c r="B2766" s="89" t="s">
        <v>2992</v>
      </c>
      <c r="C2766" s="96" t="s">
        <v>875</v>
      </c>
    </row>
    <row r="2767" spans="1:3" ht="15">
      <c r="A2767" s="90" t="s">
        <v>270</v>
      </c>
      <c r="B2767" s="89" t="s">
        <v>2376</v>
      </c>
      <c r="C2767" s="96" t="s">
        <v>875</v>
      </c>
    </row>
    <row r="2768" spans="1:3" ht="15">
      <c r="A2768" s="90" t="s">
        <v>270</v>
      </c>
      <c r="B2768" s="89" t="s">
        <v>2993</v>
      </c>
      <c r="C2768" s="96" t="s">
        <v>875</v>
      </c>
    </row>
    <row r="2769" spans="1:3" ht="15">
      <c r="A2769" s="90" t="s">
        <v>270</v>
      </c>
      <c r="B2769" s="89" t="s">
        <v>2994</v>
      </c>
      <c r="C2769" s="96" t="s">
        <v>875</v>
      </c>
    </row>
    <row r="2770" spans="1:3" ht="15">
      <c r="A2770" s="90" t="s">
        <v>270</v>
      </c>
      <c r="B2770" s="89" t="s">
        <v>2995</v>
      </c>
      <c r="C2770" s="96" t="s">
        <v>875</v>
      </c>
    </row>
    <row r="2771" spans="1:3" ht="15">
      <c r="A2771" s="90" t="s">
        <v>270</v>
      </c>
      <c r="B2771" s="89" t="s">
        <v>2996</v>
      </c>
      <c r="C2771" s="96" t="s">
        <v>875</v>
      </c>
    </row>
    <row r="2772" spans="1:3" ht="15">
      <c r="A2772" s="90" t="s">
        <v>270</v>
      </c>
      <c r="B2772" s="89" t="s">
        <v>2381</v>
      </c>
      <c r="C2772" s="96" t="s">
        <v>875</v>
      </c>
    </row>
    <row r="2773" spans="1:3" ht="15">
      <c r="A2773" s="90" t="s">
        <v>270</v>
      </c>
      <c r="B2773" s="89" t="s">
        <v>2369</v>
      </c>
      <c r="C2773" s="96" t="s">
        <v>875</v>
      </c>
    </row>
    <row r="2774" spans="1:3" ht="15">
      <c r="A2774" s="90" t="s">
        <v>270</v>
      </c>
      <c r="B2774" s="89" t="s">
        <v>2291</v>
      </c>
      <c r="C2774" s="96" t="s">
        <v>875</v>
      </c>
    </row>
    <row r="2775" spans="1:3" ht="15">
      <c r="A2775" s="90" t="s">
        <v>270</v>
      </c>
      <c r="B2775" s="89" t="s">
        <v>2997</v>
      </c>
      <c r="C2775" s="96" t="s">
        <v>875</v>
      </c>
    </row>
    <row r="2776" spans="1:3" ht="15">
      <c r="A2776" s="90" t="s">
        <v>270</v>
      </c>
      <c r="B2776" s="89" t="s">
        <v>2314</v>
      </c>
      <c r="C2776" s="96" t="s">
        <v>875</v>
      </c>
    </row>
    <row r="2777" spans="1:3" ht="15">
      <c r="A2777" s="90" t="s">
        <v>270</v>
      </c>
      <c r="B2777" s="89" t="s">
        <v>2380</v>
      </c>
      <c r="C2777" s="96" t="s">
        <v>875</v>
      </c>
    </row>
    <row r="2778" spans="1:3" ht="15">
      <c r="A2778" s="90" t="s">
        <v>270</v>
      </c>
      <c r="B2778" s="89" t="s">
        <v>2998</v>
      </c>
      <c r="C2778" s="96" t="s">
        <v>875</v>
      </c>
    </row>
    <row r="2779" spans="1:3" ht="15">
      <c r="A2779" s="90" t="s">
        <v>270</v>
      </c>
      <c r="B2779" s="89" t="s">
        <v>2653</v>
      </c>
      <c r="C2779" s="96" t="s">
        <v>875</v>
      </c>
    </row>
    <row r="2780" spans="1:3" ht="15">
      <c r="A2780" s="90" t="s">
        <v>270</v>
      </c>
      <c r="B2780" s="89" t="s">
        <v>2999</v>
      </c>
      <c r="C2780" s="96" t="s">
        <v>875</v>
      </c>
    </row>
    <row r="2781" spans="1:3" ht="15">
      <c r="A2781" s="90" t="s">
        <v>270</v>
      </c>
      <c r="B2781" s="89" t="s">
        <v>2194</v>
      </c>
      <c r="C2781" s="96" t="s">
        <v>875</v>
      </c>
    </row>
    <row r="2782" spans="1:3" ht="15">
      <c r="A2782" s="90" t="s">
        <v>270</v>
      </c>
      <c r="B2782" s="89" t="s">
        <v>3000</v>
      </c>
      <c r="C2782" s="96" t="s">
        <v>875</v>
      </c>
    </row>
    <row r="2783" spans="1:3" ht="15">
      <c r="A2783" s="90" t="s">
        <v>270</v>
      </c>
      <c r="B2783" s="89" t="s">
        <v>3001</v>
      </c>
      <c r="C2783" s="96" t="s">
        <v>875</v>
      </c>
    </row>
    <row r="2784" spans="1:3" ht="15">
      <c r="A2784" s="90" t="s">
        <v>270</v>
      </c>
      <c r="B2784" s="89" t="s">
        <v>3002</v>
      </c>
      <c r="C2784" s="96" t="s">
        <v>875</v>
      </c>
    </row>
    <row r="2785" spans="1:3" ht="15">
      <c r="A2785" s="90" t="s">
        <v>270</v>
      </c>
      <c r="B2785" s="89" t="s">
        <v>2265</v>
      </c>
      <c r="C2785" s="96" t="s">
        <v>875</v>
      </c>
    </row>
    <row r="2786" spans="1:3" ht="15">
      <c r="A2786" s="90" t="s">
        <v>270</v>
      </c>
      <c r="B2786" s="89" t="s">
        <v>3003</v>
      </c>
      <c r="C2786" s="96" t="s">
        <v>875</v>
      </c>
    </row>
    <row r="2787" spans="1:3" ht="15">
      <c r="A2787" s="90" t="s">
        <v>270</v>
      </c>
      <c r="B2787" s="89" t="s">
        <v>3004</v>
      </c>
      <c r="C2787" s="96" t="s">
        <v>875</v>
      </c>
    </row>
    <row r="2788" spans="1:3" ht="15">
      <c r="A2788" s="90" t="s">
        <v>270</v>
      </c>
      <c r="B2788" s="89" t="s">
        <v>3005</v>
      </c>
      <c r="C2788" s="96" t="s">
        <v>875</v>
      </c>
    </row>
    <row r="2789" spans="1:3" ht="15">
      <c r="A2789" s="90" t="s">
        <v>270</v>
      </c>
      <c r="B2789" s="89" t="s">
        <v>3006</v>
      </c>
      <c r="C2789" s="96" t="s">
        <v>875</v>
      </c>
    </row>
    <row r="2790" spans="1:3" ht="15">
      <c r="A2790" s="90" t="s">
        <v>271</v>
      </c>
      <c r="B2790" s="89" t="s">
        <v>3007</v>
      </c>
      <c r="C2790" s="96" t="s">
        <v>874</v>
      </c>
    </row>
    <row r="2791" spans="1:3" ht="15">
      <c r="A2791" s="90" t="s">
        <v>271</v>
      </c>
      <c r="B2791" s="89" t="s">
        <v>2461</v>
      </c>
      <c r="C2791" s="96" t="s">
        <v>874</v>
      </c>
    </row>
    <row r="2792" spans="1:3" ht="15">
      <c r="A2792" s="90" t="s">
        <v>271</v>
      </c>
      <c r="B2792" s="89" t="s">
        <v>3008</v>
      </c>
      <c r="C2792" s="96" t="s">
        <v>874</v>
      </c>
    </row>
    <row r="2793" spans="1:3" ht="15">
      <c r="A2793" s="90" t="s">
        <v>271</v>
      </c>
      <c r="B2793" s="89" t="s">
        <v>3009</v>
      </c>
      <c r="C2793" s="96" t="s">
        <v>874</v>
      </c>
    </row>
    <row r="2794" spans="1:3" ht="15">
      <c r="A2794" s="90" t="s">
        <v>271</v>
      </c>
      <c r="B2794" s="89" t="s">
        <v>2401</v>
      </c>
      <c r="C2794" s="96" t="s">
        <v>874</v>
      </c>
    </row>
    <row r="2795" spans="1:3" ht="15">
      <c r="A2795" s="90" t="s">
        <v>271</v>
      </c>
      <c r="B2795" s="89" t="s">
        <v>3010</v>
      </c>
      <c r="C2795" s="96" t="s">
        <v>874</v>
      </c>
    </row>
    <row r="2796" spans="1:3" ht="15">
      <c r="A2796" s="90" t="s">
        <v>271</v>
      </c>
      <c r="B2796" s="89" t="s">
        <v>2361</v>
      </c>
      <c r="C2796" s="96" t="s">
        <v>874</v>
      </c>
    </row>
    <row r="2797" spans="1:3" ht="15">
      <c r="A2797" s="90" t="s">
        <v>271</v>
      </c>
      <c r="B2797" s="89" t="s">
        <v>3011</v>
      </c>
      <c r="C2797" s="96" t="s">
        <v>874</v>
      </c>
    </row>
    <row r="2798" spans="1:3" ht="15">
      <c r="A2798" s="90" t="s">
        <v>271</v>
      </c>
      <c r="B2798" s="89" t="s">
        <v>2772</v>
      </c>
      <c r="C2798" s="96" t="s">
        <v>874</v>
      </c>
    </row>
    <row r="2799" spans="1:3" ht="15">
      <c r="A2799" s="90" t="s">
        <v>271</v>
      </c>
      <c r="B2799" s="89" t="s">
        <v>2431</v>
      </c>
      <c r="C2799" s="96" t="s">
        <v>874</v>
      </c>
    </row>
    <row r="2800" spans="1:3" ht="15">
      <c r="A2800" s="90" t="s">
        <v>271</v>
      </c>
      <c r="B2800" s="89" t="s">
        <v>3012</v>
      </c>
      <c r="C2800" s="96" t="s">
        <v>874</v>
      </c>
    </row>
    <row r="2801" spans="1:3" ht="15">
      <c r="A2801" s="90" t="s">
        <v>271</v>
      </c>
      <c r="B2801" s="89" t="s">
        <v>2388</v>
      </c>
      <c r="C2801" s="96" t="s">
        <v>874</v>
      </c>
    </row>
    <row r="2802" spans="1:3" ht="15">
      <c r="A2802" s="90" t="s">
        <v>271</v>
      </c>
      <c r="B2802" s="89" t="s">
        <v>3013</v>
      </c>
      <c r="C2802" s="96" t="s">
        <v>874</v>
      </c>
    </row>
    <row r="2803" spans="1:3" ht="15">
      <c r="A2803" s="90" t="s">
        <v>271</v>
      </c>
      <c r="B2803" s="89" t="s">
        <v>3014</v>
      </c>
      <c r="C2803" s="96" t="s">
        <v>874</v>
      </c>
    </row>
    <row r="2804" spans="1:3" ht="15">
      <c r="A2804" s="90" t="s">
        <v>271</v>
      </c>
      <c r="B2804" s="89" t="s">
        <v>2877</v>
      </c>
      <c r="C2804" s="96" t="s">
        <v>874</v>
      </c>
    </row>
    <row r="2805" spans="1:3" ht="15">
      <c r="A2805" s="90" t="s">
        <v>271</v>
      </c>
      <c r="B2805" s="89" t="s">
        <v>2878</v>
      </c>
      <c r="C2805" s="96" t="s">
        <v>874</v>
      </c>
    </row>
    <row r="2806" spans="1:3" ht="15">
      <c r="A2806" s="90" t="s">
        <v>271</v>
      </c>
      <c r="B2806" s="89" t="s">
        <v>3015</v>
      </c>
      <c r="C2806" s="96" t="s">
        <v>874</v>
      </c>
    </row>
    <row r="2807" spans="1:3" ht="15">
      <c r="A2807" s="90" t="s">
        <v>271</v>
      </c>
      <c r="B2807" s="89" t="s">
        <v>3016</v>
      </c>
      <c r="C2807" s="96" t="s">
        <v>874</v>
      </c>
    </row>
    <row r="2808" spans="1:3" ht="15">
      <c r="A2808" s="90" t="s">
        <v>271</v>
      </c>
      <c r="B2808" s="89" t="s">
        <v>556</v>
      </c>
      <c r="C2808" s="96" t="s">
        <v>874</v>
      </c>
    </row>
    <row r="2809" spans="1:3" ht="15">
      <c r="A2809" s="90" t="s">
        <v>271</v>
      </c>
      <c r="B2809" s="89" t="s">
        <v>3017</v>
      </c>
      <c r="C2809" s="96" t="s">
        <v>874</v>
      </c>
    </row>
    <row r="2810" spans="1:3" ht="15">
      <c r="A2810" s="90" t="s">
        <v>271</v>
      </c>
      <c r="B2810" s="89" t="s">
        <v>3018</v>
      </c>
      <c r="C2810" s="96" t="s">
        <v>874</v>
      </c>
    </row>
    <row r="2811" spans="1:3" ht="15">
      <c r="A2811" s="90" t="s">
        <v>269</v>
      </c>
      <c r="B2811" s="89" t="s">
        <v>416</v>
      </c>
      <c r="C2811" s="96" t="s">
        <v>872</v>
      </c>
    </row>
    <row r="2812" spans="1:3" ht="15">
      <c r="A2812" s="90" t="s">
        <v>269</v>
      </c>
      <c r="B2812" s="89" t="s">
        <v>3019</v>
      </c>
      <c r="C2812" s="96" t="s">
        <v>872</v>
      </c>
    </row>
    <row r="2813" spans="1:3" ht="15">
      <c r="A2813" s="90" t="s">
        <v>269</v>
      </c>
      <c r="B2813" s="89" t="s">
        <v>2382</v>
      </c>
      <c r="C2813" s="96" t="s">
        <v>872</v>
      </c>
    </row>
    <row r="2814" spans="1:3" ht="15">
      <c r="A2814" s="90" t="s">
        <v>269</v>
      </c>
      <c r="B2814" s="89" t="s">
        <v>3020</v>
      </c>
      <c r="C2814" s="96" t="s">
        <v>872</v>
      </c>
    </row>
    <row r="2815" spans="1:3" ht="15">
      <c r="A2815" s="90" t="s">
        <v>269</v>
      </c>
      <c r="B2815" s="89" t="s">
        <v>3021</v>
      </c>
      <c r="C2815" s="96" t="s">
        <v>872</v>
      </c>
    </row>
    <row r="2816" spans="1:3" ht="15">
      <c r="A2816" s="90" t="s">
        <v>269</v>
      </c>
      <c r="B2816" s="89" t="s">
        <v>2315</v>
      </c>
      <c r="C2816" s="96" t="s">
        <v>872</v>
      </c>
    </row>
    <row r="2817" spans="1:3" ht="15">
      <c r="A2817" s="90" t="s">
        <v>269</v>
      </c>
      <c r="B2817" s="89" t="s">
        <v>3022</v>
      </c>
      <c r="C2817" s="96" t="s">
        <v>872</v>
      </c>
    </row>
    <row r="2818" spans="1:3" ht="15">
      <c r="A2818" s="90" t="s">
        <v>269</v>
      </c>
      <c r="B2818" s="89" t="s">
        <v>3023</v>
      </c>
      <c r="C2818" s="96" t="s">
        <v>872</v>
      </c>
    </row>
    <row r="2819" spans="1:3" ht="15">
      <c r="A2819" s="90" t="s">
        <v>269</v>
      </c>
      <c r="B2819" s="89" t="s">
        <v>3024</v>
      </c>
      <c r="C2819" s="96" t="s">
        <v>872</v>
      </c>
    </row>
    <row r="2820" spans="1:3" ht="15">
      <c r="A2820" s="90" t="s">
        <v>268</v>
      </c>
      <c r="B2820" s="89" t="s">
        <v>3025</v>
      </c>
      <c r="C2820" s="96" t="s">
        <v>871</v>
      </c>
    </row>
    <row r="2821" spans="1:3" ht="15">
      <c r="A2821" s="90" t="s">
        <v>268</v>
      </c>
      <c r="B2821" s="89" t="s">
        <v>2369</v>
      </c>
      <c r="C2821" s="96" t="s">
        <v>871</v>
      </c>
    </row>
    <row r="2822" spans="1:3" ht="15">
      <c r="A2822" s="90" t="s">
        <v>268</v>
      </c>
      <c r="B2822" s="89" t="s">
        <v>2370</v>
      </c>
      <c r="C2822" s="96" t="s">
        <v>871</v>
      </c>
    </row>
    <row r="2823" spans="1:3" ht="15">
      <c r="A2823" s="90" t="s">
        <v>268</v>
      </c>
      <c r="B2823" s="89" t="s">
        <v>2617</v>
      </c>
      <c r="C2823" s="96" t="s">
        <v>871</v>
      </c>
    </row>
    <row r="2824" spans="1:3" ht="15">
      <c r="A2824" s="90" t="s">
        <v>268</v>
      </c>
      <c r="B2824" s="89" t="s">
        <v>3026</v>
      </c>
      <c r="C2824" s="96" t="s">
        <v>871</v>
      </c>
    </row>
    <row r="2825" spans="1:3" ht="15">
      <c r="A2825" s="90" t="s">
        <v>268</v>
      </c>
      <c r="B2825" s="89" t="s">
        <v>2316</v>
      </c>
      <c r="C2825" s="96" t="s">
        <v>871</v>
      </c>
    </row>
    <row r="2826" spans="1:3" ht="15">
      <c r="A2826" s="90" t="s">
        <v>268</v>
      </c>
      <c r="B2826" s="89" t="s">
        <v>2410</v>
      </c>
      <c r="C2826" s="96" t="s">
        <v>871</v>
      </c>
    </row>
    <row r="2827" spans="1:3" ht="15">
      <c r="A2827" s="90" t="s">
        <v>268</v>
      </c>
      <c r="B2827" s="89" t="s">
        <v>2472</v>
      </c>
      <c r="C2827" s="96" t="s">
        <v>871</v>
      </c>
    </row>
    <row r="2828" spans="1:3" ht="15">
      <c r="A2828" s="90" t="s">
        <v>268</v>
      </c>
      <c r="B2828" s="89" t="s">
        <v>2317</v>
      </c>
      <c r="C2828" s="96" t="s">
        <v>871</v>
      </c>
    </row>
    <row r="2829" spans="1:3" ht="15">
      <c r="A2829" s="90" t="s">
        <v>268</v>
      </c>
      <c r="B2829" s="89" t="s">
        <v>2756</v>
      </c>
      <c r="C2829" s="96" t="s">
        <v>871</v>
      </c>
    </row>
    <row r="2830" spans="1:3" ht="15">
      <c r="A2830" s="90" t="s">
        <v>268</v>
      </c>
      <c r="B2830" s="89" t="s">
        <v>3027</v>
      </c>
      <c r="C2830" s="96" t="s">
        <v>871</v>
      </c>
    </row>
    <row r="2831" spans="1:3" ht="15">
      <c r="A2831" s="90" t="s">
        <v>268</v>
      </c>
      <c r="B2831" s="89" t="s">
        <v>2372</v>
      </c>
      <c r="C2831" s="96" t="s">
        <v>871</v>
      </c>
    </row>
    <row r="2832" spans="1:3" ht="15">
      <c r="A2832" s="90" t="s">
        <v>268</v>
      </c>
      <c r="B2832" s="89" t="s">
        <v>3028</v>
      </c>
      <c r="C2832" s="96" t="s">
        <v>871</v>
      </c>
    </row>
    <row r="2833" spans="1:3" ht="15">
      <c r="A2833" s="90" t="s">
        <v>268</v>
      </c>
      <c r="B2833" s="89" t="s">
        <v>3029</v>
      </c>
      <c r="C2833" s="96" t="s">
        <v>871</v>
      </c>
    </row>
    <row r="2834" spans="1:3" ht="15">
      <c r="A2834" s="90" t="s">
        <v>268</v>
      </c>
      <c r="B2834" s="89" t="s">
        <v>3030</v>
      </c>
      <c r="C2834" s="96" t="s">
        <v>871</v>
      </c>
    </row>
    <row r="2835" spans="1:3" ht="15">
      <c r="A2835" s="90" t="s">
        <v>267</v>
      </c>
      <c r="B2835" s="89" t="s">
        <v>2987</v>
      </c>
      <c r="C2835" s="96" t="s">
        <v>870</v>
      </c>
    </row>
    <row r="2836" spans="1:3" ht="15">
      <c r="A2836" s="90" t="s">
        <v>267</v>
      </c>
      <c r="B2836" s="89" t="s">
        <v>2369</v>
      </c>
      <c r="C2836" s="96" t="s">
        <v>870</v>
      </c>
    </row>
    <row r="2837" spans="1:3" ht="15">
      <c r="A2837" s="90" t="s">
        <v>267</v>
      </c>
      <c r="B2837" s="89" t="s">
        <v>2370</v>
      </c>
      <c r="C2837" s="96" t="s">
        <v>870</v>
      </c>
    </row>
    <row r="2838" spans="1:3" ht="15">
      <c r="A2838" s="90" t="s">
        <v>267</v>
      </c>
      <c r="B2838" s="89" t="s">
        <v>3031</v>
      </c>
      <c r="C2838" s="96" t="s">
        <v>870</v>
      </c>
    </row>
    <row r="2839" spans="1:3" ht="15">
      <c r="A2839" s="90" t="s">
        <v>267</v>
      </c>
      <c r="B2839" s="89" t="s">
        <v>3032</v>
      </c>
      <c r="C2839" s="96" t="s">
        <v>870</v>
      </c>
    </row>
    <row r="2840" spans="1:3" ht="15">
      <c r="A2840" s="90" t="s">
        <v>267</v>
      </c>
      <c r="B2840" s="89" t="s">
        <v>3033</v>
      </c>
      <c r="C2840" s="96" t="s">
        <v>870</v>
      </c>
    </row>
    <row r="2841" spans="1:3" ht="15">
      <c r="A2841" s="90" t="s">
        <v>267</v>
      </c>
      <c r="B2841" s="89" t="s">
        <v>3034</v>
      </c>
      <c r="C2841" s="96" t="s">
        <v>870</v>
      </c>
    </row>
    <row r="2842" spans="1:3" ht="15">
      <c r="A2842" s="90" t="s">
        <v>267</v>
      </c>
      <c r="B2842" s="89" t="s">
        <v>3035</v>
      </c>
      <c r="C2842" s="96" t="s">
        <v>870</v>
      </c>
    </row>
    <row r="2843" spans="1:3" ht="15">
      <c r="A2843" s="90" t="s">
        <v>267</v>
      </c>
      <c r="B2843" s="89" t="s">
        <v>3036</v>
      </c>
      <c r="C2843" s="96" t="s">
        <v>870</v>
      </c>
    </row>
    <row r="2844" spans="1:3" ht="15">
      <c r="A2844" s="90" t="s">
        <v>266</v>
      </c>
      <c r="B2844" s="89" t="s">
        <v>265</v>
      </c>
      <c r="C2844" s="96" t="s">
        <v>869</v>
      </c>
    </row>
    <row r="2845" spans="1:3" ht="15">
      <c r="A2845" s="90" t="s">
        <v>266</v>
      </c>
      <c r="B2845" s="89" t="s">
        <v>416</v>
      </c>
      <c r="C2845" s="96" t="s">
        <v>869</v>
      </c>
    </row>
    <row r="2846" spans="1:3" ht="15">
      <c r="A2846" s="90" t="s">
        <v>266</v>
      </c>
      <c r="B2846" s="89" t="s">
        <v>2685</v>
      </c>
      <c r="C2846" s="96" t="s">
        <v>869</v>
      </c>
    </row>
    <row r="2847" spans="1:3" ht="15">
      <c r="A2847" s="90" t="s">
        <v>266</v>
      </c>
      <c r="B2847" s="89" t="s">
        <v>3037</v>
      </c>
      <c r="C2847" s="96" t="s">
        <v>869</v>
      </c>
    </row>
    <row r="2848" spans="1:3" ht="15">
      <c r="A2848" s="90" t="s">
        <v>266</v>
      </c>
      <c r="B2848" s="89" t="s">
        <v>3038</v>
      </c>
      <c r="C2848" s="96" t="s">
        <v>869</v>
      </c>
    </row>
    <row r="2849" spans="1:3" ht="15">
      <c r="A2849" s="90" t="s">
        <v>266</v>
      </c>
      <c r="B2849" s="89" t="s">
        <v>2642</v>
      </c>
      <c r="C2849" s="96" t="s">
        <v>869</v>
      </c>
    </row>
    <row r="2850" spans="1:3" ht="15">
      <c r="A2850" s="90" t="s">
        <v>266</v>
      </c>
      <c r="B2850" s="89" t="s">
        <v>2501</v>
      </c>
      <c r="C2850" s="96" t="s">
        <v>869</v>
      </c>
    </row>
    <row r="2851" spans="1:3" ht="15">
      <c r="A2851" s="90" t="s">
        <v>266</v>
      </c>
      <c r="B2851" s="89" t="s">
        <v>2361</v>
      </c>
      <c r="C2851" s="96" t="s">
        <v>869</v>
      </c>
    </row>
    <row r="2852" spans="1:3" ht="15">
      <c r="A2852" s="90" t="s">
        <v>266</v>
      </c>
      <c r="B2852" s="89" t="s">
        <v>2554</v>
      </c>
      <c r="C2852" s="96" t="s">
        <v>869</v>
      </c>
    </row>
    <row r="2853" spans="1:3" ht="15">
      <c r="A2853" s="90" t="s">
        <v>266</v>
      </c>
      <c r="B2853" s="89" t="s">
        <v>3039</v>
      </c>
      <c r="C2853" s="96" t="s">
        <v>869</v>
      </c>
    </row>
    <row r="2854" spans="1:3" ht="15">
      <c r="A2854" s="90" t="s">
        <v>266</v>
      </c>
      <c r="B2854" s="89" t="s">
        <v>2262</v>
      </c>
      <c r="C2854" s="96" t="s">
        <v>869</v>
      </c>
    </row>
    <row r="2855" spans="1:3" ht="15">
      <c r="A2855" s="90" t="s">
        <v>266</v>
      </c>
      <c r="B2855" s="89" t="s">
        <v>2319</v>
      </c>
      <c r="C2855" s="96" t="s">
        <v>869</v>
      </c>
    </row>
    <row r="2856" spans="1:3" ht="15">
      <c r="A2856" s="90" t="s">
        <v>266</v>
      </c>
      <c r="B2856" s="89" t="s">
        <v>3040</v>
      </c>
      <c r="C2856" s="96" t="s">
        <v>869</v>
      </c>
    </row>
    <row r="2857" spans="1:3" ht="15">
      <c r="A2857" s="90" t="s">
        <v>266</v>
      </c>
      <c r="B2857" s="89" t="s">
        <v>3041</v>
      </c>
      <c r="C2857" s="96" t="s">
        <v>869</v>
      </c>
    </row>
    <row r="2858" spans="1:3" ht="15">
      <c r="A2858" s="90" t="s">
        <v>266</v>
      </c>
      <c r="B2858" s="89" t="s">
        <v>3042</v>
      </c>
      <c r="C2858" s="96" t="s">
        <v>869</v>
      </c>
    </row>
    <row r="2859" spans="1:3" ht="15">
      <c r="A2859" s="90" t="s">
        <v>266</v>
      </c>
      <c r="B2859" s="89" t="s">
        <v>3043</v>
      </c>
      <c r="C2859" s="96" t="s">
        <v>869</v>
      </c>
    </row>
    <row r="2860" spans="1:3" ht="15">
      <c r="A2860" s="90" t="s">
        <v>266</v>
      </c>
      <c r="B2860" s="89" t="s">
        <v>3044</v>
      </c>
      <c r="C2860" s="96" t="s">
        <v>869</v>
      </c>
    </row>
    <row r="2861" spans="1:3" ht="15">
      <c r="A2861" s="90" t="s">
        <v>266</v>
      </c>
      <c r="B2861" s="89" t="s">
        <v>2775</v>
      </c>
      <c r="C2861" s="96" t="s">
        <v>869</v>
      </c>
    </row>
    <row r="2862" spans="1:3" ht="15">
      <c r="A2862" s="90" t="s">
        <v>266</v>
      </c>
      <c r="B2862" s="89" t="s">
        <v>2382</v>
      </c>
      <c r="C2862" s="96" t="s">
        <v>869</v>
      </c>
    </row>
    <row r="2863" spans="1:3" ht="15">
      <c r="A2863" s="90" t="s">
        <v>266</v>
      </c>
      <c r="B2863" s="89" t="s">
        <v>2237</v>
      </c>
      <c r="C2863" s="96" t="s">
        <v>869</v>
      </c>
    </row>
    <row r="2864" spans="1:3" ht="15">
      <c r="A2864" s="90" t="s">
        <v>266</v>
      </c>
      <c r="B2864" s="89" t="s">
        <v>2417</v>
      </c>
      <c r="C2864" s="96" t="s">
        <v>869</v>
      </c>
    </row>
    <row r="2865" spans="1:3" ht="15">
      <c r="A2865" s="90" t="s">
        <v>266</v>
      </c>
      <c r="B2865" s="89" t="s">
        <v>3045</v>
      </c>
      <c r="C2865" s="96" t="s">
        <v>869</v>
      </c>
    </row>
    <row r="2866" spans="1:3" ht="15">
      <c r="A2866" s="90" t="s">
        <v>266</v>
      </c>
      <c r="B2866" s="89" t="s">
        <v>3046</v>
      </c>
      <c r="C2866" s="96" t="s">
        <v>869</v>
      </c>
    </row>
    <row r="2867" spans="1:3" ht="15">
      <c r="A2867" s="90" t="s">
        <v>266</v>
      </c>
      <c r="B2867" s="89" t="s">
        <v>3047</v>
      </c>
      <c r="C2867" s="96" t="s">
        <v>869</v>
      </c>
    </row>
    <row r="2868" spans="1:3" ht="15">
      <c r="A2868" s="90" t="s">
        <v>266</v>
      </c>
      <c r="B2868" s="89" t="s">
        <v>2376</v>
      </c>
      <c r="C2868" s="96" t="s">
        <v>869</v>
      </c>
    </row>
    <row r="2869" spans="1:3" ht="15">
      <c r="A2869" s="90" t="s">
        <v>266</v>
      </c>
      <c r="B2869" s="89" t="s">
        <v>2441</v>
      </c>
      <c r="C2869" s="96" t="s">
        <v>869</v>
      </c>
    </row>
    <row r="2870" spans="1:3" ht="15">
      <c r="A2870" s="90" t="s">
        <v>266</v>
      </c>
      <c r="B2870" s="89" t="s">
        <v>3048</v>
      </c>
      <c r="C2870" s="96" t="s">
        <v>869</v>
      </c>
    </row>
    <row r="2871" spans="1:3" ht="15">
      <c r="A2871" s="90" t="s">
        <v>266</v>
      </c>
      <c r="B2871" s="89" t="s">
        <v>2481</v>
      </c>
      <c r="C2871" s="96" t="s">
        <v>869</v>
      </c>
    </row>
    <row r="2872" spans="1:3" ht="15">
      <c r="A2872" s="90" t="s">
        <v>266</v>
      </c>
      <c r="B2872" s="89" t="s">
        <v>2442</v>
      </c>
      <c r="C2872" s="96" t="s">
        <v>869</v>
      </c>
    </row>
    <row r="2873" spans="1:3" ht="15">
      <c r="A2873" s="90" t="s">
        <v>266</v>
      </c>
      <c r="B2873" s="89" t="s">
        <v>564</v>
      </c>
      <c r="C2873" s="96" t="s">
        <v>869</v>
      </c>
    </row>
    <row r="2874" spans="1:3" ht="15">
      <c r="A2874" s="90" t="s">
        <v>266</v>
      </c>
      <c r="B2874" s="89" t="s">
        <v>3049</v>
      </c>
      <c r="C2874" s="96" t="s">
        <v>869</v>
      </c>
    </row>
    <row r="2875" spans="1:3" ht="15">
      <c r="A2875" s="90" t="s">
        <v>266</v>
      </c>
      <c r="B2875" s="89" t="s">
        <v>3050</v>
      </c>
      <c r="C2875" s="96" t="s">
        <v>869</v>
      </c>
    </row>
    <row r="2876" spans="1:3" ht="15">
      <c r="A2876" s="90" t="s">
        <v>266</v>
      </c>
      <c r="B2876" s="89" t="s">
        <v>3051</v>
      </c>
      <c r="C2876" s="96" t="s">
        <v>869</v>
      </c>
    </row>
    <row r="2877" spans="1:3" ht="15">
      <c r="A2877" s="90" t="s">
        <v>266</v>
      </c>
      <c r="B2877" s="89" t="s">
        <v>3052</v>
      </c>
      <c r="C2877" s="96" t="s">
        <v>869</v>
      </c>
    </row>
    <row r="2878" spans="1:3" ht="15">
      <c r="A2878" s="90" t="s">
        <v>266</v>
      </c>
      <c r="B2878" s="89" t="s">
        <v>2385</v>
      </c>
      <c r="C2878" s="96" t="s">
        <v>869</v>
      </c>
    </row>
    <row r="2879" spans="1:3" ht="15">
      <c r="A2879" s="90" t="s">
        <v>266</v>
      </c>
      <c r="B2879" s="89" t="s">
        <v>265</v>
      </c>
      <c r="C2879" s="96" t="s">
        <v>868</v>
      </c>
    </row>
    <row r="2880" spans="1:3" ht="15">
      <c r="A2880" s="90" t="s">
        <v>266</v>
      </c>
      <c r="B2880" s="89" t="s">
        <v>416</v>
      </c>
      <c r="C2880" s="96" t="s">
        <v>868</v>
      </c>
    </row>
    <row r="2881" spans="1:3" ht="15">
      <c r="A2881" s="90" t="s">
        <v>266</v>
      </c>
      <c r="B2881" s="89" t="s">
        <v>2406</v>
      </c>
      <c r="C2881" s="96" t="s">
        <v>868</v>
      </c>
    </row>
    <row r="2882" spans="1:3" ht="15">
      <c r="A2882" s="90" t="s">
        <v>266</v>
      </c>
      <c r="B2882" s="89" t="s">
        <v>2773</v>
      </c>
      <c r="C2882" s="96" t="s">
        <v>868</v>
      </c>
    </row>
    <row r="2883" spans="1:3" ht="15">
      <c r="A2883" s="90" t="s">
        <v>266</v>
      </c>
      <c r="B2883" s="89" t="s">
        <v>3053</v>
      </c>
      <c r="C2883" s="96" t="s">
        <v>868</v>
      </c>
    </row>
    <row r="2884" spans="1:3" ht="15">
      <c r="A2884" s="90" t="s">
        <v>266</v>
      </c>
      <c r="B2884" s="89" t="s">
        <v>3054</v>
      </c>
      <c r="C2884" s="96" t="s">
        <v>868</v>
      </c>
    </row>
    <row r="2885" spans="1:3" ht="15">
      <c r="A2885" s="90" t="s">
        <v>266</v>
      </c>
      <c r="B2885" s="89" t="s">
        <v>3055</v>
      </c>
      <c r="C2885" s="96" t="s">
        <v>868</v>
      </c>
    </row>
    <row r="2886" spans="1:3" ht="15">
      <c r="A2886" s="90" t="s">
        <v>266</v>
      </c>
      <c r="B2886" s="89" t="s">
        <v>3056</v>
      </c>
      <c r="C2886" s="96" t="s">
        <v>868</v>
      </c>
    </row>
    <row r="2887" spans="1:3" ht="15">
      <c r="A2887" s="90" t="s">
        <v>266</v>
      </c>
      <c r="B2887" s="89" t="s">
        <v>2282</v>
      </c>
      <c r="C2887" s="96" t="s">
        <v>868</v>
      </c>
    </row>
    <row r="2888" spans="1:3" ht="15">
      <c r="A2888" s="90" t="s">
        <v>266</v>
      </c>
      <c r="B2888" s="89" t="s">
        <v>3057</v>
      </c>
      <c r="C2888" s="96" t="s">
        <v>868</v>
      </c>
    </row>
    <row r="2889" spans="1:3" ht="15">
      <c r="A2889" s="90" t="s">
        <v>266</v>
      </c>
      <c r="B2889" s="89" t="s">
        <v>2110</v>
      </c>
      <c r="C2889" s="96" t="s">
        <v>868</v>
      </c>
    </row>
    <row r="2890" spans="1:3" ht="15">
      <c r="A2890" s="90" t="s">
        <v>266</v>
      </c>
      <c r="B2890" s="89" t="s">
        <v>560</v>
      </c>
      <c r="C2890" s="96" t="s">
        <v>868</v>
      </c>
    </row>
    <row r="2891" spans="1:3" ht="15">
      <c r="A2891" s="90" t="s">
        <v>266</v>
      </c>
      <c r="B2891" s="89" t="s">
        <v>2382</v>
      </c>
      <c r="C2891" s="96" t="s">
        <v>868</v>
      </c>
    </row>
    <row r="2892" spans="1:3" ht="15">
      <c r="A2892" s="90" t="s">
        <v>266</v>
      </c>
      <c r="B2892" s="89" t="s">
        <v>3058</v>
      </c>
      <c r="C2892" s="96" t="s">
        <v>868</v>
      </c>
    </row>
    <row r="2893" spans="1:3" ht="15">
      <c r="A2893" s="90" t="s">
        <v>266</v>
      </c>
      <c r="B2893" s="89" t="s">
        <v>3059</v>
      </c>
      <c r="C2893" s="96" t="s">
        <v>868</v>
      </c>
    </row>
    <row r="2894" spans="1:3" ht="15">
      <c r="A2894" s="90" t="s">
        <v>266</v>
      </c>
      <c r="B2894" s="89" t="s">
        <v>2555</v>
      </c>
      <c r="C2894" s="96" t="s">
        <v>868</v>
      </c>
    </row>
    <row r="2895" spans="1:3" ht="15">
      <c r="A2895" s="90" t="s">
        <v>266</v>
      </c>
      <c r="B2895" s="89" t="s">
        <v>3060</v>
      </c>
      <c r="C2895" s="96" t="s">
        <v>868</v>
      </c>
    </row>
    <row r="2896" spans="1:3" ht="15">
      <c r="A2896" s="90" t="s">
        <v>266</v>
      </c>
      <c r="B2896" s="89" t="s">
        <v>2148</v>
      </c>
      <c r="C2896" s="96" t="s">
        <v>868</v>
      </c>
    </row>
    <row r="2897" spans="1:3" ht="15">
      <c r="A2897" s="90" t="s">
        <v>266</v>
      </c>
      <c r="B2897" s="89" t="s">
        <v>2501</v>
      </c>
      <c r="C2897" s="96" t="s">
        <v>868</v>
      </c>
    </row>
    <row r="2898" spans="1:3" ht="15">
      <c r="A2898" s="90" t="s">
        <v>266</v>
      </c>
      <c r="B2898" s="89" t="s">
        <v>3061</v>
      </c>
      <c r="C2898" s="96" t="s">
        <v>868</v>
      </c>
    </row>
    <row r="2899" spans="1:3" ht="15">
      <c r="A2899" s="90" t="s">
        <v>266</v>
      </c>
      <c r="B2899" s="89" t="s">
        <v>3062</v>
      </c>
      <c r="C2899" s="96" t="s">
        <v>868</v>
      </c>
    </row>
    <row r="2900" spans="1:3" ht="15">
      <c r="A2900" s="90" t="s">
        <v>266</v>
      </c>
      <c r="B2900" s="89" t="s">
        <v>2364</v>
      </c>
      <c r="C2900" s="96" t="s">
        <v>868</v>
      </c>
    </row>
    <row r="2901" spans="1:3" ht="15">
      <c r="A2901" s="90" t="s">
        <v>266</v>
      </c>
      <c r="B2901" s="89" t="s">
        <v>3063</v>
      </c>
      <c r="C2901" s="96" t="s">
        <v>868</v>
      </c>
    </row>
    <row r="2902" spans="1:3" ht="15">
      <c r="A2902" s="90" t="s">
        <v>266</v>
      </c>
      <c r="B2902" s="89" t="s">
        <v>2287</v>
      </c>
      <c r="C2902" s="96" t="s">
        <v>868</v>
      </c>
    </row>
    <row r="2903" spans="1:3" ht="15">
      <c r="A2903" s="90" t="s">
        <v>266</v>
      </c>
      <c r="B2903" s="89" t="s">
        <v>3064</v>
      </c>
      <c r="C2903" s="96" t="s">
        <v>868</v>
      </c>
    </row>
    <row r="2904" spans="1:3" ht="15">
      <c r="A2904" s="90" t="s">
        <v>266</v>
      </c>
      <c r="B2904" s="89" t="s">
        <v>3065</v>
      </c>
      <c r="C2904" s="96" t="s">
        <v>868</v>
      </c>
    </row>
    <row r="2905" spans="1:3" ht="15">
      <c r="A2905" s="90" t="s">
        <v>266</v>
      </c>
      <c r="B2905" s="89" t="s">
        <v>2735</v>
      </c>
      <c r="C2905" s="96" t="s">
        <v>868</v>
      </c>
    </row>
    <row r="2906" spans="1:3" ht="15">
      <c r="A2906" s="90" t="s">
        <v>266</v>
      </c>
      <c r="B2906" s="89" t="s">
        <v>3066</v>
      </c>
      <c r="C2906" s="96" t="s">
        <v>868</v>
      </c>
    </row>
    <row r="2907" spans="1:3" ht="15">
      <c r="A2907" s="90" t="s">
        <v>266</v>
      </c>
      <c r="B2907" s="89" t="s">
        <v>3067</v>
      </c>
      <c r="C2907" s="96" t="s">
        <v>868</v>
      </c>
    </row>
    <row r="2908" spans="1:3" ht="15">
      <c r="A2908" s="90" t="s">
        <v>266</v>
      </c>
      <c r="B2908" s="89" t="s">
        <v>2388</v>
      </c>
      <c r="C2908" s="96" t="s">
        <v>868</v>
      </c>
    </row>
    <row r="2909" spans="1:3" ht="15">
      <c r="A2909" s="90" t="s">
        <v>266</v>
      </c>
      <c r="B2909" s="89" t="s">
        <v>3068</v>
      </c>
      <c r="C2909" s="96" t="s">
        <v>868</v>
      </c>
    </row>
    <row r="2910" spans="1:3" ht="15">
      <c r="A2910" s="90" t="s">
        <v>266</v>
      </c>
      <c r="B2910" s="89" t="s">
        <v>2211</v>
      </c>
      <c r="C2910" s="96" t="s">
        <v>868</v>
      </c>
    </row>
    <row r="2911" spans="1:3" ht="15">
      <c r="A2911" s="90" t="s">
        <v>266</v>
      </c>
      <c r="B2911" s="89" t="s">
        <v>3069</v>
      </c>
      <c r="C2911" s="96" t="s">
        <v>868</v>
      </c>
    </row>
    <row r="2912" spans="1:3" ht="15">
      <c r="A2912" s="90" t="s">
        <v>266</v>
      </c>
      <c r="B2912" s="89" t="s">
        <v>2481</v>
      </c>
      <c r="C2912" s="96" t="s">
        <v>868</v>
      </c>
    </row>
    <row r="2913" spans="1:3" ht="15">
      <c r="A2913" s="90" t="s">
        <v>266</v>
      </c>
      <c r="B2913" s="89" t="s">
        <v>2554</v>
      </c>
      <c r="C2913" s="96" t="s">
        <v>868</v>
      </c>
    </row>
    <row r="2914" spans="1:3" ht="15">
      <c r="A2914" s="90" t="s">
        <v>266</v>
      </c>
      <c r="B2914" s="89" t="s">
        <v>3070</v>
      </c>
      <c r="C2914" s="96" t="s">
        <v>868</v>
      </c>
    </row>
    <row r="2915" spans="1:3" ht="15">
      <c r="A2915" s="90" t="s">
        <v>266</v>
      </c>
      <c r="B2915" s="89" t="s">
        <v>3071</v>
      </c>
      <c r="C2915" s="96" t="s">
        <v>868</v>
      </c>
    </row>
    <row r="2916" spans="1:3" ht="15">
      <c r="A2916" s="90" t="s">
        <v>266</v>
      </c>
      <c r="B2916" s="89" t="s">
        <v>2892</v>
      </c>
      <c r="C2916" s="96" t="s">
        <v>868</v>
      </c>
    </row>
    <row r="2917" spans="1:3" ht="15">
      <c r="A2917" s="90" t="s">
        <v>266</v>
      </c>
      <c r="B2917" s="89" t="s">
        <v>3072</v>
      </c>
      <c r="C2917" s="96" t="s">
        <v>868</v>
      </c>
    </row>
    <row r="2918" spans="1:3" ht="15">
      <c r="A2918" s="90" t="s">
        <v>265</v>
      </c>
      <c r="B2918" s="89" t="s">
        <v>2369</v>
      </c>
      <c r="C2918" s="96" t="s">
        <v>867</v>
      </c>
    </row>
    <row r="2919" spans="1:3" ht="15">
      <c r="A2919" s="90" t="s">
        <v>265</v>
      </c>
      <c r="B2919" s="89" t="s">
        <v>2370</v>
      </c>
      <c r="C2919" s="96" t="s">
        <v>867</v>
      </c>
    </row>
    <row r="2920" spans="1:3" ht="15">
      <c r="A2920" s="90" t="s">
        <v>265</v>
      </c>
      <c r="B2920" s="89" t="s">
        <v>3073</v>
      </c>
      <c r="C2920" s="96" t="s">
        <v>867</v>
      </c>
    </row>
    <row r="2921" spans="1:3" ht="15">
      <c r="A2921" s="90" t="s">
        <v>265</v>
      </c>
      <c r="B2921" s="89" t="s">
        <v>3074</v>
      </c>
      <c r="C2921" s="96" t="s">
        <v>867</v>
      </c>
    </row>
    <row r="2922" spans="1:3" ht="15">
      <c r="A2922" s="90" t="s">
        <v>265</v>
      </c>
      <c r="B2922" s="89" t="s">
        <v>3075</v>
      </c>
      <c r="C2922" s="96" t="s">
        <v>867</v>
      </c>
    </row>
    <row r="2923" spans="1:3" ht="15">
      <c r="A2923" s="90" t="s">
        <v>265</v>
      </c>
      <c r="B2923" s="89" t="s">
        <v>3076</v>
      </c>
      <c r="C2923" s="96" t="s">
        <v>867</v>
      </c>
    </row>
    <row r="2924" spans="1:3" ht="15">
      <c r="A2924" s="90" t="s">
        <v>265</v>
      </c>
      <c r="B2924" s="89" t="s">
        <v>3077</v>
      </c>
      <c r="C2924" s="96" t="s">
        <v>867</v>
      </c>
    </row>
    <row r="2925" spans="1:3" ht="15">
      <c r="A2925" s="90" t="s">
        <v>265</v>
      </c>
      <c r="B2925" s="89" t="s">
        <v>3078</v>
      </c>
      <c r="C2925" s="96" t="s">
        <v>867</v>
      </c>
    </row>
    <row r="2926" spans="1:3" ht="15">
      <c r="A2926" s="90" t="s">
        <v>265</v>
      </c>
      <c r="B2926" s="89" t="s">
        <v>3079</v>
      </c>
      <c r="C2926" s="96" t="s">
        <v>867</v>
      </c>
    </row>
    <row r="2927" spans="1:3" ht="15">
      <c r="A2927" s="90" t="s">
        <v>265</v>
      </c>
      <c r="B2927" s="89" t="s">
        <v>2366</v>
      </c>
      <c r="C2927" s="96" t="s">
        <v>867</v>
      </c>
    </row>
    <row r="2928" spans="1:3" ht="15">
      <c r="A2928" s="90" t="s">
        <v>265</v>
      </c>
      <c r="B2928" s="89" t="s">
        <v>2263</v>
      </c>
      <c r="C2928" s="96" t="s">
        <v>867</v>
      </c>
    </row>
    <row r="2929" spans="1:3" ht="15">
      <c r="A2929" s="90" t="s">
        <v>265</v>
      </c>
      <c r="B2929" s="89" t="s">
        <v>3080</v>
      </c>
      <c r="C2929" s="96" t="s">
        <v>867</v>
      </c>
    </row>
    <row r="2930" spans="1:3" ht="15">
      <c r="A2930" s="90" t="s">
        <v>265</v>
      </c>
      <c r="B2930" s="89" t="s">
        <v>2380</v>
      </c>
      <c r="C2930" s="96" t="s">
        <v>867</v>
      </c>
    </row>
    <row r="2931" spans="1:3" ht="15">
      <c r="A2931" s="90" t="s">
        <v>265</v>
      </c>
      <c r="B2931" s="89" t="s">
        <v>3081</v>
      </c>
      <c r="C2931" s="96" t="s">
        <v>867</v>
      </c>
    </row>
    <row r="2932" spans="1:3" ht="15">
      <c r="A2932" s="90" t="s">
        <v>265</v>
      </c>
      <c r="B2932" s="89" t="s">
        <v>3082</v>
      </c>
      <c r="C2932" s="96" t="s">
        <v>867</v>
      </c>
    </row>
    <row r="2933" spans="1:3" ht="15">
      <c r="A2933" s="90" t="s">
        <v>264</v>
      </c>
      <c r="B2933" s="89" t="s">
        <v>3083</v>
      </c>
      <c r="C2933" s="96" t="s">
        <v>866</v>
      </c>
    </row>
    <row r="2934" spans="1:3" ht="15">
      <c r="A2934" s="90" t="s">
        <v>264</v>
      </c>
      <c r="B2934" s="89" t="s">
        <v>2369</v>
      </c>
      <c r="C2934" s="96" t="s">
        <v>866</v>
      </c>
    </row>
    <row r="2935" spans="1:3" ht="15">
      <c r="A2935" s="90" t="s">
        <v>264</v>
      </c>
      <c r="B2935" s="89" t="s">
        <v>2370</v>
      </c>
      <c r="C2935" s="96" t="s">
        <v>866</v>
      </c>
    </row>
    <row r="2936" spans="1:3" ht="15">
      <c r="A2936" s="90" t="s">
        <v>264</v>
      </c>
      <c r="B2936" s="89" t="s">
        <v>3084</v>
      </c>
      <c r="C2936" s="96" t="s">
        <v>866</v>
      </c>
    </row>
    <row r="2937" spans="1:3" ht="15">
      <c r="A2937" s="90" t="s">
        <v>264</v>
      </c>
      <c r="B2937" s="89" t="s">
        <v>3085</v>
      </c>
      <c r="C2937" s="96" t="s">
        <v>866</v>
      </c>
    </row>
    <row r="2938" spans="1:3" ht="15">
      <c r="A2938" s="90" t="s">
        <v>264</v>
      </c>
      <c r="B2938" s="89" t="s">
        <v>2382</v>
      </c>
      <c r="C2938" s="96" t="s">
        <v>866</v>
      </c>
    </row>
    <row r="2939" spans="1:3" ht="15">
      <c r="A2939" s="90" t="s">
        <v>264</v>
      </c>
      <c r="B2939" s="89" t="s">
        <v>3086</v>
      </c>
      <c r="C2939" s="96" t="s">
        <v>866</v>
      </c>
    </row>
    <row r="2940" spans="1:3" ht="15">
      <c r="A2940" s="90" t="s">
        <v>264</v>
      </c>
      <c r="B2940" s="89" t="s">
        <v>3087</v>
      </c>
      <c r="C2940" s="96" t="s">
        <v>866</v>
      </c>
    </row>
    <row r="2941" spans="1:3" ht="15">
      <c r="A2941" s="90" t="s">
        <v>264</v>
      </c>
      <c r="B2941" s="89" t="s">
        <v>3088</v>
      </c>
      <c r="C2941" s="96" t="s">
        <v>866</v>
      </c>
    </row>
    <row r="2942" spans="1:3" ht="15">
      <c r="A2942" s="90" t="s">
        <v>264</v>
      </c>
      <c r="B2942" s="89" t="s">
        <v>3089</v>
      </c>
      <c r="C2942" s="96" t="s">
        <v>866</v>
      </c>
    </row>
    <row r="2943" spans="1:3" ht="15">
      <c r="A2943" s="90" t="s">
        <v>264</v>
      </c>
      <c r="B2943" s="89" t="s">
        <v>3090</v>
      </c>
      <c r="C2943" s="96" t="s">
        <v>866</v>
      </c>
    </row>
    <row r="2944" spans="1:3" ht="15">
      <c r="A2944" s="90" t="s">
        <v>264</v>
      </c>
      <c r="B2944" s="89" t="s">
        <v>3091</v>
      </c>
      <c r="C2944" s="96" t="s">
        <v>866</v>
      </c>
    </row>
    <row r="2945" spans="1:3" ht="15">
      <c r="A2945" s="90" t="s">
        <v>264</v>
      </c>
      <c r="B2945" s="89" t="s">
        <v>3092</v>
      </c>
      <c r="C2945" s="96" t="s">
        <v>866</v>
      </c>
    </row>
    <row r="2946" spans="1:3" ht="15">
      <c r="A2946" s="90" t="s">
        <v>264</v>
      </c>
      <c r="B2946" s="89" t="s">
        <v>2410</v>
      </c>
      <c r="C2946" s="96" t="s">
        <v>866</v>
      </c>
    </row>
    <row r="2947" spans="1:3" ht="15">
      <c r="A2947" s="90" t="s">
        <v>264</v>
      </c>
      <c r="B2947" s="89" t="s">
        <v>2292</v>
      </c>
      <c r="C2947" s="96" t="s">
        <v>866</v>
      </c>
    </row>
    <row r="2948" spans="1:3" ht="15">
      <c r="A2948" s="90" t="s">
        <v>264</v>
      </c>
      <c r="B2948" s="89" t="s">
        <v>2364</v>
      </c>
      <c r="C2948" s="96" t="s">
        <v>866</v>
      </c>
    </row>
    <row r="2949" spans="1:3" ht="15">
      <c r="A2949" s="90" t="s">
        <v>264</v>
      </c>
      <c r="B2949" s="89" t="s">
        <v>3093</v>
      </c>
      <c r="C2949" s="96" t="s">
        <v>866</v>
      </c>
    </row>
    <row r="2950" spans="1:3" ht="15">
      <c r="A2950" s="90" t="s">
        <v>264</v>
      </c>
      <c r="B2950" s="89" t="s">
        <v>3094</v>
      </c>
      <c r="C2950" s="96" t="s">
        <v>866</v>
      </c>
    </row>
    <row r="2951" spans="1:3" ht="15">
      <c r="A2951" s="90" t="s">
        <v>264</v>
      </c>
      <c r="B2951" s="89" t="s">
        <v>3095</v>
      </c>
      <c r="C2951" s="96" t="s">
        <v>866</v>
      </c>
    </row>
    <row r="2952" spans="1:3" ht="15">
      <c r="A2952" s="90" t="s">
        <v>264</v>
      </c>
      <c r="B2952" s="89" t="s">
        <v>2609</v>
      </c>
      <c r="C2952" s="96" t="s">
        <v>866</v>
      </c>
    </row>
    <row r="2953" spans="1:3" ht="15">
      <c r="A2953" s="90" t="s">
        <v>264</v>
      </c>
      <c r="B2953" s="89" t="s">
        <v>3096</v>
      </c>
      <c r="C2953" s="96" t="s">
        <v>866</v>
      </c>
    </row>
    <row r="2954" spans="1:3" ht="15">
      <c r="A2954" s="90" t="s">
        <v>263</v>
      </c>
      <c r="B2954" s="89" t="s">
        <v>2987</v>
      </c>
      <c r="C2954" s="96" t="s">
        <v>865</v>
      </c>
    </row>
    <row r="2955" spans="1:3" ht="15">
      <c r="A2955" s="90" t="s">
        <v>263</v>
      </c>
      <c r="B2955" s="89" t="s">
        <v>2369</v>
      </c>
      <c r="C2955" s="96" t="s">
        <v>865</v>
      </c>
    </row>
    <row r="2956" spans="1:3" ht="15">
      <c r="A2956" s="90" t="s">
        <v>263</v>
      </c>
      <c r="B2956" s="89" t="s">
        <v>2238</v>
      </c>
      <c r="C2956" s="96" t="s">
        <v>865</v>
      </c>
    </row>
    <row r="2957" spans="1:3" ht="15">
      <c r="A2957" s="90" t="s">
        <v>263</v>
      </c>
      <c r="B2957" s="89" t="s">
        <v>2320</v>
      </c>
      <c r="C2957" s="96" t="s">
        <v>865</v>
      </c>
    </row>
    <row r="2958" spans="1:3" ht="15">
      <c r="A2958" s="90" t="s">
        <v>263</v>
      </c>
      <c r="B2958" s="89" t="s">
        <v>2370</v>
      </c>
      <c r="C2958" s="96" t="s">
        <v>865</v>
      </c>
    </row>
    <row r="2959" spans="1:3" ht="15">
      <c r="A2959" s="90" t="s">
        <v>262</v>
      </c>
      <c r="B2959" s="89" t="s">
        <v>416</v>
      </c>
      <c r="C2959" s="96" t="s">
        <v>864</v>
      </c>
    </row>
    <row r="2960" spans="1:3" ht="15">
      <c r="A2960" s="90" t="s">
        <v>262</v>
      </c>
      <c r="B2960" s="89" t="s">
        <v>3097</v>
      </c>
      <c r="C2960" s="96" t="s">
        <v>864</v>
      </c>
    </row>
    <row r="2961" spans="1:3" ht="15">
      <c r="A2961" s="90" t="s">
        <v>262</v>
      </c>
      <c r="B2961" s="89" t="s">
        <v>3098</v>
      </c>
      <c r="C2961" s="96" t="s">
        <v>864</v>
      </c>
    </row>
    <row r="2962" spans="1:3" ht="15">
      <c r="A2962" s="90" t="s">
        <v>262</v>
      </c>
      <c r="B2962" s="89" t="s">
        <v>3099</v>
      </c>
      <c r="C2962" s="96" t="s">
        <v>864</v>
      </c>
    </row>
    <row r="2963" spans="1:3" ht="15">
      <c r="A2963" s="90" t="s">
        <v>262</v>
      </c>
      <c r="B2963" s="89" t="s">
        <v>3100</v>
      </c>
      <c r="C2963" s="96" t="s">
        <v>864</v>
      </c>
    </row>
    <row r="2964" spans="1:3" ht="15">
      <c r="A2964" s="90" t="s">
        <v>262</v>
      </c>
      <c r="B2964" s="89" t="s">
        <v>3101</v>
      </c>
      <c r="C2964" s="96" t="s">
        <v>864</v>
      </c>
    </row>
    <row r="2965" spans="1:3" ht="15">
      <c r="A2965" s="90" t="s">
        <v>261</v>
      </c>
      <c r="B2965" s="89" t="s">
        <v>2378</v>
      </c>
      <c r="C2965" s="96" t="s">
        <v>863</v>
      </c>
    </row>
    <row r="2966" spans="1:3" ht="15">
      <c r="A2966" s="90" t="s">
        <v>261</v>
      </c>
      <c r="B2966" s="89" t="s">
        <v>416</v>
      </c>
      <c r="C2966" s="96" t="s">
        <v>863</v>
      </c>
    </row>
    <row r="2967" spans="1:3" ht="15">
      <c r="A2967" s="90" t="s">
        <v>261</v>
      </c>
      <c r="B2967" s="89" t="s">
        <v>3102</v>
      </c>
      <c r="C2967" s="96" t="s">
        <v>863</v>
      </c>
    </row>
    <row r="2968" spans="1:3" ht="15">
      <c r="A2968" s="90" t="s">
        <v>261</v>
      </c>
      <c r="B2968" s="89" t="s">
        <v>2552</v>
      </c>
      <c r="C2968" s="96" t="s">
        <v>863</v>
      </c>
    </row>
    <row r="2969" spans="1:3" ht="15">
      <c r="A2969" s="90" t="s">
        <v>261</v>
      </c>
      <c r="B2969" s="89" t="s">
        <v>2307</v>
      </c>
      <c r="C2969" s="96" t="s">
        <v>863</v>
      </c>
    </row>
    <row r="2970" spans="1:3" ht="15">
      <c r="A2970" s="90" t="s">
        <v>261</v>
      </c>
      <c r="B2970" s="89" t="s">
        <v>3103</v>
      </c>
      <c r="C2970" s="96" t="s">
        <v>863</v>
      </c>
    </row>
    <row r="2971" spans="1:3" ht="15">
      <c r="A2971" s="90" t="s">
        <v>261</v>
      </c>
      <c r="B2971" s="89" t="s">
        <v>2364</v>
      </c>
      <c r="C2971" s="96" t="s">
        <v>863</v>
      </c>
    </row>
    <row r="2972" spans="1:3" ht="15">
      <c r="A2972" s="90" t="s">
        <v>261</v>
      </c>
      <c r="B2972" s="89" t="s">
        <v>2302</v>
      </c>
      <c r="C2972" s="96" t="s">
        <v>863</v>
      </c>
    </row>
    <row r="2973" spans="1:3" ht="15">
      <c r="A2973" s="90" t="s">
        <v>261</v>
      </c>
      <c r="B2973" s="89">
        <v>18</v>
      </c>
      <c r="C2973" s="96" t="s">
        <v>863</v>
      </c>
    </row>
    <row r="2974" spans="1:3" ht="15">
      <c r="A2974" s="90" t="s">
        <v>261</v>
      </c>
      <c r="B2974" s="89" t="s">
        <v>3104</v>
      </c>
      <c r="C2974" s="96" t="s">
        <v>863</v>
      </c>
    </row>
    <row r="2975" spans="1:3" ht="15">
      <c r="A2975" s="90" t="s">
        <v>261</v>
      </c>
      <c r="B2975" s="89" t="s">
        <v>3105</v>
      </c>
      <c r="C2975" s="96" t="s">
        <v>863</v>
      </c>
    </row>
    <row r="2976" spans="1:3" ht="15">
      <c r="A2976" s="90" t="s">
        <v>261</v>
      </c>
      <c r="B2976" s="89" t="s">
        <v>2472</v>
      </c>
      <c r="C2976" s="96" t="s">
        <v>863</v>
      </c>
    </row>
    <row r="2977" spans="1:3" ht="15">
      <c r="A2977" s="90" t="s">
        <v>261</v>
      </c>
      <c r="B2977" s="89" t="s">
        <v>2294</v>
      </c>
      <c r="C2977" s="96" t="s">
        <v>863</v>
      </c>
    </row>
    <row r="2978" spans="1:3" ht="15">
      <c r="A2978" s="90" t="s">
        <v>261</v>
      </c>
      <c r="B2978" s="89" t="s">
        <v>2211</v>
      </c>
      <c r="C2978" s="96" t="s">
        <v>863</v>
      </c>
    </row>
    <row r="2979" spans="1:3" ht="15">
      <c r="A2979" s="90" t="s">
        <v>261</v>
      </c>
      <c r="B2979" s="89" t="s">
        <v>3106</v>
      </c>
      <c r="C2979" s="96" t="s">
        <v>863</v>
      </c>
    </row>
    <row r="2980" spans="1:3" ht="15">
      <c r="A2980" s="90" t="s">
        <v>261</v>
      </c>
      <c r="B2980" s="89" t="s">
        <v>3107</v>
      </c>
      <c r="C2980" s="96" t="s">
        <v>863</v>
      </c>
    </row>
    <row r="2981" spans="1:3" ht="15">
      <c r="A2981" s="90" t="s">
        <v>261</v>
      </c>
      <c r="B2981" s="89" t="s">
        <v>3108</v>
      </c>
      <c r="C2981" s="96" t="s">
        <v>863</v>
      </c>
    </row>
    <row r="2982" spans="1:3" ht="15">
      <c r="A2982" s="90" t="s">
        <v>261</v>
      </c>
      <c r="B2982" s="89" t="s">
        <v>2376</v>
      </c>
      <c r="C2982" s="96" t="s">
        <v>863</v>
      </c>
    </row>
    <row r="2983" spans="1:3" ht="15">
      <c r="A2983" s="90" t="s">
        <v>261</v>
      </c>
      <c r="B2983" s="89" t="s">
        <v>2557</v>
      </c>
      <c r="C2983" s="96" t="s">
        <v>863</v>
      </c>
    </row>
    <row r="2984" spans="1:3" ht="15">
      <c r="A2984" s="90" t="s">
        <v>261</v>
      </c>
      <c r="B2984" s="89" t="s">
        <v>3109</v>
      </c>
      <c r="C2984" s="96" t="s">
        <v>863</v>
      </c>
    </row>
    <row r="2985" spans="1:3" ht="15">
      <c r="A2985" s="90" t="s">
        <v>261</v>
      </c>
      <c r="B2985" s="89" t="s">
        <v>3110</v>
      </c>
      <c r="C2985" s="96" t="s">
        <v>863</v>
      </c>
    </row>
    <row r="2986" spans="1:3" ht="15">
      <c r="A2986" s="90" t="s">
        <v>261</v>
      </c>
      <c r="B2986" s="89" t="s">
        <v>3111</v>
      </c>
      <c r="C2986" s="96" t="s">
        <v>863</v>
      </c>
    </row>
    <row r="2987" spans="1:3" ht="15">
      <c r="A2987" s="90" t="s">
        <v>261</v>
      </c>
      <c r="B2987" s="89" t="s">
        <v>2642</v>
      </c>
      <c r="C2987" s="96" t="s">
        <v>863</v>
      </c>
    </row>
    <row r="2988" spans="1:3" ht="15">
      <c r="A2988" s="90" t="s">
        <v>261</v>
      </c>
      <c r="B2988" s="89" t="s">
        <v>3112</v>
      </c>
      <c r="C2988" s="96" t="s">
        <v>863</v>
      </c>
    </row>
    <row r="2989" spans="1:3" ht="15">
      <c r="A2989" s="90" t="s">
        <v>261</v>
      </c>
      <c r="B2989" s="89" t="s">
        <v>2547</v>
      </c>
      <c r="C2989" s="96" t="s">
        <v>863</v>
      </c>
    </row>
    <row r="2990" spans="1:3" ht="15">
      <c r="A2990" s="90" t="s">
        <v>261</v>
      </c>
      <c r="B2990" s="89" t="s">
        <v>1129</v>
      </c>
      <c r="C2990" s="96" t="s">
        <v>863</v>
      </c>
    </row>
    <row r="2991" spans="1:3" ht="15">
      <c r="A2991" s="90" t="s">
        <v>261</v>
      </c>
      <c r="B2991" s="89" t="s">
        <v>2321</v>
      </c>
      <c r="C2991" s="96" t="s">
        <v>863</v>
      </c>
    </row>
    <row r="2992" spans="1:3" ht="15">
      <c r="A2992" s="90" t="s">
        <v>261</v>
      </c>
      <c r="B2992" s="89" t="s">
        <v>2715</v>
      </c>
      <c r="C2992" s="96" t="s">
        <v>863</v>
      </c>
    </row>
    <row r="2993" spans="1:3" ht="15">
      <c r="A2993" s="90" t="s">
        <v>261</v>
      </c>
      <c r="B2993" s="89" t="s">
        <v>2322</v>
      </c>
      <c r="C2993" s="96" t="s">
        <v>863</v>
      </c>
    </row>
    <row r="2994" spans="1:3" ht="15">
      <c r="A2994" s="90" t="s">
        <v>261</v>
      </c>
      <c r="B2994" s="89" t="s">
        <v>2382</v>
      </c>
      <c r="C2994" s="96" t="s">
        <v>863</v>
      </c>
    </row>
    <row r="2995" spans="1:3" ht="15">
      <c r="A2995" s="90" t="s">
        <v>261</v>
      </c>
      <c r="B2995" s="89" t="s">
        <v>2383</v>
      </c>
      <c r="C2995" s="96" t="s">
        <v>863</v>
      </c>
    </row>
    <row r="2996" spans="1:3" ht="15">
      <c r="A2996" s="90" t="s">
        <v>261</v>
      </c>
      <c r="B2996" s="89" t="s">
        <v>3113</v>
      </c>
      <c r="C2996" s="96" t="s">
        <v>863</v>
      </c>
    </row>
    <row r="2997" spans="1:3" ht="15">
      <c r="A2997" s="90" t="s">
        <v>261</v>
      </c>
      <c r="B2997" s="89" t="s">
        <v>3114</v>
      </c>
      <c r="C2997" s="96" t="s">
        <v>863</v>
      </c>
    </row>
    <row r="2998" spans="1:3" ht="15">
      <c r="A2998" s="90" t="s">
        <v>261</v>
      </c>
      <c r="B2998" s="89" t="s">
        <v>2581</v>
      </c>
      <c r="C2998" s="96" t="s">
        <v>863</v>
      </c>
    </row>
    <row r="2999" spans="1:3" ht="15">
      <c r="A2999" s="90" t="s">
        <v>261</v>
      </c>
      <c r="B2999" s="89" t="s">
        <v>3115</v>
      </c>
      <c r="C2999" s="96" t="s">
        <v>863</v>
      </c>
    </row>
    <row r="3000" spans="1:3" ht="15">
      <c r="A3000" s="90" t="s">
        <v>261</v>
      </c>
      <c r="B3000" s="89">
        <v>2</v>
      </c>
      <c r="C3000" s="96" t="s">
        <v>863</v>
      </c>
    </row>
    <row r="3001" spans="1:3" ht="15">
      <c r="A3001" s="90" t="s">
        <v>261</v>
      </c>
      <c r="B3001" s="89" t="s">
        <v>2378</v>
      </c>
      <c r="C3001" s="96" t="s">
        <v>862</v>
      </c>
    </row>
    <row r="3002" spans="1:3" ht="15">
      <c r="A3002" s="90" t="s">
        <v>261</v>
      </c>
      <c r="B3002" s="89" t="s">
        <v>3116</v>
      </c>
      <c r="C3002" s="96" t="s">
        <v>862</v>
      </c>
    </row>
    <row r="3003" spans="1:3" ht="15">
      <c r="A3003" s="90" t="s">
        <v>261</v>
      </c>
      <c r="B3003" s="89" t="s">
        <v>3117</v>
      </c>
      <c r="C3003" s="96" t="s">
        <v>862</v>
      </c>
    </row>
    <row r="3004" spans="1:3" ht="15">
      <c r="A3004" s="90" t="s">
        <v>261</v>
      </c>
      <c r="B3004" s="89" t="s">
        <v>3118</v>
      </c>
      <c r="C3004" s="96" t="s">
        <v>862</v>
      </c>
    </row>
    <row r="3005" spans="1:3" ht="15">
      <c r="A3005" s="90" t="s">
        <v>261</v>
      </c>
      <c r="B3005" s="89" t="s">
        <v>3119</v>
      </c>
      <c r="C3005" s="96" t="s">
        <v>862</v>
      </c>
    </row>
    <row r="3006" spans="1:3" ht="15">
      <c r="A3006" s="90" t="s">
        <v>261</v>
      </c>
      <c r="B3006" s="89" t="s">
        <v>2264</v>
      </c>
      <c r="C3006" s="96" t="s">
        <v>862</v>
      </c>
    </row>
    <row r="3007" spans="1:3" ht="15">
      <c r="A3007" s="90" t="s">
        <v>261</v>
      </c>
      <c r="B3007" s="89" t="s">
        <v>416</v>
      </c>
      <c r="C3007" s="96" t="s">
        <v>862</v>
      </c>
    </row>
    <row r="3008" spans="1:3" ht="15">
      <c r="A3008" s="90" t="s">
        <v>261</v>
      </c>
      <c r="B3008" s="89" t="s">
        <v>3120</v>
      </c>
      <c r="C3008" s="96" t="s">
        <v>862</v>
      </c>
    </row>
    <row r="3009" spans="1:3" ht="15">
      <c r="A3009" s="90" t="s">
        <v>261</v>
      </c>
      <c r="B3009" s="89" t="s">
        <v>3121</v>
      </c>
      <c r="C3009" s="96" t="s">
        <v>862</v>
      </c>
    </row>
    <row r="3010" spans="1:3" ht="15">
      <c r="A3010" s="90" t="s">
        <v>261</v>
      </c>
      <c r="B3010" s="89" t="s">
        <v>2361</v>
      </c>
      <c r="C3010" s="96" t="s">
        <v>862</v>
      </c>
    </row>
    <row r="3011" spans="1:3" ht="15">
      <c r="A3011" s="90" t="s">
        <v>261</v>
      </c>
      <c r="B3011" s="89" t="s">
        <v>3122</v>
      </c>
      <c r="C3011" s="96" t="s">
        <v>862</v>
      </c>
    </row>
    <row r="3012" spans="1:3" ht="15">
      <c r="A3012" s="90" t="s">
        <v>261</v>
      </c>
      <c r="B3012" s="89" t="s">
        <v>3123</v>
      </c>
      <c r="C3012" s="96" t="s">
        <v>862</v>
      </c>
    </row>
    <row r="3013" spans="1:3" ht="15">
      <c r="A3013" s="90" t="s">
        <v>261</v>
      </c>
      <c r="B3013" s="89" t="s">
        <v>2558</v>
      </c>
      <c r="C3013" s="96" t="s">
        <v>862</v>
      </c>
    </row>
    <row r="3014" spans="1:3" ht="15">
      <c r="A3014" s="90" t="s">
        <v>261</v>
      </c>
      <c r="B3014" s="89" t="s">
        <v>3124</v>
      </c>
      <c r="C3014" s="96" t="s">
        <v>862</v>
      </c>
    </row>
    <row r="3015" spans="1:3" ht="15">
      <c r="A3015" s="90" t="s">
        <v>261</v>
      </c>
      <c r="B3015" s="89" t="s">
        <v>3125</v>
      </c>
      <c r="C3015" s="96" t="s">
        <v>862</v>
      </c>
    </row>
    <row r="3016" spans="1:3" ht="15">
      <c r="A3016" s="90" t="s">
        <v>261</v>
      </c>
      <c r="B3016" s="89" t="s">
        <v>3126</v>
      </c>
      <c r="C3016" s="96" t="s">
        <v>862</v>
      </c>
    </row>
    <row r="3017" spans="1:3" ht="15">
      <c r="A3017" s="90" t="s">
        <v>261</v>
      </c>
      <c r="B3017" s="89" t="s">
        <v>3127</v>
      </c>
      <c r="C3017" s="96" t="s">
        <v>862</v>
      </c>
    </row>
    <row r="3018" spans="1:3" ht="15">
      <c r="A3018" s="90" t="s">
        <v>261</v>
      </c>
      <c r="B3018" s="89" t="s">
        <v>3128</v>
      </c>
      <c r="C3018" s="96" t="s">
        <v>862</v>
      </c>
    </row>
    <row r="3019" spans="1:3" ht="15">
      <c r="A3019" s="90" t="s">
        <v>261</v>
      </c>
      <c r="B3019" s="89" t="s">
        <v>2259</v>
      </c>
      <c r="C3019" s="96" t="s">
        <v>862</v>
      </c>
    </row>
    <row r="3020" spans="1:3" ht="15">
      <c r="A3020" s="90" t="s">
        <v>261</v>
      </c>
      <c r="B3020" s="89" t="s">
        <v>3129</v>
      </c>
      <c r="C3020" s="96" t="s">
        <v>862</v>
      </c>
    </row>
    <row r="3021" spans="1:3" ht="15">
      <c r="A3021" s="90" t="s">
        <v>261</v>
      </c>
      <c r="B3021" s="89" t="s">
        <v>3130</v>
      </c>
      <c r="C3021" s="96" t="s">
        <v>862</v>
      </c>
    </row>
    <row r="3022" spans="1:3" ht="15">
      <c r="A3022" s="90" t="s">
        <v>261</v>
      </c>
      <c r="B3022" s="89" t="s">
        <v>2653</v>
      </c>
      <c r="C3022" s="96" t="s">
        <v>862</v>
      </c>
    </row>
    <row r="3023" spans="1:3" ht="15">
      <c r="A3023" s="90" t="s">
        <v>261</v>
      </c>
      <c r="B3023" s="89" t="s">
        <v>2617</v>
      </c>
      <c r="C3023" s="96" t="s">
        <v>862</v>
      </c>
    </row>
    <row r="3024" spans="1:3" ht="15">
      <c r="A3024" s="90" t="s">
        <v>261</v>
      </c>
      <c r="B3024" s="89" t="s">
        <v>2554</v>
      </c>
      <c r="C3024" s="96" t="s">
        <v>862</v>
      </c>
    </row>
    <row r="3025" spans="1:3" ht="15">
      <c r="A3025" s="90" t="s">
        <v>261</v>
      </c>
      <c r="B3025" s="89" t="s">
        <v>3131</v>
      </c>
      <c r="C3025" s="96" t="s">
        <v>862</v>
      </c>
    </row>
    <row r="3026" spans="1:3" ht="15">
      <c r="A3026" s="90" t="s">
        <v>261</v>
      </c>
      <c r="B3026" s="89" t="s">
        <v>3063</v>
      </c>
      <c r="C3026" s="96" t="s">
        <v>862</v>
      </c>
    </row>
    <row r="3027" spans="1:3" ht="15">
      <c r="A3027" s="90" t="s">
        <v>261</v>
      </c>
      <c r="B3027" s="89">
        <v>1</v>
      </c>
      <c r="C3027" s="96" t="s">
        <v>862</v>
      </c>
    </row>
    <row r="3028" spans="1:3" ht="15">
      <c r="A3028" s="90" t="s">
        <v>261</v>
      </c>
      <c r="B3028" s="89">
        <v>2</v>
      </c>
      <c r="C3028" s="96" t="s">
        <v>862</v>
      </c>
    </row>
    <row r="3029" spans="1:3" ht="15">
      <c r="A3029" s="90" t="s">
        <v>260</v>
      </c>
      <c r="B3029" s="89" t="s">
        <v>3132</v>
      </c>
      <c r="C3029" s="96" t="s">
        <v>861</v>
      </c>
    </row>
    <row r="3030" spans="1:3" ht="15">
      <c r="A3030" s="90" t="s">
        <v>260</v>
      </c>
      <c r="B3030" s="89" t="s">
        <v>3133</v>
      </c>
      <c r="C3030" s="96" t="s">
        <v>861</v>
      </c>
    </row>
    <row r="3031" spans="1:3" ht="15">
      <c r="A3031" s="90" t="s">
        <v>260</v>
      </c>
      <c r="B3031" s="89" t="s">
        <v>2369</v>
      </c>
      <c r="C3031" s="96" t="s">
        <v>861</v>
      </c>
    </row>
    <row r="3032" spans="1:3" ht="15">
      <c r="A3032" s="90" t="s">
        <v>260</v>
      </c>
      <c r="B3032" s="89" t="s">
        <v>2370</v>
      </c>
      <c r="C3032" s="96" t="s">
        <v>861</v>
      </c>
    </row>
    <row r="3033" spans="1:3" ht="15">
      <c r="A3033" s="90" t="s">
        <v>260</v>
      </c>
      <c r="B3033" s="89" t="s">
        <v>2388</v>
      </c>
      <c r="C3033" s="96" t="s">
        <v>861</v>
      </c>
    </row>
    <row r="3034" spans="1:3" ht="15">
      <c r="A3034" s="90" t="s">
        <v>260</v>
      </c>
      <c r="B3034" s="89" t="s">
        <v>2554</v>
      </c>
      <c r="C3034" s="96" t="s">
        <v>861</v>
      </c>
    </row>
    <row r="3035" spans="1:3" ht="15">
      <c r="A3035" s="90" t="s">
        <v>260</v>
      </c>
      <c r="B3035" s="89" t="s">
        <v>2501</v>
      </c>
      <c r="C3035" s="96" t="s">
        <v>861</v>
      </c>
    </row>
    <row r="3036" spans="1:3" ht="15">
      <c r="A3036" s="90" t="s">
        <v>260</v>
      </c>
      <c r="B3036" s="89" t="s">
        <v>2715</v>
      </c>
      <c r="C3036" s="96" t="s">
        <v>861</v>
      </c>
    </row>
    <row r="3037" spans="1:3" ht="15">
      <c r="A3037" s="90" t="s">
        <v>260</v>
      </c>
      <c r="B3037" s="89" t="s">
        <v>2364</v>
      </c>
      <c r="C3037" s="96" t="s">
        <v>861</v>
      </c>
    </row>
    <row r="3038" spans="1:3" ht="15">
      <c r="A3038" s="90" t="s">
        <v>260</v>
      </c>
      <c r="B3038" s="89" t="s">
        <v>2882</v>
      </c>
      <c r="C3038" s="96" t="s">
        <v>861</v>
      </c>
    </row>
    <row r="3039" spans="1:3" ht="15">
      <c r="A3039" s="90" t="s">
        <v>260</v>
      </c>
      <c r="B3039" s="89" t="s">
        <v>2376</v>
      </c>
      <c r="C3039" s="96" t="s">
        <v>861</v>
      </c>
    </row>
    <row r="3040" spans="1:3" ht="15">
      <c r="A3040" s="90" t="s">
        <v>260</v>
      </c>
      <c r="B3040" s="89" t="s">
        <v>3134</v>
      </c>
      <c r="C3040" s="96" t="s">
        <v>861</v>
      </c>
    </row>
    <row r="3041" spans="1:3" ht="15">
      <c r="A3041" s="90" t="s">
        <v>260</v>
      </c>
      <c r="B3041" s="89" t="s">
        <v>3135</v>
      </c>
      <c r="C3041" s="96" t="s">
        <v>861</v>
      </c>
    </row>
    <row r="3042" spans="1:3" ht="15">
      <c r="A3042" s="90" t="s">
        <v>260</v>
      </c>
      <c r="B3042" s="89" t="s">
        <v>3136</v>
      </c>
      <c r="C3042" s="96" t="s">
        <v>861</v>
      </c>
    </row>
    <row r="3043" spans="1:3" ht="15">
      <c r="A3043" s="90" t="s">
        <v>259</v>
      </c>
      <c r="B3043" s="89" t="s">
        <v>3137</v>
      </c>
      <c r="C3043" s="96" t="s">
        <v>860</v>
      </c>
    </row>
    <row r="3044" spans="1:3" ht="15">
      <c r="A3044" s="90" t="s">
        <v>259</v>
      </c>
      <c r="B3044" s="89" t="s">
        <v>416</v>
      </c>
      <c r="C3044" s="96" t="s">
        <v>860</v>
      </c>
    </row>
    <row r="3045" spans="1:3" ht="15">
      <c r="A3045" s="90" t="s">
        <v>259</v>
      </c>
      <c r="B3045" s="89" t="s">
        <v>3138</v>
      </c>
      <c r="C3045" s="96" t="s">
        <v>860</v>
      </c>
    </row>
    <row r="3046" spans="1:3" ht="15">
      <c r="A3046" s="90" t="s">
        <v>259</v>
      </c>
      <c r="B3046" s="89" t="s">
        <v>3139</v>
      </c>
      <c r="C3046" s="96" t="s">
        <v>860</v>
      </c>
    </row>
    <row r="3047" spans="1:3" ht="15">
      <c r="A3047" s="90" t="s">
        <v>259</v>
      </c>
      <c r="B3047" s="89" t="s">
        <v>2883</v>
      </c>
      <c r="C3047" s="96" t="s">
        <v>860</v>
      </c>
    </row>
    <row r="3048" spans="1:3" ht="15">
      <c r="A3048" s="90" t="s">
        <v>259</v>
      </c>
      <c r="B3048" s="89" t="s">
        <v>2323</v>
      </c>
      <c r="C3048" s="96" t="s">
        <v>860</v>
      </c>
    </row>
    <row r="3049" spans="1:3" ht="15">
      <c r="A3049" s="90" t="s">
        <v>259</v>
      </c>
      <c r="B3049" s="89" t="s">
        <v>2988</v>
      </c>
      <c r="C3049" s="96" t="s">
        <v>860</v>
      </c>
    </row>
    <row r="3050" spans="1:3" ht="15">
      <c r="A3050" s="90" t="s">
        <v>259</v>
      </c>
      <c r="B3050" s="89" t="s">
        <v>2308</v>
      </c>
      <c r="C3050" s="96" t="s">
        <v>860</v>
      </c>
    </row>
    <row r="3051" spans="1:3" ht="15">
      <c r="A3051" s="90" t="s">
        <v>259</v>
      </c>
      <c r="B3051" s="89" t="s">
        <v>2376</v>
      </c>
      <c r="C3051" s="96" t="s">
        <v>860</v>
      </c>
    </row>
    <row r="3052" spans="1:3" ht="15">
      <c r="A3052" s="90" t="s">
        <v>259</v>
      </c>
      <c r="B3052" s="89" t="s">
        <v>2361</v>
      </c>
      <c r="C3052" s="96" t="s">
        <v>860</v>
      </c>
    </row>
    <row r="3053" spans="1:3" ht="15">
      <c r="A3053" s="90" t="s">
        <v>259</v>
      </c>
      <c r="B3053" s="89" t="s">
        <v>2184</v>
      </c>
      <c r="C3053" s="96" t="s">
        <v>860</v>
      </c>
    </row>
    <row r="3054" spans="1:3" ht="15">
      <c r="A3054" s="90" t="s">
        <v>259</v>
      </c>
      <c r="B3054" s="89" t="s">
        <v>2986</v>
      </c>
      <c r="C3054" s="96" t="s">
        <v>860</v>
      </c>
    </row>
    <row r="3055" spans="1:3" ht="15">
      <c r="A3055" s="90" t="s">
        <v>259</v>
      </c>
      <c r="B3055" s="89" t="s">
        <v>3140</v>
      </c>
      <c r="C3055" s="96" t="s">
        <v>860</v>
      </c>
    </row>
    <row r="3056" spans="1:3" ht="15">
      <c r="A3056" s="90" t="s">
        <v>258</v>
      </c>
      <c r="B3056" s="89" t="s">
        <v>3141</v>
      </c>
      <c r="C3056" s="96" t="s">
        <v>859</v>
      </c>
    </row>
    <row r="3057" spans="1:3" ht="15">
      <c r="A3057" s="90" t="s">
        <v>258</v>
      </c>
      <c r="B3057" s="89" t="s">
        <v>2238</v>
      </c>
      <c r="C3057" s="96" t="s">
        <v>859</v>
      </c>
    </row>
    <row r="3058" spans="1:3" ht="15">
      <c r="A3058" s="90" t="s">
        <v>258</v>
      </c>
      <c r="B3058" s="89" t="s">
        <v>2320</v>
      </c>
      <c r="C3058" s="96" t="s">
        <v>859</v>
      </c>
    </row>
    <row r="3059" spans="1:3" ht="15">
      <c r="A3059" s="90" t="s">
        <v>258</v>
      </c>
      <c r="B3059" s="89" t="s">
        <v>416</v>
      </c>
      <c r="C3059" s="96" t="s">
        <v>859</v>
      </c>
    </row>
    <row r="3060" spans="1:3" ht="15">
      <c r="A3060" s="90" t="s">
        <v>258</v>
      </c>
      <c r="B3060" s="89" t="s">
        <v>3142</v>
      </c>
      <c r="C3060" s="96" t="s">
        <v>859</v>
      </c>
    </row>
    <row r="3061" spans="1:3" ht="15">
      <c r="A3061" s="90" t="s">
        <v>258</v>
      </c>
      <c r="B3061" s="89" t="s">
        <v>3143</v>
      </c>
      <c r="C3061" s="96" t="s">
        <v>859</v>
      </c>
    </row>
    <row r="3062" spans="1:3" ht="15">
      <c r="A3062" s="90" t="s">
        <v>258</v>
      </c>
      <c r="B3062" s="89" t="s">
        <v>3144</v>
      </c>
      <c r="C3062" s="96" t="s">
        <v>859</v>
      </c>
    </row>
    <row r="3063" spans="1:3" ht="15">
      <c r="A3063" s="90" t="s">
        <v>258</v>
      </c>
      <c r="B3063" s="89" t="s">
        <v>2313</v>
      </c>
      <c r="C3063" s="96" t="s">
        <v>859</v>
      </c>
    </row>
    <row r="3064" spans="1:3" ht="15">
      <c r="A3064" s="90" t="s">
        <v>258</v>
      </c>
      <c r="B3064" s="89" t="s">
        <v>3145</v>
      </c>
      <c r="C3064" s="96" t="s">
        <v>859</v>
      </c>
    </row>
    <row r="3065" spans="1:3" ht="15">
      <c r="A3065" s="90" t="s">
        <v>258</v>
      </c>
      <c r="B3065" s="89" t="s">
        <v>3146</v>
      </c>
      <c r="C3065" s="96" t="s">
        <v>859</v>
      </c>
    </row>
    <row r="3066" spans="1:3" ht="15">
      <c r="A3066" s="90" t="s">
        <v>258</v>
      </c>
      <c r="B3066" s="89" t="s">
        <v>2376</v>
      </c>
      <c r="C3066" s="96" t="s">
        <v>859</v>
      </c>
    </row>
    <row r="3067" spans="1:3" ht="15">
      <c r="A3067" s="90" t="s">
        <v>258</v>
      </c>
      <c r="B3067" s="89" t="s">
        <v>3147</v>
      </c>
      <c r="C3067" s="96" t="s">
        <v>859</v>
      </c>
    </row>
    <row r="3068" spans="1:3" ht="15">
      <c r="A3068" s="90" t="s">
        <v>258</v>
      </c>
      <c r="B3068" s="89" t="s">
        <v>3148</v>
      </c>
      <c r="C3068" s="96" t="s">
        <v>859</v>
      </c>
    </row>
    <row r="3069" spans="1:3" ht="15">
      <c r="A3069" s="90" t="s">
        <v>258</v>
      </c>
      <c r="B3069" s="89" t="s">
        <v>3149</v>
      </c>
      <c r="C3069" s="96" t="s">
        <v>859</v>
      </c>
    </row>
    <row r="3070" spans="1:3" ht="15">
      <c r="A3070" s="90" t="s">
        <v>258</v>
      </c>
      <c r="B3070" s="89" t="s">
        <v>3150</v>
      </c>
      <c r="C3070" s="96" t="s">
        <v>859</v>
      </c>
    </row>
    <row r="3071" spans="1:3" ht="15">
      <c r="A3071" s="90" t="s">
        <v>258</v>
      </c>
      <c r="B3071" s="89" t="s">
        <v>3151</v>
      </c>
      <c r="C3071" s="96" t="s">
        <v>859</v>
      </c>
    </row>
    <row r="3072" spans="1:3" ht="15">
      <c r="A3072" s="90" t="s">
        <v>258</v>
      </c>
      <c r="B3072" s="89" t="s">
        <v>2217</v>
      </c>
      <c r="C3072" s="96" t="s">
        <v>859</v>
      </c>
    </row>
    <row r="3073" spans="1:3" ht="15">
      <c r="A3073" s="90" t="s">
        <v>258</v>
      </c>
      <c r="B3073" s="89" t="s">
        <v>3152</v>
      </c>
      <c r="C3073" s="96" t="s">
        <v>859</v>
      </c>
    </row>
    <row r="3074" spans="1:3" ht="15">
      <c r="A3074" s="90" t="s">
        <v>258</v>
      </c>
      <c r="B3074" s="89" t="s">
        <v>2148</v>
      </c>
      <c r="C3074" s="96" t="s">
        <v>859</v>
      </c>
    </row>
    <row r="3075" spans="1:3" ht="15">
      <c r="A3075" s="90" t="s">
        <v>258</v>
      </c>
      <c r="B3075" s="89" t="s">
        <v>3153</v>
      </c>
      <c r="C3075" s="96" t="s">
        <v>859</v>
      </c>
    </row>
    <row r="3076" spans="1:3" ht="15">
      <c r="A3076" s="90" t="s">
        <v>258</v>
      </c>
      <c r="B3076" s="89" t="s">
        <v>3154</v>
      </c>
      <c r="C3076" s="96" t="s">
        <v>859</v>
      </c>
    </row>
    <row r="3077" spans="1:3" ht="15">
      <c r="A3077" s="90" t="s">
        <v>258</v>
      </c>
      <c r="B3077" s="89" t="s">
        <v>3155</v>
      </c>
      <c r="C3077" s="96" t="s">
        <v>859</v>
      </c>
    </row>
    <row r="3078" spans="1:3" ht="15">
      <c r="A3078" s="90" t="s">
        <v>258</v>
      </c>
      <c r="B3078" s="89" t="s">
        <v>3156</v>
      </c>
      <c r="C3078" s="96" t="s">
        <v>859</v>
      </c>
    </row>
    <row r="3079" spans="1:3" ht="15">
      <c r="A3079" s="90" t="s">
        <v>258</v>
      </c>
      <c r="B3079" s="89" t="s">
        <v>3157</v>
      </c>
      <c r="C3079" s="96" t="s">
        <v>859</v>
      </c>
    </row>
    <row r="3080" spans="1:3" ht="15">
      <c r="A3080" s="90" t="s">
        <v>258</v>
      </c>
      <c r="B3080" s="89" t="s">
        <v>3158</v>
      </c>
      <c r="C3080" s="96" t="s">
        <v>859</v>
      </c>
    </row>
    <row r="3081" spans="1:3" ht="15">
      <c r="A3081" s="90" t="s">
        <v>258</v>
      </c>
      <c r="B3081" s="89" t="s">
        <v>564</v>
      </c>
      <c r="C3081" s="96" t="s">
        <v>859</v>
      </c>
    </row>
    <row r="3082" spans="1:3" ht="15">
      <c r="A3082" s="90" t="s">
        <v>257</v>
      </c>
      <c r="B3082" s="89" t="s">
        <v>2369</v>
      </c>
      <c r="C3082" s="96" t="s">
        <v>858</v>
      </c>
    </row>
    <row r="3083" spans="1:3" ht="15">
      <c r="A3083" s="90" t="s">
        <v>257</v>
      </c>
      <c r="B3083" s="89" t="s">
        <v>2370</v>
      </c>
      <c r="C3083" s="96" t="s">
        <v>858</v>
      </c>
    </row>
    <row r="3084" spans="1:3" ht="15">
      <c r="A3084" s="90" t="s">
        <v>257</v>
      </c>
      <c r="B3084" s="89" t="s">
        <v>2399</v>
      </c>
      <c r="C3084" s="96" t="s">
        <v>858</v>
      </c>
    </row>
    <row r="3085" spans="1:3" ht="15">
      <c r="A3085" s="90" t="s">
        <v>257</v>
      </c>
      <c r="B3085" s="89" t="s">
        <v>2110</v>
      </c>
      <c r="C3085" s="96" t="s">
        <v>858</v>
      </c>
    </row>
    <row r="3086" spans="1:3" ht="15">
      <c r="A3086" s="90" t="s">
        <v>257</v>
      </c>
      <c r="B3086" s="89" t="s">
        <v>2125</v>
      </c>
      <c r="C3086" s="96" t="s">
        <v>858</v>
      </c>
    </row>
    <row r="3087" spans="1:3" ht="15">
      <c r="A3087" s="90" t="s">
        <v>257</v>
      </c>
      <c r="B3087" s="89" t="s">
        <v>2400</v>
      </c>
      <c r="C3087" s="96" t="s">
        <v>858</v>
      </c>
    </row>
    <row r="3088" spans="1:3" ht="15">
      <c r="A3088" s="90" t="s">
        <v>257</v>
      </c>
      <c r="B3088" s="89" t="s">
        <v>2127</v>
      </c>
      <c r="C3088" s="96" t="s">
        <v>858</v>
      </c>
    </row>
    <row r="3089" spans="1:3" ht="15">
      <c r="A3089" s="90" t="s">
        <v>257</v>
      </c>
      <c r="B3089" s="89" t="s">
        <v>2401</v>
      </c>
      <c r="C3089" s="96" t="s">
        <v>858</v>
      </c>
    </row>
    <row r="3090" spans="1:3" ht="15">
      <c r="A3090" s="90" t="s">
        <v>257</v>
      </c>
      <c r="B3090" s="89" t="s">
        <v>2402</v>
      </c>
      <c r="C3090" s="96" t="s">
        <v>858</v>
      </c>
    </row>
    <row r="3091" spans="1:3" ht="15">
      <c r="A3091" s="90" t="s">
        <v>257</v>
      </c>
      <c r="B3091" s="89" t="s">
        <v>2403</v>
      </c>
      <c r="C3091" s="96" t="s">
        <v>858</v>
      </c>
    </row>
    <row r="3092" spans="1:3" ht="15">
      <c r="A3092" s="90" t="s">
        <v>257</v>
      </c>
      <c r="B3092" s="89" t="s">
        <v>2404</v>
      </c>
      <c r="C3092" s="96" t="s">
        <v>858</v>
      </c>
    </row>
    <row r="3093" spans="1:3" ht="15">
      <c r="A3093" s="90" t="s">
        <v>257</v>
      </c>
      <c r="B3093" s="89" t="s">
        <v>2115</v>
      </c>
      <c r="C3093" s="96" t="s">
        <v>858</v>
      </c>
    </row>
    <row r="3094" spans="1:3" ht="15">
      <c r="A3094" s="90" t="s">
        <v>257</v>
      </c>
      <c r="B3094" s="89" t="s">
        <v>2116</v>
      </c>
      <c r="C3094" s="96" t="s">
        <v>858</v>
      </c>
    </row>
    <row r="3095" spans="1:3" ht="15">
      <c r="A3095" s="90" t="s">
        <v>257</v>
      </c>
      <c r="B3095" s="89" t="s">
        <v>2117</v>
      </c>
      <c r="C3095" s="96" t="s">
        <v>858</v>
      </c>
    </row>
    <row r="3096" spans="1:3" ht="15">
      <c r="A3096" s="90" t="s">
        <v>257</v>
      </c>
      <c r="B3096" s="89" t="s">
        <v>2118</v>
      </c>
      <c r="C3096" s="96" t="s">
        <v>858</v>
      </c>
    </row>
    <row r="3097" spans="1:3" ht="15">
      <c r="A3097" s="90" t="s">
        <v>257</v>
      </c>
      <c r="B3097" s="89" t="s">
        <v>2119</v>
      </c>
      <c r="C3097" s="96" t="s">
        <v>858</v>
      </c>
    </row>
    <row r="3098" spans="1:3" ht="15">
      <c r="A3098" s="90" t="s">
        <v>257</v>
      </c>
      <c r="B3098" s="89" t="s">
        <v>2129</v>
      </c>
      <c r="C3098" s="96" t="s">
        <v>858</v>
      </c>
    </row>
    <row r="3099" spans="1:3" ht="15">
      <c r="A3099" s="90" t="s">
        <v>257</v>
      </c>
      <c r="B3099" s="89" t="s">
        <v>2120</v>
      </c>
      <c r="C3099" s="96" t="s">
        <v>858</v>
      </c>
    </row>
    <row r="3100" spans="1:3" ht="15">
      <c r="A3100" s="90" t="s">
        <v>257</v>
      </c>
      <c r="B3100" s="89" t="s">
        <v>2121</v>
      </c>
      <c r="C3100" s="96" t="s">
        <v>858</v>
      </c>
    </row>
    <row r="3101" spans="1:3" ht="15">
      <c r="A3101" s="90" t="s">
        <v>257</v>
      </c>
      <c r="B3101" s="89" t="s">
        <v>2122</v>
      </c>
      <c r="C3101" s="96" t="s">
        <v>858</v>
      </c>
    </row>
    <row r="3102" spans="1:3" ht="15">
      <c r="A3102" s="90" t="s">
        <v>257</v>
      </c>
      <c r="B3102" s="89" t="s">
        <v>2130</v>
      </c>
      <c r="C3102" s="96" t="s">
        <v>858</v>
      </c>
    </row>
    <row r="3103" spans="1:3" ht="15">
      <c r="A3103" s="90" t="s">
        <v>257</v>
      </c>
      <c r="B3103" s="89" t="s">
        <v>2131</v>
      </c>
      <c r="C3103" s="96" t="s">
        <v>858</v>
      </c>
    </row>
    <row r="3104" spans="1:3" ht="15">
      <c r="A3104" s="90" t="s">
        <v>257</v>
      </c>
      <c r="B3104" s="89" t="s">
        <v>2123</v>
      </c>
      <c r="C3104" s="96" t="s">
        <v>858</v>
      </c>
    </row>
    <row r="3105" spans="1:3" ht="15">
      <c r="A3105" s="90" t="s">
        <v>257</v>
      </c>
      <c r="B3105" s="89" t="s">
        <v>2114</v>
      </c>
      <c r="C3105" s="96" t="s">
        <v>858</v>
      </c>
    </row>
    <row r="3106" spans="1:3" ht="15">
      <c r="A3106" s="90" t="s">
        <v>256</v>
      </c>
      <c r="B3106" s="89" t="s">
        <v>422</v>
      </c>
      <c r="C3106" s="96" t="s">
        <v>857</v>
      </c>
    </row>
    <row r="3107" spans="1:3" ht="15">
      <c r="A3107" s="90" t="s">
        <v>256</v>
      </c>
      <c r="B3107" s="89" t="s">
        <v>3159</v>
      </c>
      <c r="C3107" s="96" t="s">
        <v>857</v>
      </c>
    </row>
    <row r="3108" spans="1:3" ht="15">
      <c r="A3108" s="90" t="s">
        <v>256</v>
      </c>
      <c r="B3108" s="89" t="s">
        <v>3160</v>
      </c>
      <c r="C3108" s="96" t="s">
        <v>857</v>
      </c>
    </row>
    <row r="3109" spans="1:3" ht="15">
      <c r="A3109" s="90" t="s">
        <v>256</v>
      </c>
      <c r="B3109" s="89" t="s">
        <v>3161</v>
      </c>
      <c r="C3109" s="96" t="s">
        <v>857</v>
      </c>
    </row>
    <row r="3110" spans="1:3" ht="15">
      <c r="A3110" s="90" t="s">
        <v>256</v>
      </c>
      <c r="B3110" s="89" t="s">
        <v>2682</v>
      </c>
      <c r="C3110" s="96" t="s">
        <v>857</v>
      </c>
    </row>
    <row r="3111" spans="1:3" ht="15">
      <c r="A3111" s="90" t="s">
        <v>256</v>
      </c>
      <c r="B3111" s="89" t="s">
        <v>3162</v>
      </c>
      <c r="C3111" s="96" t="s">
        <v>857</v>
      </c>
    </row>
    <row r="3112" spans="1:3" ht="15">
      <c r="A3112" s="90" t="s">
        <v>256</v>
      </c>
      <c r="B3112" s="89" t="s">
        <v>3163</v>
      </c>
      <c r="C3112" s="96" t="s">
        <v>857</v>
      </c>
    </row>
    <row r="3113" spans="1:3" ht="15">
      <c r="A3113" s="90" t="s">
        <v>256</v>
      </c>
      <c r="B3113" s="89" t="s">
        <v>556</v>
      </c>
      <c r="C3113" s="96" t="s">
        <v>857</v>
      </c>
    </row>
    <row r="3114" spans="1:3" ht="15">
      <c r="A3114" s="90" t="s">
        <v>256</v>
      </c>
      <c r="B3114" s="89" t="s">
        <v>3164</v>
      </c>
      <c r="C3114" s="96" t="s">
        <v>857</v>
      </c>
    </row>
    <row r="3115" spans="1:3" ht="15">
      <c r="A3115" s="90" t="s">
        <v>256</v>
      </c>
      <c r="B3115" s="89" t="s">
        <v>3165</v>
      </c>
      <c r="C3115" s="96" t="s">
        <v>857</v>
      </c>
    </row>
    <row r="3116" spans="1:3" ht="15">
      <c r="A3116" s="90" t="s">
        <v>256</v>
      </c>
      <c r="B3116" s="89" t="s">
        <v>3166</v>
      </c>
      <c r="C3116" s="96" t="s">
        <v>857</v>
      </c>
    </row>
    <row r="3117" spans="1:3" ht="15">
      <c r="A3117" s="90" t="s">
        <v>256</v>
      </c>
      <c r="B3117" s="89" t="s">
        <v>3167</v>
      </c>
      <c r="C3117" s="96" t="s">
        <v>857</v>
      </c>
    </row>
    <row r="3118" spans="1:3" ht="15">
      <c r="A3118" s="90" t="s">
        <v>256</v>
      </c>
      <c r="B3118" s="89" t="s">
        <v>2418</v>
      </c>
      <c r="C3118" s="96" t="s">
        <v>857</v>
      </c>
    </row>
    <row r="3119" spans="1:3" ht="15">
      <c r="A3119" s="90" t="s">
        <v>256</v>
      </c>
      <c r="B3119" s="89" t="s">
        <v>3168</v>
      </c>
      <c r="C3119" s="96" t="s">
        <v>857</v>
      </c>
    </row>
    <row r="3120" spans="1:3" ht="15">
      <c r="A3120" s="90" t="s">
        <v>256</v>
      </c>
      <c r="B3120" s="89" t="s">
        <v>3169</v>
      </c>
      <c r="C3120" s="96" t="s">
        <v>857</v>
      </c>
    </row>
    <row r="3121" spans="1:3" ht="15">
      <c r="A3121" s="90" t="s">
        <v>256</v>
      </c>
      <c r="B3121" s="89" t="s">
        <v>3170</v>
      </c>
      <c r="C3121" s="96" t="s">
        <v>857</v>
      </c>
    </row>
    <row r="3122" spans="1:3" ht="15">
      <c r="A3122" s="90" t="s">
        <v>255</v>
      </c>
      <c r="B3122" s="89" t="s">
        <v>384</v>
      </c>
      <c r="C3122" s="96" t="s">
        <v>856</v>
      </c>
    </row>
    <row r="3123" spans="1:3" ht="15">
      <c r="A3123" s="90" t="s">
        <v>255</v>
      </c>
      <c r="B3123" s="89" t="s">
        <v>2980</v>
      </c>
      <c r="C3123" s="96" t="s">
        <v>856</v>
      </c>
    </row>
    <row r="3124" spans="1:3" ht="15">
      <c r="A3124" s="90" t="s">
        <v>255</v>
      </c>
      <c r="B3124" s="89" t="s">
        <v>2376</v>
      </c>
      <c r="C3124" s="96" t="s">
        <v>856</v>
      </c>
    </row>
    <row r="3125" spans="1:3" ht="15">
      <c r="A3125" s="90" t="s">
        <v>255</v>
      </c>
      <c r="B3125" s="89" t="s">
        <v>2219</v>
      </c>
      <c r="C3125" s="96" t="s">
        <v>856</v>
      </c>
    </row>
    <row r="3126" spans="1:3" ht="15">
      <c r="A3126" s="90" t="s">
        <v>255</v>
      </c>
      <c r="B3126" s="89" t="s">
        <v>2220</v>
      </c>
      <c r="C3126" s="96" t="s">
        <v>856</v>
      </c>
    </row>
    <row r="3127" spans="1:3" ht="15">
      <c r="A3127" s="90" t="s">
        <v>255</v>
      </c>
      <c r="B3127" s="89" t="s">
        <v>2697</v>
      </c>
      <c r="C3127" s="96" t="s">
        <v>856</v>
      </c>
    </row>
    <row r="3128" spans="1:3" ht="15">
      <c r="A3128" s="90" t="s">
        <v>255</v>
      </c>
      <c r="B3128" s="89" t="s">
        <v>2382</v>
      </c>
      <c r="C3128" s="96" t="s">
        <v>856</v>
      </c>
    </row>
    <row r="3129" spans="1:3" ht="15">
      <c r="A3129" s="90" t="s">
        <v>255</v>
      </c>
      <c r="B3129" s="89" t="s">
        <v>2981</v>
      </c>
      <c r="C3129" s="96" t="s">
        <v>856</v>
      </c>
    </row>
    <row r="3130" spans="1:3" ht="15">
      <c r="A3130" s="90" t="s">
        <v>255</v>
      </c>
      <c r="B3130" s="89" t="s">
        <v>2221</v>
      </c>
      <c r="C3130" s="96" t="s">
        <v>856</v>
      </c>
    </row>
    <row r="3131" spans="1:3" ht="15">
      <c r="A3131" s="90" t="s">
        <v>255</v>
      </c>
      <c r="B3131" s="89" t="s">
        <v>2181</v>
      </c>
      <c r="C3131" s="96" t="s">
        <v>856</v>
      </c>
    </row>
    <row r="3132" spans="1:3" ht="15">
      <c r="A3132" s="90" t="s">
        <v>255</v>
      </c>
      <c r="B3132" s="89" t="s">
        <v>2222</v>
      </c>
      <c r="C3132" s="96" t="s">
        <v>856</v>
      </c>
    </row>
    <row r="3133" spans="1:3" ht="15">
      <c r="A3133" s="90" t="s">
        <v>255</v>
      </c>
      <c r="B3133" s="89" t="s">
        <v>2223</v>
      </c>
      <c r="C3133" s="96" t="s">
        <v>856</v>
      </c>
    </row>
    <row r="3134" spans="1:3" ht="15">
      <c r="A3134" s="90" t="s">
        <v>255</v>
      </c>
      <c r="B3134" s="89" t="s">
        <v>2224</v>
      </c>
      <c r="C3134" s="96" t="s">
        <v>856</v>
      </c>
    </row>
    <row r="3135" spans="1:3" ht="15">
      <c r="A3135" s="90" t="s">
        <v>255</v>
      </c>
      <c r="B3135" s="89" t="s">
        <v>556</v>
      </c>
      <c r="C3135" s="96" t="s">
        <v>856</v>
      </c>
    </row>
    <row r="3136" spans="1:3" ht="15">
      <c r="A3136" s="90" t="s">
        <v>255</v>
      </c>
      <c r="B3136" s="89" t="s">
        <v>2361</v>
      </c>
      <c r="C3136" s="96" t="s">
        <v>856</v>
      </c>
    </row>
    <row r="3137" spans="1:3" ht="15">
      <c r="A3137" s="90" t="s">
        <v>255</v>
      </c>
      <c r="B3137" s="89" t="s">
        <v>2443</v>
      </c>
      <c r="C3137" s="96" t="s">
        <v>856</v>
      </c>
    </row>
    <row r="3138" spans="1:3" ht="15">
      <c r="A3138" s="90" t="s">
        <v>255</v>
      </c>
      <c r="B3138" s="89" t="s">
        <v>2225</v>
      </c>
      <c r="C3138" s="96" t="s">
        <v>856</v>
      </c>
    </row>
    <row r="3139" spans="1:3" ht="15">
      <c r="A3139" s="90" t="s">
        <v>255</v>
      </c>
      <c r="B3139" s="89" t="s">
        <v>2982</v>
      </c>
      <c r="C3139" s="96" t="s">
        <v>856</v>
      </c>
    </row>
    <row r="3140" spans="1:3" ht="15">
      <c r="A3140" s="90" t="s">
        <v>255</v>
      </c>
      <c r="B3140" s="89" t="s">
        <v>2226</v>
      </c>
      <c r="C3140" s="96" t="s">
        <v>856</v>
      </c>
    </row>
    <row r="3141" spans="1:3" ht="15">
      <c r="A3141" s="90" t="s">
        <v>255</v>
      </c>
      <c r="B3141" s="89" t="s">
        <v>2227</v>
      </c>
      <c r="C3141" s="96" t="s">
        <v>856</v>
      </c>
    </row>
    <row r="3142" spans="1:3" ht="15">
      <c r="A3142" s="90" t="s">
        <v>255</v>
      </c>
      <c r="B3142" s="89" t="s">
        <v>2228</v>
      </c>
      <c r="C3142" s="96" t="s">
        <v>856</v>
      </c>
    </row>
    <row r="3143" spans="1:3" ht="15">
      <c r="A3143" s="90" t="s">
        <v>255</v>
      </c>
      <c r="B3143" s="89" t="s">
        <v>2229</v>
      </c>
      <c r="C3143" s="96" t="s">
        <v>856</v>
      </c>
    </row>
    <row r="3144" spans="1:3" ht="15">
      <c r="A3144" s="90" t="s">
        <v>255</v>
      </c>
      <c r="B3144" s="89" t="s">
        <v>2230</v>
      </c>
      <c r="C3144" s="96" t="s">
        <v>856</v>
      </c>
    </row>
    <row r="3145" spans="1:3" ht="15">
      <c r="A3145" s="90" t="s">
        <v>255</v>
      </c>
      <c r="B3145" s="89" t="s">
        <v>2385</v>
      </c>
      <c r="C3145" s="96" t="s">
        <v>856</v>
      </c>
    </row>
    <row r="3146" spans="1:3" ht="15">
      <c r="A3146" s="90" t="s">
        <v>255</v>
      </c>
      <c r="B3146" s="89" t="s">
        <v>2983</v>
      </c>
      <c r="C3146" s="96" t="s">
        <v>856</v>
      </c>
    </row>
    <row r="3147" spans="1:3" ht="15">
      <c r="A3147" s="90" t="s">
        <v>255</v>
      </c>
      <c r="B3147" s="89" t="s">
        <v>2231</v>
      </c>
      <c r="C3147" s="96" t="s">
        <v>856</v>
      </c>
    </row>
    <row r="3148" spans="1:3" ht="15">
      <c r="A3148" s="90" t="s">
        <v>255</v>
      </c>
      <c r="B3148" s="89" t="s">
        <v>2984</v>
      </c>
      <c r="C3148" s="96" t="s">
        <v>856</v>
      </c>
    </row>
    <row r="3149" spans="1:3" ht="15">
      <c r="A3149" s="90" t="s">
        <v>255</v>
      </c>
      <c r="B3149" s="89" t="s">
        <v>2232</v>
      </c>
      <c r="C3149" s="96" t="s">
        <v>856</v>
      </c>
    </row>
    <row r="3150" spans="1:3" ht="15">
      <c r="A3150" s="90" t="s">
        <v>255</v>
      </c>
      <c r="B3150" s="89" t="s">
        <v>2985</v>
      </c>
      <c r="C3150" s="96" t="s">
        <v>856</v>
      </c>
    </row>
    <row r="3151" spans="1:3" ht="15">
      <c r="A3151" s="90" t="s">
        <v>255</v>
      </c>
      <c r="B3151" s="89" t="s">
        <v>2547</v>
      </c>
      <c r="C3151" s="96" t="s">
        <v>856</v>
      </c>
    </row>
    <row r="3152" spans="1:3" ht="15">
      <c r="A3152" s="90" t="s">
        <v>255</v>
      </c>
      <c r="B3152" s="89" t="s">
        <v>2545</v>
      </c>
      <c r="C3152" s="96" t="s">
        <v>856</v>
      </c>
    </row>
    <row r="3153" spans="1:3" ht="15">
      <c r="A3153" s="90" t="s">
        <v>255</v>
      </c>
      <c r="B3153" s="89" t="s">
        <v>2986</v>
      </c>
      <c r="C3153" s="96" t="s">
        <v>856</v>
      </c>
    </row>
    <row r="3154" spans="1:3" ht="15">
      <c r="A3154" s="90" t="s">
        <v>255</v>
      </c>
      <c r="B3154" s="89" t="s">
        <v>2234</v>
      </c>
      <c r="C3154" s="96" t="s">
        <v>856</v>
      </c>
    </row>
    <row r="3155" spans="1:3" ht="15">
      <c r="A3155" s="90" t="s">
        <v>255</v>
      </c>
      <c r="B3155" s="89" t="s">
        <v>2773</v>
      </c>
      <c r="C3155" s="96" t="s">
        <v>856</v>
      </c>
    </row>
    <row r="3156" spans="1:3" ht="15">
      <c r="A3156" s="90" t="s">
        <v>255</v>
      </c>
      <c r="B3156" s="89" t="s">
        <v>2235</v>
      </c>
      <c r="C3156" s="96" t="s">
        <v>856</v>
      </c>
    </row>
    <row r="3157" spans="1:3" ht="15">
      <c r="A3157" s="90" t="s">
        <v>255</v>
      </c>
      <c r="B3157" s="89" t="s">
        <v>2236</v>
      </c>
      <c r="C3157" s="96" t="s">
        <v>856</v>
      </c>
    </row>
    <row r="3158" spans="1:3" ht="15">
      <c r="A3158" s="90" t="s">
        <v>254</v>
      </c>
      <c r="B3158" s="89" t="s">
        <v>2369</v>
      </c>
      <c r="C3158" s="96" t="s">
        <v>855</v>
      </c>
    </row>
    <row r="3159" spans="1:3" ht="15">
      <c r="A3159" s="90" t="s">
        <v>254</v>
      </c>
      <c r="B3159" s="89" t="s">
        <v>2370</v>
      </c>
      <c r="C3159" s="96" t="s">
        <v>855</v>
      </c>
    </row>
    <row r="3160" spans="1:3" ht="15">
      <c r="A3160" s="90" t="s">
        <v>254</v>
      </c>
      <c r="B3160" s="89" t="s">
        <v>2399</v>
      </c>
      <c r="C3160" s="96" t="s">
        <v>855</v>
      </c>
    </row>
    <row r="3161" spans="1:3" ht="15">
      <c r="A3161" s="90" t="s">
        <v>254</v>
      </c>
      <c r="B3161" s="89" t="s">
        <v>2110</v>
      </c>
      <c r="C3161" s="96" t="s">
        <v>855</v>
      </c>
    </row>
    <row r="3162" spans="1:3" ht="15">
      <c r="A3162" s="90" t="s">
        <v>254</v>
      </c>
      <c r="B3162" s="89" t="s">
        <v>2125</v>
      </c>
      <c r="C3162" s="96" t="s">
        <v>855</v>
      </c>
    </row>
    <row r="3163" spans="1:3" ht="15">
      <c r="A3163" s="90" t="s">
        <v>254</v>
      </c>
      <c r="B3163" s="89" t="s">
        <v>2400</v>
      </c>
      <c r="C3163" s="96" t="s">
        <v>855</v>
      </c>
    </row>
    <row r="3164" spans="1:3" ht="15">
      <c r="A3164" s="90" t="s">
        <v>254</v>
      </c>
      <c r="B3164" s="89" t="s">
        <v>2127</v>
      </c>
      <c r="C3164" s="96" t="s">
        <v>855</v>
      </c>
    </row>
    <row r="3165" spans="1:3" ht="15">
      <c r="A3165" s="90" t="s">
        <v>254</v>
      </c>
      <c r="B3165" s="89" t="s">
        <v>2401</v>
      </c>
      <c r="C3165" s="96" t="s">
        <v>855</v>
      </c>
    </row>
    <row r="3166" spans="1:3" ht="15">
      <c r="A3166" s="90" t="s">
        <v>254</v>
      </c>
      <c r="B3166" s="89" t="s">
        <v>2402</v>
      </c>
      <c r="C3166" s="96" t="s">
        <v>855</v>
      </c>
    </row>
    <row r="3167" spans="1:3" ht="15">
      <c r="A3167" s="90" t="s">
        <v>254</v>
      </c>
      <c r="B3167" s="89" t="s">
        <v>2403</v>
      </c>
      <c r="C3167" s="96" t="s">
        <v>855</v>
      </c>
    </row>
    <row r="3168" spans="1:3" ht="15">
      <c r="A3168" s="90" t="s">
        <v>254</v>
      </c>
      <c r="B3168" s="89" t="s">
        <v>2404</v>
      </c>
      <c r="C3168" s="96" t="s">
        <v>855</v>
      </c>
    </row>
    <row r="3169" spans="1:3" ht="15">
      <c r="A3169" s="90" t="s">
        <v>254</v>
      </c>
      <c r="B3169" s="89" t="s">
        <v>2115</v>
      </c>
      <c r="C3169" s="96" t="s">
        <v>855</v>
      </c>
    </row>
    <row r="3170" spans="1:3" ht="15">
      <c r="A3170" s="90" t="s">
        <v>254</v>
      </c>
      <c r="B3170" s="89" t="s">
        <v>2116</v>
      </c>
      <c r="C3170" s="96" t="s">
        <v>855</v>
      </c>
    </row>
    <row r="3171" spans="1:3" ht="15">
      <c r="A3171" s="90" t="s">
        <v>254</v>
      </c>
      <c r="B3171" s="89" t="s">
        <v>2117</v>
      </c>
      <c r="C3171" s="96" t="s">
        <v>855</v>
      </c>
    </row>
    <row r="3172" spans="1:3" ht="15">
      <c r="A3172" s="90" t="s">
        <v>254</v>
      </c>
      <c r="B3172" s="89" t="s">
        <v>2118</v>
      </c>
      <c r="C3172" s="96" t="s">
        <v>855</v>
      </c>
    </row>
    <row r="3173" spans="1:3" ht="15">
      <c r="A3173" s="90" t="s">
        <v>254</v>
      </c>
      <c r="B3173" s="89" t="s">
        <v>2119</v>
      </c>
      <c r="C3173" s="96" t="s">
        <v>855</v>
      </c>
    </row>
    <row r="3174" spans="1:3" ht="15">
      <c r="A3174" s="90" t="s">
        <v>254</v>
      </c>
      <c r="B3174" s="89" t="s">
        <v>2129</v>
      </c>
      <c r="C3174" s="96" t="s">
        <v>855</v>
      </c>
    </row>
    <row r="3175" spans="1:3" ht="15">
      <c r="A3175" s="90" t="s">
        <v>254</v>
      </c>
      <c r="B3175" s="89" t="s">
        <v>2120</v>
      </c>
      <c r="C3175" s="96" t="s">
        <v>855</v>
      </c>
    </row>
    <row r="3176" spans="1:3" ht="15">
      <c r="A3176" s="90" t="s">
        <v>254</v>
      </c>
      <c r="B3176" s="89" t="s">
        <v>2121</v>
      </c>
      <c r="C3176" s="96" t="s">
        <v>855</v>
      </c>
    </row>
    <row r="3177" spans="1:3" ht="15">
      <c r="A3177" s="90" t="s">
        <v>254</v>
      </c>
      <c r="B3177" s="89" t="s">
        <v>2122</v>
      </c>
      <c r="C3177" s="96" t="s">
        <v>855</v>
      </c>
    </row>
    <row r="3178" spans="1:3" ht="15">
      <c r="A3178" s="90" t="s">
        <v>254</v>
      </c>
      <c r="B3178" s="89" t="s">
        <v>2130</v>
      </c>
      <c r="C3178" s="96" t="s">
        <v>855</v>
      </c>
    </row>
    <row r="3179" spans="1:3" ht="15">
      <c r="A3179" s="90" t="s">
        <v>254</v>
      </c>
      <c r="B3179" s="89" t="s">
        <v>2131</v>
      </c>
      <c r="C3179" s="96" t="s">
        <v>855</v>
      </c>
    </row>
    <row r="3180" spans="1:3" ht="15">
      <c r="A3180" s="90" t="s">
        <v>254</v>
      </c>
      <c r="B3180" s="89" t="s">
        <v>2123</v>
      </c>
      <c r="C3180" s="96" t="s">
        <v>855</v>
      </c>
    </row>
    <row r="3181" spans="1:3" ht="15">
      <c r="A3181" s="90" t="s">
        <v>254</v>
      </c>
      <c r="B3181" s="89" t="s">
        <v>2114</v>
      </c>
      <c r="C3181" s="96" t="s">
        <v>855</v>
      </c>
    </row>
    <row r="3182" spans="1:3" ht="15">
      <c r="A3182" s="90" t="s">
        <v>253</v>
      </c>
      <c r="B3182" s="89" t="s">
        <v>2369</v>
      </c>
      <c r="C3182" s="96" t="s">
        <v>854</v>
      </c>
    </row>
    <row r="3183" spans="1:3" ht="15">
      <c r="A3183" s="90" t="s">
        <v>253</v>
      </c>
      <c r="B3183" s="89" t="s">
        <v>2370</v>
      </c>
      <c r="C3183" s="96" t="s">
        <v>854</v>
      </c>
    </row>
    <row r="3184" spans="1:3" ht="15">
      <c r="A3184" s="90" t="s">
        <v>253</v>
      </c>
      <c r="B3184" s="89" t="s">
        <v>2399</v>
      </c>
      <c r="C3184" s="96" t="s">
        <v>854</v>
      </c>
    </row>
    <row r="3185" spans="1:3" ht="15">
      <c r="A3185" s="90" t="s">
        <v>253</v>
      </c>
      <c r="B3185" s="89" t="s">
        <v>2110</v>
      </c>
      <c r="C3185" s="96" t="s">
        <v>854</v>
      </c>
    </row>
    <row r="3186" spans="1:3" ht="15">
      <c r="A3186" s="90" t="s">
        <v>253</v>
      </c>
      <c r="B3186" s="89" t="s">
        <v>2125</v>
      </c>
      <c r="C3186" s="96" t="s">
        <v>854</v>
      </c>
    </row>
    <row r="3187" spans="1:3" ht="15">
      <c r="A3187" s="90" t="s">
        <v>253</v>
      </c>
      <c r="B3187" s="89" t="s">
        <v>2400</v>
      </c>
      <c r="C3187" s="96" t="s">
        <v>854</v>
      </c>
    </row>
    <row r="3188" spans="1:3" ht="15">
      <c r="A3188" s="90" t="s">
        <v>253</v>
      </c>
      <c r="B3188" s="89" t="s">
        <v>2127</v>
      </c>
      <c r="C3188" s="96" t="s">
        <v>854</v>
      </c>
    </row>
    <row r="3189" spans="1:3" ht="15">
      <c r="A3189" s="90" t="s">
        <v>253</v>
      </c>
      <c r="B3189" s="89" t="s">
        <v>2401</v>
      </c>
      <c r="C3189" s="96" t="s">
        <v>854</v>
      </c>
    </row>
    <row r="3190" spans="1:3" ht="15">
      <c r="A3190" s="90" t="s">
        <v>253</v>
      </c>
      <c r="B3190" s="89" t="s">
        <v>2402</v>
      </c>
      <c r="C3190" s="96" t="s">
        <v>854</v>
      </c>
    </row>
    <row r="3191" spans="1:3" ht="15">
      <c r="A3191" s="90" t="s">
        <v>253</v>
      </c>
      <c r="B3191" s="89" t="s">
        <v>2403</v>
      </c>
      <c r="C3191" s="96" t="s">
        <v>854</v>
      </c>
    </row>
    <row r="3192" spans="1:3" ht="15">
      <c r="A3192" s="90" t="s">
        <v>253</v>
      </c>
      <c r="B3192" s="89" t="s">
        <v>2404</v>
      </c>
      <c r="C3192" s="96" t="s">
        <v>854</v>
      </c>
    </row>
    <row r="3193" spans="1:3" ht="15">
      <c r="A3193" s="90" t="s">
        <v>253</v>
      </c>
      <c r="B3193" s="89" t="s">
        <v>2115</v>
      </c>
      <c r="C3193" s="96" t="s">
        <v>854</v>
      </c>
    </row>
    <row r="3194" spans="1:3" ht="15">
      <c r="A3194" s="90" t="s">
        <v>253</v>
      </c>
      <c r="B3194" s="89" t="s">
        <v>2116</v>
      </c>
      <c r="C3194" s="96" t="s">
        <v>854</v>
      </c>
    </row>
    <row r="3195" spans="1:3" ht="15">
      <c r="A3195" s="90" t="s">
        <v>253</v>
      </c>
      <c r="B3195" s="89" t="s">
        <v>2117</v>
      </c>
      <c r="C3195" s="96" t="s">
        <v>854</v>
      </c>
    </row>
    <row r="3196" spans="1:3" ht="15">
      <c r="A3196" s="90" t="s">
        <v>253</v>
      </c>
      <c r="B3196" s="89" t="s">
        <v>2118</v>
      </c>
      <c r="C3196" s="96" t="s">
        <v>854</v>
      </c>
    </row>
    <row r="3197" spans="1:3" ht="15">
      <c r="A3197" s="90" t="s">
        <v>253</v>
      </c>
      <c r="B3197" s="89" t="s">
        <v>2119</v>
      </c>
      <c r="C3197" s="96" t="s">
        <v>854</v>
      </c>
    </row>
    <row r="3198" spans="1:3" ht="15">
      <c r="A3198" s="90" t="s">
        <v>253</v>
      </c>
      <c r="B3198" s="89" t="s">
        <v>2129</v>
      </c>
      <c r="C3198" s="96" t="s">
        <v>854</v>
      </c>
    </row>
    <row r="3199" spans="1:3" ht="15">
      <c r="A3199" s="90" t="s">
        <v>253</v>
      </c>
      <c r="B3199" s="89" t="s">
        <v>2120</v>
      </c>
      <c r="C3199" s="96" t="s">
        <v>854</v>
      </c>
    </row>
    <row r="3200" spans="1:3" ht="15">
      <c r="A3200" s="90" t="s">
        <v>253</v>
      </c>
      <c r="B3200" s="89" t="s">
        <v>2121</v>
      </c>
      <c r="C3200" s="96" t="s">
        <v>854</v>
      </c>
    </row>
    <row r="3201" spans="1:3" ht="15">
      <c r="A3201" s="90" t="s">
        <v>253</v>
      </c>
      <c r="B3201" s="89" t="s">
        <v>2122</v>
      </c>
      <c r="C3201" s="96" t="s">
        <v>854</v>
      </c>
    </row>
    <row r="3202" spans="1:3" ht="15">
      <c r="A3202" s="90" t="s">
        <v>253</v>
      </c>
      <c r="B3202" s="89" t="s">
        <v>2130</v>
      </c>
      <c r="C3202" s="96" t="s">
        <v>854</v>
      </c>
    </row>
    <row r="3203" spans="1:3" ht="15">
      <c r="A3203" s="90" t="s">
        <v>253</v>
      </c>
      <c r="B3203" s="89" t="s">
        <v>2131</v>
      </c>
      <c r="C3203" s="96" t="s">
        <v>854</v>
      </c>
    </row>
    <row r="3204" spans="1:3" ht="15">
      <c r="A3204" s="90" t="s">
        <v>253</v>
      </c>
      <c r="B3204" s="89" t="s">
        <v>2123</v>
      </c>
      <c r="C3204" s="96" t="s">
        <v>854</v>
      </c>
    </row>
    <row r="3205" spans="1:3" ht="15">
      <c r="A3205" s="90" t="s">
        <v>253</v>
      </c>
      <c r="B3205" s="89" t="s">
        <v>2114</v>
      </c>
      <c r="C3205" s="96" t="s">
        <v>854</v>
      </c>
    </row>
    <row r="3206" spans="1:3" ht="15">
      <c r="A3206" s="90" t="s">
        <v>252</v>
      </c>
      <c r="B3206" s="89" t="s">
        <v>2369</v>
      </c>
      <c r="C3206" s="96" t="s">
        <v>853</v>
      </c>
    </row>
    <row r="3207" spans="1:3" ht="15">
      <c r="A3207" s="90" t="s">
        <v>252</v>
      </c>
      <c r="B3207" s="89" t="s">
        <v>2370</v>
      </c>
      <c r="C3207" s="96" t="s">
        <v>853</v>
      </c>
    </row>
    <row r="3208" spans="1:3" ht="15">
      <c r="A3208" s="90" t="s">
        <v>252</v>
      </c>
      <c r="B3208" s="89" t="s">
        <v>2399</v>
      </c>
      <c r="C3208" s="96" t="s">
        <v>853</v>
      </c>
    </row>
    <row r="3209" spans="1:3" ht="15">
      <c r="A3209" s="90" t="s">
        <v>252</v>
      </c>
      <c r="B3209" s="89" t="s">
        <v>2110</v>
      </c>
      <c r="C3209" s="96" t="s">
        <v>853</v>
      </c>
    </row>
    <row r="3210" spans="1:3" ht="15">
      <c r="A3210" s="90" t="s">
        <v>252</v>
      </c>
      <c r="B3210" s="89" t="s">
        <v>2125</v>
      </c>
      <c r="C3210" s="96" t="s">
        <v>853</v>
      </c>
    </row>
    <row r="3211" spans="1:3" ht="15">
      <c r="A3211" s="90" t="s">
        <v>252</v>
      </c>
      <c r="B3211" s="89" t="s">
        <v>2400</v>
      </c>
      <c r="C3211" s="96" t="s">
        <v>853</v>
      </c>
    </row>
    <row r="3212" spans="1:3" ht="15">
      <c r="A3212" s="90" t="s">
        <v>252</v>
      </c>
      <c r="B3212" s="89" t="s">
        <v>2127</v>
      </c>
      <c r="C3212" s="96" t="s">
        <v>853</v>
      </c>
    </row>
    <row r="3213" spans="1:3" ht="15">
      <c r="A3213" s="90" t="s">
        <v>252</v>
      </c>
      <c r="B3213" s="89" t="s">
        <v>2401</v>
      </c>
      <c r="C3213" s="96" t="s">
        <v>853</v>
      </c>
    </row>
    <row r="3214" spans="1:3" ht="15">
      <c r="A3214" s="90" t="s">
        <v>252</v>
      </c>
      <c r="B3214" s="89" t="s">
        <v>2402</v>
      </c>
      <c r="C3214" s="96" t="s">
        <v>853</v>
      </c>
    </row>
    <row r="3215" spans="1:3" ht="15">
      <c r="A3215" s="90" t="s">
        <v>252</v>
      </c>
      <c r="B3215" s="89" t="s">
        <v>2403</v>
      </c>
      <c r="C3215" s="96" t="s">
        <v>853</v>
      </c>
    </row>
    <row r="3216" spans="1:3" ht="15">
      <c r="A3216" s="90" t="s">
        <v>252</v>
      </c>
      <c r="B3216" s="89" t="s">
        <v>2404</v>
      </c>
      <c r="C3216" s="96" t="s">
        <v>853</v>
      </c>
    </row>
    <row r="3217" spans="1:3" ht="15">
      <c r="A3217" s="90" t="s">
        <v>252</v>
      </c>
      <c r="B3217" s="89" t="s">
        <v>2115</v>
      </c>
      <c r="C3217" s="96" t="s">
        <v>853</v>
      </c>
    </row>
    <row r="3218" spans="1:3" ht="15">
      <c r="A3218" s="90" t="s">
        <v>252</v>
      </c>
      <c r="B3218" s="89" t="s">
        <v>2116</v>
      </c>
      <c r="C3218" s="96" t="s">
        <v>853</v>
      </c>
    </row>
    <row r="3219" spans="1:3" ht="15">
      <c r="A3219" s="90" t="s">
        <v>252</v>
      </c>
      <c r="B3219" s="89" t="s">
        <v>2117</v>
      </c>
      <c r="C3219" s="96" t="s">
        <v>853</v>
      </c>
    </row>
    <row r="3220" spans="1:3" ht="15">
      <c r="A3220" s="90" t="s">
        <v>252</v>
      </c>
      <c r="B3220" s="89" t="s">
        <v>2118</v>
      </c>
      <c r="C3220" s="96" t="s">
        <v>853</v>
      </c>
    </row>
    <row r="3221" spans="1:3" ht="15">
      <c r="A3221" s="90" t="s">
        <v>252</v>
      </c>
      <c r="B3221" s="89" t="s">
        <v>2119</v>
      </c>
      <c r="C3221" s="96" t="s">
        <v>853</v>
      </c>
    </row>
    <row r="3222" spans="1:3" ht="15">
      <c r="A3222" s="90" t="s">
        <v>252</v>
      </c>
      <c r="B3222" s="89" t="s">
        <v>2129</v>
      </c>
      <c r="C3222" s="96" t="s">
        <v>853</v>
      </c>
    </row>
    <row r="3223" spans="1:3" ht="15">
      <c r="A3223" s="90" t="s">
        <v>252</v>
      </c>
      <c r="B3223" s="89" t="s">
        <v>2120</v>
      </c>
      <c r="C3223" s="96" t="s">
        <v>853</v>
      </c>
    </row>
    <row r="3224" spans="1:3" ht="15">
      <c r="A3224" s="90" t="s">
        <v>252</v>
      </c>
      <c r="B3224" s="89" t="s">
        <v>2121</v>
      </c>
      <c r="C3224" s="96" t="s">
        <v>853</v>
      </c>
    </row>
    <row r="3225" spans="1:3" ht="15">
      <c r="A3225" s="90" t="s">
        <v>252</v>
      </c>
      <c r="B3225" s="89" t="s">
        <v>2122</v>
      </c>
      <c r="C3225" s="96" t="s">
        <v>853</v>
      </c>
    </row>
    <row r="3226" spans="1:3" ht="15">
      <c r="A3226" s="90" t="s">
        <v>252</v>
      </c>
      <c r="B3226" s="89" t="s">
        <v>2130</v>
      </c>
      <c r="C3226" s="96" t="s">
        <v>853</v>
      </c>
    </row>
    <row r="3227" spans="1:3" ht="15">
      <c r="A3227" s="90" t="s">
        <v>252</v>
      </c>
      <c r="B3227" s="89" t="s">
        <v>2131</v>
      </c>
      <c r="C3227" s="96" t="s">
        <v>853</v>
      </c>
    </row>
    <row r="3228" spans="1:3" ht="15">
      <c r="A3228" s="90" t="s">
        <v>252</v>
      </c>
      <c r="B3228" s="89" t="s">
        <v>2123</v>
      </c>
      <c r="C3228" s="96" t="s">
        <v>853</v>
      </c>
    </row>
    <row r="3229" spans="1:3" ht="15">
      <c r="A3229" s="90" t="s">
        <v>252</v>
      </c>
      <c r="B3229" s="89" t="s">
        <v>2114</v>
      </c>
      <c r="C3229" s="96" t="s">
        <v>853</v>
      </c>
    </row>
    <row r="3230" spans="1:3" ht="15">
      <c r="A3230" s="90" t="s">
        <v>251</v>
      </c>
      <c r="B3230" s="89" t="s">
        <v>2360</v>
      </c>
      <c r="C3230" s="96" t="s">
        <v>852</v>
      </c>
    </row>
    <row r="3231" spans="1:3" ht="15">
      <c r="A3231" s="90" t="s">
        <v>251</v>
      </c>
      <c r="B3231" s="89" t="s">
        <v>2159</v>
      </c>
      <c r="C3231" s="96" t="s">
        <v>852</v>
      </c>
    </row>
    <row r="3232" spans="1:3" ht="15">
      <c r="A3232" s="90" t="s">
        <v>251</v>
      </c>
      <c r="B3232" s="89" t="s">
        <v>2160</v>
      </c>
      <c r="C3232" s="96" t="s">
        <v>852</v>
      </c>
    </row>
    <row r="3233" spans="1:3" ht="15">
      <c r="A3233" s="90" t="s">
        <v>251</v>
      </c>
      <c r="B3233" s="89" t="s">
        <v>2442</v>
      </c>
      <c r="C3233" s="96" t="s">
        <v>852</v>
      </c>
    </row>
    <row r="3234" spans="1:3" ht="15">
      <c r="A3234" s="90" t="s">
        <v>251</v>
      </c>
      <c r="B3234" s="89" t="s">
        <v>2584</v>
      </c>
      <c r="C3234" s="96" t="s">
        <v>852</v>
      </c>
    </row>
    <row r="3235" spans="1:3" ht="15">
      <c r="A3235" s="90" t="s">
        <v>251</v>
      </c>
      <c r="B3235" s="89" t="s">
        <v>2428</v>
      </c>
      <c r="C3235" s="96" t="s">
        <v>852</v>
      </c>
    </row>
    <row r="3236" spans="1:3" ht="15">
      <c r="A3236" s="90" t="s">
        <v>251</v>
      </c>
      <c r="B3236" s="89" t="s">
        <v>2585</v>
      </c>
      <c r="C3236" s="96" t="s">
        <v>852</v>
      </c>
    </row>
    <row r="3237" spans="1:3" ht="15">
      <c r="A3237" s="90" t="s">
        <v>251</v>
      </c>
      <c r="B3237" s="89" t="s">
        <v>2109</v>
      </c>
      <c r="C3237" s="96" t="s">
        <v>852</v>
      </c>
    </row>
    <row r="3238" spans="1:3" ht="15">
      <c r="A3238" s="90" t="s">
        <v>251</v>
      </c>
      <c r="B3238" s="89" t="s">
        <v>2586</v>
      </c>
      <c r="C3238" s="96" t="s">
        <v>852</v>
      </c>
    </row>
    <row r="3239" spans="1:3" ht="15">
      <c r="A3239" s="90" t="s">
        <v>251</v>
      </c>
      <c r="B3239" s="89" t="s">
        <v>2158</v>
      </c>
      <c r="C3239" s="96" t="s">
        <v>852</v>
      </c>
    </row>
    <row r="3240" spans="1:3" ht="15">
      <c r="A3240" s="90" t="s">
        <v>251</v>
      </c>
      <c r="B3240" s="89" t="s">
        <v>2162</v>
      </c>
      <c r="C3240" s="96" t="s">
        <v>852</v>
      </c>
    </row>
    <row r="3241" spans="1:3" ht="15">
      <c r="A3241" s="90" t="s">
        <v>251</v>
      </c>
      <c r="B3241" s="89" t="s">
        <v>2587</v>
      </c>
      <c r="C3241" s="96" t="s">
        <v>852</v>
      </c>
    </row>
    <row r="3242" spans="1:3" ht="15">
      <c r="A3242" s="90" t="s">
        <v>251</v>
      </c>
      <c r="B3242" s="89" t="s">
        <v>2588</v>
      </c>
      <c r="C3242" s="96" t="s">
        <v>852</v>
      </c>
    </row>
    <row r="3243" spans="1:3" ht="15">
      <c r="A3243" s="90" t="s">
        <v>251</v>
      </c>
      <c r="B3243" s="89" t="s">
        <v>2589</v>
      </c>
      <c r="C3243" s="96" t="s">
        <v>852</v>
      </c>
    </row>
    <row r="3244" spans="1:3" ht="15">
      <c r="A3244" s="90" t="s">
        <v>251</v>
      </c>
      <c r="B3244" s="89" t="s">
        <v>2369</v>
      </c>
      <c r="C3244" s="96" t="s">
        <v>852</v>
      </c>
    </row>
    <row r="3245" spans="1:3" ht="15">
      <c r="A3245" s="90" t="s">
        <v>251</v>
      </c>
      <c r="B3245" s="89" t="s">
        <v>2376</v>
      </c>
      <c r="C3245" s="96" t="s">
        <v>852</v>
      </c>
    </row>
    <row r="3246" spans="1:3" ht="15">
      <c r="A3246" s="90" t="s">
        <v>251</v>
      </c>
      <c r="B3246" s="89" t="s">
        <v>2590</v>
      </c>
      <c r="C3246" s="96" t="s">
        <v>852</v>
      </c>
    </row>
    <row r="3247" spans="1:3" ht="15">
      <c r="A3247" s="90" t="s">
        <v>251</v>
      </c>
      <c r="B3247" s="89" t="s">
        <v>2165</v>
      </c>
      <c r="C3247" s="96" t="s">
        <v>852</v>
      </c>
    </row>
    <row r="3248" spans="1:3" ht="15">
      <c r="A3248" s="90" t="s">
        <v>251</v>
      </c>
      <c r="B3248" s="89" t="s">
        <v>2591</v>
      </c>
      <c r="C3248" s="96" t="s">
        <v>852</v>
      </c>
    </row>
    <row r="3249" spans="1:3" ht="15">
      <c r="A3249" s="90" t="s">
        <v>251</v>
      </c>
      <c r="B3249" s="89" t="s">
        <v>2167</v>
      </c>
      <c r="C3249" s="96" t="s">
        <v>852</v>
      </c>
    </row>
    <row r="3250" spans="1:3" ht="15">
      <c r="A3250" s="90" t="s">
        <v>251</v>
      </c>
      <c r="B3250" s="89" t="s">
        <v>2168</v>
      </c>
      <c r="C3250" s="96" t="s">
        <v>852</v>
      </c>
    </row>
    <row r="3251" spans="1:3" ht="15">
      <c r="A3251" s="90" t="s">
        <v>251</v>
      </c>
      <c r="B3251" s="89" t="s">
        <v>2169</v>
      </c>
      <c r="C3251" s="96" t="s">
        <v>852</v>
      </c>
    </row>
    <row r="3252" spans="1:3" ht="15">
      <c r="A3252" s="90" t="s">
        <v>251</v>
      </c>
      <c r="B3252" s="89" t="s">
        <v>2170</v>
      </c>
      <c r="C3252" s="96" t="s">
        <v>852</v>
      </c>
    </row>
    <row r="3253" spans="1:3" ht="15">
      <c r="A3253" s="90" t="s">
        <v>251</v>
      </c>
      <c r="B3253" s="89" t="s">
        <v>2361</v>
      </c>
      <c r="C3253" s="96" t="s">
        <v>852</v>
      </c>
    </row>
    <row r="3254" spans="1:3" ht="15">
      <c r="A3254" s="90" t="s">
        <v>251</v>
      </c>
      <c r="B3254" s="89" t="s">
        <v>2171</v>
      </c>
      <c r="C3254" s="96" t="s">
        <v>852</v>
      </c>
    </row>
    <row r="3255" spans="1:3" ht="15">
      <c r="A3255" s="90" t="s">
        <v>251</v>
      </c>
      <c r="B3255" s="89" t="s">
        <v>2172</v>
      </c>
      <c r="C3255" s="96" t="s">
        <v>852</v>
      </c>
    </row>
    <row r="3256" spans="1:3" ht="15">
      <c r="A3256" s="90" t="s">
        <v>251</v>
      </c>
      <c r="B3256" s="89" t="s">
        <v>2173</v>
      </c>
      <c r="C3256" s="96" t="s">
        <v>852</v>
      </c>
    </row>
    <row r="3257" spans="1:3" ht="15">
      <c r="A3257" s="90" t="s">
        <v>251</v>
      </c>
      <c r="B3257" s="89" t="s">
        <v>2592</v>
      </c>
      <c r="C3257" s="96" t="s">
        <v>852</v>
      </c>
    </row>
    <row r="3258" spans="1:3" ht="15">
      <c r="A3258" s="90" t="s">
        <v>251</v>
      </c>
      <c r="B3258" s="89" t="s">
        <v>2174</v>
      </c>
      <c r="C3258" s="96" t="s">
        <v>852</v>
      </c>
    </row>
    <row r="3259" spans="1:3" ht="15">
      <c r="A3259" s="90" t="s">
        <v>273</v>
      </c>
      <c r="B3259" s="89" t="s">
        <v>384</v>
      </c>
      <c r="C3259" s="96" t="s">
        <v>878</v>
      </c>
    </row>
    <row r="3260" spans="1:3" ht="15">
      <c r="A3260" s="90" t="s">
        <v>273</v>
      </c>
      <c r="B3260" s="89" t="s">
        <v>3171</v>
      </c>
      <c r="C3260" s="96" t="s">
        <v>878</v>
      </c>
    </row>
    <row r="3261" spans="1:3" ht="15">
      <c r="A3261" s="90" t="s">
        <v>273</v>
      </c>
      <c r="B3261" s="89" t="s">
        <v>2986</v>
      </c>
      <c r="C3261" s="96" t="s">
        <v>878</v>
      </c>
    </row>
    <row r="3262" spans="1:3" ht="15">
      <c r="A3262" s="90" t="s">
        <v>273</v>
      </c>
      <c r="B3262" s="89" t="s">
        <v>2325</v>
      </c>
      <c r="C3262" s="96" t="s">
        <v>878</v>
      </c>
    </row>
    <row r="3263" spans="1:3" ht="15">
      <c r="A3263" s="90" t="s">
        <v>273</v>
      </c>
      <c r="B3263" s="89" t="s">
        <v>2558</v>
      </c>
      <c r="C3263" s="96" t="s">
        <v>878</v>
      </c>
    </row>
    <row r="3264" spans="1:3" ht="15">
      <c r="A3264" s="90" t="s">
        <v>273</v>
      </c>
      <c r="B3264" s="89" t="s">
        <v>3172</v>
      </c>
      <c r="C3264" s="96" t="s">
        <v>878</v>
      </c>
    </row>
    <row r="3265" spans="1:3" ht="15">
      <c r="A3265" s="90" t="s">
        <v>273</v>
      </c>
      <c r="B3265" s="89" t="s">
        <v>3173</v>
      </c>
      <c r="C3265" s="96" t="s">
        <v>878</v>
      </c>
    </row>
    <row r="3266" spans="1:3" ht="15">
      <c r="A3266" s="90" t="s">
        <v>273</v>
      </c>
      <c r="B3266" s="89" t="s">
        <v>556</v>
      </c>
      <c r="C3266" s="96" t="s">
        <v>878</v>
      </c>
    </row>
    <row r="3267" spans="1:3" ht="15">
      <c r="A3267" s="90" t="s">
        <v>273</v>
      </c>
      <c r="B3267" s="89" t="s">
        <v>2935</v>
      </c>
      <c r="C3267" s="96" t="s">
        <v>878</v>
      </c>
    </row>
    <row r="3268" spans="1:3" ht="15">
      <c r="A3268" s="90" t="s">
        <v>273</v>
      </c>
      <c r="B3268" s="89" t="s">
        <v>384</v>
      </c>
      <c r="C3268" s="96" t="s">
        <v>877</v>
      </c>
    </row>
    <row r="3269" spans="1:3" ht="15">
      <c r="A3269" s="90" t="s">
        <v>273</v>
      </c>
      <c r="B3269" s="89" t="s">
        <v>2980</v>
      </c>
      <c r="C3269" s="96" t="s">
        <v>877</v>
      </c>
    </row>
    <row r="3270" spans="1:3" ht="15">
      <c r="A3270" s="90" t="s">
        <v>273</v>
      </c>
      <c r="B3270" s="89" t="s">
        <v>2376</v>
      </c>
      <c r="C3270" s="96" t="s">
        <v>877</v>
      </c>
    </row>
    <row r="3271" spans="1:3" ht="15">
      <c r="A3271" s="90" t="s">
        <v>273</v>
      </c>
      <c r="B3271" s="89" t="s">
        <v>2219</v>
      </c>
      <c r="C3271" s="96" t="s">
        <v>877</v>
      </c>
    </row>
    <row r="3272" spans="1:3" ht="15">
      <c r="A3272" s="90" t="s">
        <v>273</v>
      </c>
      <c r="B3272" s="89" t="s">
        <v>2220</v>
      </c>
      <c r="C3272" s="96" t="s">
        <v>877</v>
      </c>
    </row>
    <row r="3273" spans="1:3" ht="15">
      <c r="A3273" s="90" t="s">
        <v>273</v>
      </c>
      <c r="B3273" s="89" t="s">
        <v>2697</v>
      </c>
      <c r="C3273" s="96" t="s">
        <v>877</v>
      </c>
    </row>
    <row r="3274" spans="1:3" ht="15">
      <c r="A3274" s="90" t="s">
        <v>273</v>
      </c>
      <c r="B3274" s="89" t="s">
        <v>2382</v>
      </c>
      <c r="C3274" s="96" t="s">
        <v>877</v>
      </c>
    </row>
    <row r="3275" spans="1:3" ht="15">
      <c r="A3275" s="90" t="s">
        <v>273</v>
      </c>
      <c r="B3275" s="89" t="s">
        <v>2981</v>
      </c>
      <c r="C3275" s="96" t="s">
        <v>877</v>
      </c>
    </row>
    <row r="3276" spans="1:3" ht="15">
      <c r="A3276" s="90" t="s">
        <v>273</v>
      </c>
      <c r="B3276" s="89" t="s">
        <v>2221</v>
      </c>
      <c r="C3276" s="96" t="s">
        <v>877</v>
      </c>
    </row>
    <row r="3277" spans="1:3" ht="15">
      <c r="A3277" s="90" t="s">
        <v>273</v>
      </c>
      <c r="B3277" s="89" t="s">
        <v>2181</v>
      </c>
      <c r="C3277" s="96" t="s">
        <v>877</v>
      </c>
    </row>
    <row r="3278" spans="1:3" ht="15">
      <c r="A3278" s="90" t="s">
        <v>273</v>
      </c>
      <c r="B3278" s="89" t="s">
        <v>2222</v>
      </c>
      <c r="C3278" s="96" t="s">
        <v>877</v>
      </c>
    </row>
    <row r="3279" spans="1:3" ht="15">
      <c r="A3279" s="90" t="s">
        <v>273</v>
      </c>
      <c r="B3279" s="89" t="s">
        <v>2223</v>
      </c>
      <c r="C3279" s="96" t="s">
        <v>877</v>
      </c>
    </row>
    <row r="3280" spans="1:3" ht="15">
      <c r="A3280" s="90" t="s">
        <v>273</v>
      </c>
      <c r="B3280" s="89" t="s">
        <v>2224</v>
      </c>
      <c r="C3280" s="96" t="s">
        <v>877</v>
      </c>
    </row>
    <row r="3281" spans="1:3" ht="15">
      <c r="A3281" s="90" t="s">
        <v>273</v>
      </c>
      <c r="B3281" s="89" t="s">
        <v>556</v>
      </c>
      <c r="C3281" s="96" t="s">
        <v>877</v>
      </c>
    </row>
    <row r="3282" spans="1:3" ht="15">
      <c r="A3282" s="90" t="s">
        <v>273</v>
      </c>
      <c r="B3282" s="89" t="s">
        <v>2361</v>
      </c>
      <c r="C3282" s="96" t="s">
        <v>877</v>
      </c>
    </row>
    <row r="3283" spans="1:3" ht="15">
      <c r="A3283" s="90" t="s">
        <v>273</v>
      </c>
      <c r="B3283" s="89" t="s">
        <v>2443</v>
      </c>
      <c r="C3283" s="96" t="s">
        <v>877</v>
      </c>
    </row>
    <row r="3284" spans="1:3" ht="15">
      <c r="A3284" s="90" t="s">
        <v>273</v>
      </c>
      <c r="B3284" s="89" t="s">
        <v>2225</v>
      </c>
      <c r="C3284" s="96" t="s">
        <v>877</v>
      </c>
    </row>
    <row r="3285" spans="1:3" ht="15">
      <c r="A3285" s="90" t="s">
        <v>273</v>
      </c>
      <c r="B3285" s="89" t="s">
        <v>2982</v>
      </c>
      <c r="C3285" s="96" t="s">
        <v>877</v>
      </c>
    </row>
    <row r="3286" spans="1:3" ht="15">
      <c r="A3286" s="90" t="s">
        <v>273</v>
      </c>
      <c r="B3286" s="89" t="s">
        <v>2226</v>
      </c>
      <c r="C3286" s="96" t="s">
        <v>877</v>
      </c>
    </row>
    <row r="3287" spans="1:3" ht="15">
      <c r="A3287" s="90" t="s">
        <v>273</v>
      </c>
      <c r="B3287" s="89" t="s">
        <v>2227</v>
      </c>
      <c r="C3287" s="96" t="s">
        <v>877</v>
      </c>
    </row>
    <row r="3288" spans="1:3" ht="15">
      <c r="A3288" s="90" t="s">
        <v>273</v>
      </c>
      <c r="B3288" s="89" t="s">
        <v>2228</v>
      </c>
      <c r="C3288" s="96" t="s">
        <v>877</v>
      </c>
    </row>
    <row r="3289" spans="1:3" ht="15">
      <c r="A3289" s="90" t="s">
        <v>273</v>
      </c>
      <c r="B3289" s="89" t="s">
        <v>2229</v>
      </c>
      <c r="C3289" s="96" t="s">
        <v>877</v>
      </c>
    </row>
    <row r="3290" spans="1:3" ht="15">
      <c r="A3290" s="90" t="s">
        <v>273</v>
      </c>
      <c r="B3290" s="89" t="s">
        <v>2230</v>
      </c>
      <c r="C3290" s="96" t="s">
        <v>877</v>
      </c>
    </row>
    <row r="3291" spans="1:3" ht="15">
      <c r="A3291" s="90" t="s">
        <v>273</v>
      </c>
      <c r="B3291" s="89" t="s">
        <v>2385</v>
      </c>
      <c r="C3291" s="96" t="s">
        <v>877</v>
      </c>
    </row>
    <row r="3292" spans="1:3" ht="15">
      <c r="A3292" s="90" t="s">
        <v>273</v>
      </c>
      <c r="B3292" s="89" t="s">
        <v>2983</v>
      </c>
      <c r="C3292" s="96" t="s">
        <v>877</v>
      </c>
    </row>
    <row r="3293" spans="1:3" ht="15">
      <c r="A3293" s="90" t="s">
        <v>273</v>
      </c>
      <c r="B3293" s="89" t="s">
        <v>2231</v>
      </c>
      <c r="C3293" s="96" t="s">
        <v>877</v>
      </c>
    </row>
    <row r="3294" spans="1:3" ht="15">
      <c r="A3294" s="90" t="s">
        <v>273</v>
      </c>
      <c r="B3294" s="89" t="s">
        <v>2984</v>
      </c>
      <c r="C3294" s="96" t="s">
        <v>877</v>
      </c>
    </row>
    <row r="3295" spans="1:3" ht="15">
      <c r="A3295" s="90" t="s">
        <v>273</v>
      </c>
      <c r="B3295" s="89" t="s">
        <v>2232</v>
      </c>
      <c r="C3295" s="96" t="s">
        <v>877</v>
      </c>
    </row>
    <row r="3296" spans="1:3" ht="15">
      <c r="A3296" s="90" t="s">
        <v>273</v>
      </c>
      <c r="B3296" s="89" t="s">
        <v>2985</v>
      </c>
      <c r="C3296" s="96" t="s">
        <v>877</v>
      </c>
    </row>
    <row r="3297" spans="1:3" ht="15">
      <c r="A3297" s="90" t="s">
        <v>273</v>
      </c>
      <c r="B3297" s="89" t="s">
        <v>2547</v>
      </c>
      <c r="C3297" s="96" t="s">
        <v>877</v>
      </c>
    </row>
    <row r="3298" spans="1:3" ht="15">
      <c r="A3298" s="90" t="s">
        <v>273</v>
      </c>
      <c r="B3298" s="89" t="s">
        <v>2545</v>
      </c>
      <c r="C3298" s="96" t="s">
        <v>877</v>
      </c>
    </row>
    <row r="3299" spans="1:3" ht="15">
      <c r="A3299" s="90" t="s">
        <v>273</v>
      </c>
      <c r="B3299" s="89" t="s">
        <v>2986</v>
      </c>
      <c r="C3299" s="96" t="s">
        <v>877</v>
      </c>
    </row>
    <row r="3300" spans="1:3" ht="15">
      <c r="A3300" s="90" t="s">
        <v>273</v>
      </c>
      <c r="B3300" s="89" t="s">
        <v>2234</v>
      </c>
      <c r="C3300" s="96" t="s">
        <v>877</v>
      </c>
    </row>
    <row r="3301" spans="1:3" ht="15">
      <c r="A3301" s="90" t="s">
        <v>273</v>
      </c>
      <c r="B3301" s="89" t="s">
        <v>2773</v>
      </c>
      <c r="C3301" s="96" t="s">
        <v>877</v>
      </c>
    </row>
    <row r="3302" spans="1:3" ht="15">
      <c r="A3302" s="90" t="s">
        <v>273</v>
      </c>
      <c r="B3302" s="89" t="s">
        <v>2235</v>
      </c>
      <c r="C3302" s="96" t="s">
        <v>877</v>
      </c>
    </row>
    <row r="3303" spans="1:3" ht="15">
      <c r="A3303" s="90" t="s">
        <v>273</v>
      </c>
      <c r="B3303" s="89" t="s">
        <v>2236</v>
      </c>
      <c r="C3303" s="96" t="s">
        <v>877</v>
      </c>
    </row>
    <row r="3304" spans="1:3" ht="15">
      <c r="A3304" s="90" t="s">
        <v>250</v>
      </c>
      <c r="B3304" s="89" t="s">
        <v>384</v>
      </c>
      <c r="C3304" s="96" t="s">
        <v>851</v>
      </c>
    </row>
    <row r="3305" spans="1:3" ht="15">
      <c r="A3305" s="90" t="s">
        <v>250</v>
      </c>
      <c r="B3305" s="89" t="s">
        <v>3171</v>
      </c>
      <c r="C3305" s="96" t="s">
        <v>851</v>
      </c>
    </row>
    <row r="3306" spans="1:3" ht="15">
      <c r="A3306" s="90" t="s">
        <v>250</v>
      </c>
      <c r="B3306" s="89" t="s">
        <v>2986</v>
      </c>
      <c r="C3306" s="96" t="s">
        <v>851</v>
      </c>
    </row>
    <row r="3307" spans="1:3" ht="15">
      <c r="A3307" s="90" t="s">
        <v>250</v>
      </c>
      <c r="B3307" s="89" t="s">
        <v>2325</v>
      </c>
      <c r="C3307" s="96" t="s">
        <v>851</v>
      </c>
    </row>
    <row r="3308" spans="1:3" ht="15">
      <c r="A3308" s="90" t="s">
        <v>250</v>
      </c>
      <c r="B3308" s="89" t="s">
        <v>2558</v>
      </c>
      <c r="C3308" s="96" t="s">
        <v>851</v>
      </c>
    </row>
    <row r="3309" spans="1:3" ht="15">
      <c r="A3309" s="90" t="s">
        <v>250</v>
      </c>
      <c r="B3309" s="89" t="s">
        <v>3172</v>
      </c>
      <c r="C3309" s="96" t="s">
        <v>851</v>
      </c>
    </row>
    <row r="3310" spans="1:3" ht="15">
      <c r="A3310" s="90" t="s">
        <v>250</v>
      </c>
      <c r="B3310" s="89" t="s">
        <v>3173</v>
      </c>
      <c r="C3310" s="96" t="s">
        <v>851</v>
      </c>
    </row>
    <row r="3311" spans="1:3" ht="15">
      <c r="A3311" s="90" t="s">
        <v>250</v>
      </c>
      <c r="B3311" s="89" t="s">
        <v>556</v>
      </c>
      <c r="C3311" s="96" t="s">
        <v>851</v>
      </c>
    </row>
    <row r="3312" spans="1:3" ht="15">
      <c r="A3312" s="90" t="s">
        <v>250</v>
      </c>
      <c r="B3312" s="89" t="s">
        <v>2935</v>
      </c>
      <c r="C3312" s="96" t="s">
        <v>851</v>
      </c>
    </row>
    <row r="3313" spans="1:3" ht="15">
      <c r="A3313" s="90" t="s">
        <v>249</v>
      </c>
      <c r="B3313" s="89" t="s">
        <v>419</v>
      </c>
      <c r="C3313" s="96" t="s">
        <v>850</v>
      </c>
    </row>
    <row r="3314" spans="1:3" ht="15">
      <c r="A3314" s="90" t="s">
        <v>249</v>
      </c>
      <c r="B3314" s="89" t="s">
        <v>2841</v>
      </c>
      <c r="C3314" s="96" t="s">
        <v>850</v>
      </c>
    </row>
    <row r="3315" spans="1:3" ht="15">
      <c r="A3315" s="90" t="s">
        <v>249</v>
      </c>
      <c r="B3315" s="89" t="s">
        <v>2375</v>
      </c>
      <c r="C3315" s="96" t="s">
        <v>850</v>
      </c>
    </row>
    <row r="3316" spans="1:3" ht="15">
      <c r="A3316" s="90" t="s">
        <v>249</v>
      </c>
      <c r="B3316" s="89" t="s">
        <v>2321</v>
      </c>
      <c r="C3316" s="96" t="s">
        <v>850</v>
      </c>
    </row>
    <row r="3317" spans="1:3" ht="15">
      <c r="A3317" s="90" t="s">
        <v>249</v>
      </c>
      <c r="B3317" s="89" t="s">
        <v>2364</v>
      </c>
      <c r="C3317" s="96" t="s">
        <v>850</v>
      </c>
    </row>
    <row r="3318" spans="1:3" ht="15">
      <c r="A3318" s="90" t="s">
        <v>249</v>
      </c>
      <c r="B3318" s="89" t="s">
        <v>2370</v>
      </c>
      <c r="C3318" s="96" t="s">
        <v>850</v>
      </c>
    </row>
    <row r="3319" spans="1:3" ht="15">
      <c r="A3319" s="90" t="s">
        <v>249</v>
      </c>
      <c r="B3319" s="89" t="s">
        <v>2376</v>
      </c>
      <c r="C3319" s="96" t="s">
        <v>850</v>
      </c>
    </row>
    <row r="3320" spans="1:3" ht="15">
      <c r="A3320" s="90" t="s">
        <v>249</v>
      </c>
      <c r="B3320" s="89" t="s">
        <v>2323</v>
      </c>
      <c r="C3320" s="96" t="s">
        <v>850</v>
      </c>
    </row>
    <row r="3321" spans="1:3" ht="15">
      <c r="A3321" s="90" t="s">
        <v>249</v>
      </c>
      <c r="B3321" s="89" t="s">
        <v>2481</v>
      </c>
      <c r="C3321" s="96" t="s">
        <v>850</v>
      </c>
    </row>
    <row r="3322" spans="1:3" ht="15">
      <c r="A3322" s="90" t="s">
        <v>249</v>
      </c>
      <c r="B3322" s="89" t="s">
        <v>2392</v>
      </c>
      <c r="C3322" s="96" t="s">
        <v>850</v>
      </c>
    </row>
    <row r="3323" spans="1:3" ht="15">
      <c r="A3323" s="90" t="s">
        <v>249</v>
      </c>
      <c r="B3323" s="89" t="s">
        <v>2988</v>
      </c>
      <c r="C3323" s="96" t="s">
        <v>850</v>
      </c>
    </row>
    <row r="3324" spans="1:3" ht="15">
      <c r="A3324" s="90" t="s">
        <v>249</v>
      </c>
      <c r="B3324" s="89" t="s">
        <v>3174</v>
      </c>
      <c r="C3324" s="96" t="s">
        <v>850</v>
      </c>
    </row>
    <row r="3325" spans="1:3" ht="15">
      <c r="A3325" s="90" t="s">
        <v>249</v>
      </c>
      <c r="B3325" s="89" t="s">
        <v>3175</v>
      </c>
      <c r="C3325" s="96" t="s">
        <v>850</v>
      </c>
    </row>
    <row r="3326" spans="1:3" ht="15">
      <c r="A3326" s="90" t="s">
        <v>249</v>
      </c>
      <c r="B3326" s="89" t="s">
        <v>3176</v>
      </c>
      <c r="C3326" s="96" t="s">
        <v>850</v>
      </c>
    </row>
    <row r="3327" spans="1:3" ht="15">
      <c r="A3327" s="90" t="s">
        <v>249</v>
      </c>
      <c r="B3327" s="89" t="s">
        <v>3177</v>
      </c>
      <c r="C3327" s="96" t="s">
        <v>850</v>
      </c>
    </row>
    <row r="3328" spans="1:3" ht="15">
      <c r="A3328" s="90" t="s">
        <v>249</v>
      </c>
      <c r="B3328" s="89" t="s">
        <v>2442</v>
      </c>
      <c r="C3328" s="96" t="s">
        <v>850</v>
      </c>
    </row>
    <row r="3329" spans="1:3" ht="15">
      <c r="A3329" s="90" t="s">
        <v>249</v>
      </c>
      <c r="B3329" s="89" t="s">
        <v>3178</v>
      </c>
      <c r="C3329" s="96" t="s">
        <v>850</v>
      </c>
    </row>
    <row r="3330" spans="1:3" ht="15">
      <c r="A3330" s="90" t="s">
        <v>249</v>
      </c>
      <c r="B3330" s="89" t="s">
        <v>2238</v>
      </c>
      <c r="C3330" s="96" t="s">
        <v>850</v>
      </c>
    </row>
    <row r="3331" spans="1:3" ht="15">
      <c r="A3331" s="90" t="s">
        <v>249</v>
      </c>
      <c r="B3331" s="89" t="s">
        <v>2715</v>
      </c>
      <c r="C3331" s="96" t="s">
        <v>850</v>
      </c>
    </row>
    <row r="3332" spans="1:3" ht="15">
      <c r="A3332" s="90" t="s">
        <v>249</v>
      </c>
      <c r="B3332" s="89" t="s">
        <v>2369</v>
      </c>
      <c r="C3332" s="96" t="s">
        <v>850</v>
      </c>
    </row>
    <row r="3333" spans="1:3" ht="15">
      <c r="A3333" s="90" t="s">
        <v>249</v>
      </c>
      <c r="B3333" s="89" t="s">
        <v>3179</v>
      </c>
      <c r="C3333" s="96" t="s">
        <v>850</v>
      </c>
    </row>
    <row r="3334" spans="1:3" ht="15">
      <c r="A3334" s="90" t="s">
        <v>249</v>
      </c>
      <c r="B3334" s="89" t="s">
        <v>3180</v>
      </c>
      <c r="C3334" s="96" t="s">
        <v>850</v>
      </c>
    </row>
    <row r="3335" spans="1:3" ht="15">
      <c r="A3335" s="90" t="s">
        <v>249</v>
      </c>
      <c r="B3335" s="89" t="s">
        <v>3181</v>
      </c>
      <c r="C3335" s="96" t="s">
        <v>850</v>
      </c>
    </row>
    <row r="3336" spans="1:3" ht="15">
      <c r="A3336" s="90" t="s">
        <v>249</v>
      </c>
      <c r="B3336" s="89" t="s">
        <v>3182</v>
      </c>
      <c r="C3336" s="96" t="s">
        <v>850</v>
      </c>
    </row>
    <row r="3337" spans="1:3" ht="15">
      <c r="A3337" s="90" t="s">
        <v>249</v>
      </c>
      <c r="B3337" s="89" t="s">
        <v>3183</v>
      </c>
      <c r="C3337" s="96" t="s">
        <v>850</v>
      </c>
    </row>
    <row r="3338" spans="1:3" ht="15">
      <c r="A3338" s="90" t="s">
        <v>249</v>
      </c>
      <c r="B3338" s="89" t="s">
        <v>3184</v>
      </c>
      <c r="C3338" s="96" t="s">
        <v>850</v>
      </c>
    </row>
    <row r="3339" spans="1:3" ht="15">
      <c r="A3339" s="90" t="s">
        <v>249</v>
      </c>
      <c r="B3339" s="89" t="s">
        <v>3185</v>
      </c>
      <c r="C3339" s="96" t="s">
        <v>850</v>
      </c>
    </row>
    <row r="3340" spans="1:3" ht="15">
      <c r="A3340" s="90" t="s">
        <v>249</v>
      </c>
      <c r="B3340" s="89" t="s">
        <v>3186</v>
      </c>
      <c r="C3340" s="96" t="s">
        <v>850</v>
      </c>
    </row>
    <row r="3341" spans="1:3" ht="15">
      <c r="A3341" s="90" t="s">
        <v>249</v>
      </c>
      <c r="B3341" s="89" t="s">
        <v>3187</v>
      </c>
      <c r="C3341" s="96" t="s">
        <v>850</v>
      </c>
    </row>
    <row r="3342" spans="1:3" ht="15">
      <c r="A3342" s="90" t="s">
        <v>248</v>
      </c>
      <c r="B3342" s="89" t="s">
        <v>2369</v>
      </c>
      <c r="C3342" s="96" t="s">
        <v>849</v>
      </c>
    </row>
    <row r="3343" spans="1:3" ht="15">
      <c r="A3343" s="90" t="s">
        <v>248</v>
      </c>
      <c r="B3343" s="89" t="s">
        <v>2370</v>
      </c>
      <c r="C3343" s="96" t="s">
        <v>849</v>
      </c>
    </row>
    <row r="3344" spans="1:3" ht="15">
      <c r="A3344" s="90" t="s">
        <v>248</v>
      </c>
      <c r="B3344" s="89" t="s">
        <v>2399</v>
      </c>
      <c r="C3344" s="96" t="s">
        <v>849</v>
      </c>
    </row>
    <row r="3345" spans="1:3" ht="15">
      <c r="A3345" s="90" t="s">
        <v>248</v>
      </c>
      <c r="B3345" s="89" t="s">
        <v>2110</v>
      </c>
      <c r="C3345" s="96" t="s">
        <v>849</v>
      </c>
    </row>
    <row r="3346" spans="1:3" ht="15">
      <c r="A3346" s="90" t="s">
        <v>248</v>
      </c>
      <c r="B3346" s="89" t="s">
        <v>2125</v>
      </c>
      <c r="C3346" s="96" t="s">
        <v>849</v>
      </c>
    </row>
    <row r="3347" spans="1:3" ht="15">
      <c r="A3347" s="90" t="s">
        <v>248</v>
      </c>
      <c r="B3347" s="89" t="s">
        <v>2400</v>
      </c>
      <c r="C3347" s="96" t="s">
        <v>849</v>
      </c>
    </row>
    <row r="3348" spans="1:3" ht="15">
      <c r="A3348" s="90" t="s">
        <v>248</v>
      </c>
      <c r="B3348" s="89" t="s">
        <v>2127</v>
      </c>
      <c r="C3348" s="96" t="s">
        <v>849</v>
      </c>
    </row>
    <row r="3349" spans="1:3" ht="15">
      <c r="A3349" s="90" t="s">
        <v>248</v>
      </c>
      <c r="B3349" s="89" t="s">
        <v>2401</v>
      </c>
      <c r="C3349" s="96" t="s">
        <v>849</v>
      </c>
    </row>
    <row r="3350" spans="1:3" ht="15">
      <c r="A3350" s="90" t="s">
        <v>248</v>
      </c>
      <c r="B3350" s="89" t="s">
        <v>2402</v>
      </c>
      <c r="C3350" s="96" t="s">
        <v>849</v>
      </c>
    </row>
    <row r="3351" spans="1:3" ht="15">
      <c r="A3351" s="90" t="s">
        <v>248</v>
      </c>
      <c r="B3351" s="89" t="s">
        <v>2403</v>
      </c>
      <c r="C3351" s="96" t="s">
        <v>849</v>
      </c>
    </row>
    <row r="3352" spans="1:3" ht="15">
      <c r="A3352" s="90" t="s">
        <v>248</v>
      </c>
      <c r="B3352" s="89" t="s">
        <v>2404</v>
      </c>
      <c r="C3352" s="96" t="s">
        <v>849</v>
      </c>
    </row>
    <row r="3353" spans="1:3" ht="15">
      <c r="A3353" s="90" t="s">
        <v>248</v>
      </c>
      <c r="B3353" s="89" t="s">
        <v>2115</v>
      </c>
      <c r="C3353" s="96" t="s">
        <v>849</v>
      </c>
    </row>
    <row r="3354" spans="1:3" ht="15">
      <c r="A3354" s="90" t="s">
        <v>248</v>
      </c>
      <c r="B3354" s="89" t="s">
        <v>2116</v>
      </c>
      <c r="C3354" s="96" t="s">
        <v>849</v>
      </c>
    </row>
    <row r="3355" spans="1:3" ht="15">
      <c r="A3355" s="90" t="s">
        <v>248</v>
      </c>
      <c r="B3355" s="89" t="s">
        <v>2117</v>
      </c>
      <c r="C3355" s="96" t="s">
        <v>849</v>
      </c>
    </row>
    <row r="3356" spans="1:3" ht="15">
      <c r="A3356" s="90" t="s">
        <v>248</v>
      </c>
      <c r="B3356" s="89" t="s">
        <v>2118</v>
      </c>
      <c r="C3356" s="96" t="s">
        <v>849</v>
      </c>
    </row>
    <row r="3357" spans="1:3" ht="15">
      <c r="A3357" s="90" t="s">
        <v>248</v>
      </c>
      <c r="B3357" s="89" t="s">
        <v>2119</v>
      </c>
      <c r="C3357" s="96" t="s">
        <v>849</v>
      </c>
    </row>
    <row r="3358" spans="1:3" ht="15">
      <c r="A3358" s="90" t="s">
        <v>248</v>
      </c>
      <c r="B3358" s="89" t="s">
        <v>2129</v>
      </c>
      <c r="C3358" s="96" t="s">
        <v>849</v>
      </c>
    </row>
    <row r="3359" spans="1:3" ht="15">
      <c r="A3359" s="90" t="s">
        <v>248</v>
      </c>
      <c r="B3359" s="89" t="s">
        <v>2120</v>
      </c>
      <c r="C3359" s="96" t="s">
        <v>849</v>
      </c>
    </row>
    <row r="3360" spans="1:3" ht="15">
      <c r="A3360" s="90" t="s">
        <v>248</v>
      </c>
      <c r="B3360" s="89" t="s">
        <v>2121</v>
      </c>
      <c r="C3360" s="96" t="s">
        <v>849</v>
      </c>
    </row>
    <row r="3361" spans="1:3" ht="15">
      <c r="A3361" s="90" t="s">
        <v>248</v>
      </c>
      <c r="B3361" s="89" t="s">
        <v>2122</v>
      </c>
      <c r="C3361" s="96" t="s">
        <v>849</v>
      </c>
    </row>
    <row r="3362" spans="1:3" ht="15">
      <c r="A3362" s="90" t="s">
        <v>248</v>
      </c>
      <c r="B3362" s="89" t="s">
        <v>2130</v>
      </c>
      <c r="C3362" s="96" t="s">
        <v>849</v>
      </c>
    </row>
    <row r="3363" spans="1:3" ht="15">
      <c r="A3363" s="90" t="s">
        <v>248</v>
      </c>
      <c r="B3363" s="89" t="s">
        <v>2131</v>
      </c>
      <c r="C3363" s="96" t="s">
        <v>849</v>
      </c>
    </row>
    <row r="3364" spans="1:3" ht="15">
      <c r="A3364" s="90" t="s">
        <v>248</v>
      </c>
      <c r="B3364" s="89" t="s">
        <v>2123</v>
      </c>
      <c r="C3364" s="96" t="s">
        <v>849</v>
      </c>
    </row>
    <row r="3365" spans="1:3" ht="15">
      <c r="A3365" s="90" t="s">
        <v>248</v>
      </c>
      <c r="B3365" s="89" t="s">
        <v>2114</v>
      </c>
      <c r="C3365" s="96" t="s">
        <v>849</v>
      </c>
    </row>
    <row r="3366" spans="1:3" ht="15">
      <c r="A3366" s="90" t="s">
        <v>247</v>
      </c>
      <c r="B3366" s="89" t="s">
        <v>384</v>
      </c>
      <c r="C3366" s="96" t="s">
        <v>848</v>
      </c>
    </row>
    <row r="3367" spans="1:3" ht="15">
      <c r="A3367" s="90" t="s">
        <v>247</v>
      </c>
      <c r="B3367" s="89" t="s">
        <v>3188</v>
      </c>
      <c r="C3367" s="96" t="s">
        <v>848</v>
      </c>
    </row>
    <row r="3368" spans="1:3" ht="15">
      <c r="A3368" s="90" t="s">
        <v>247</v>
      </c>
      <c r="B3368" s="89" t="s">
        <v>2156</v>
      </c>
      <c r="C3368" s="96" t="s">
        <v>848</v>
      </c>
    </row>
    <row r="3369" spans="1:3" ht="15">
      <c r="A3369" s="90" t="s">
        <v>247</v>
      </c>
      <c r="B3369" s="89" t="s">
        <v>3189</v>
      </c>
      <c r="C3369" s="96" t="s">
        <v>848</v>
      </c>
    </row>
    <row r="3370" spans="1:3" ht="15">
      <c r="A3370" s="90" t="s">
        <v>247</v>
      </c>
      <c r="B3370" s="89" t="s">
        <v>2309</v>
      </c>
      <c r="C3370" s="96" t="s">
        <v>848</v>
      </c>
    </row>
    <row r="3371" spans="1:3" ht="15">
      <c r="A3371" s="90" t="s">
        <v>247</v>
      </c>
      <c r="B3371" s="89" t="s">
        <v>2360</v>
      </c>
      <c r="C3371" s="96" t="s">
        <v>848</v>
      </c>
    </row>
    <row r="3372" spans="1:3" ht="15">
      <c r="A3372" s="90" t="s">
        <v>247</v>
      </c>
      <c r="B3372" s="89" t="s">
        <v>2871</v>
      </c>
      <c r="C3372" s="96" t="s">
        <v>848</v>
      </c>
    </row>
    <row r="3373" spans="1:3" ht="15">
      <c r="A3373" s="90" t="s">
        <v>247</v>
      </c>
      <c r="B3373" s="89" t="s">
        <v>2376</v>
      </c>
      <c r="C3373" s="96" t="s">
        <v>848</v>
      </c>
    </row>
    <row r="3374" spans="1:3" ht="15">
      <c r="A3374" s="90" t="s">
        <v>247</v>
      </c>
      <c r="B3374" s="89" t="s">
        <v>3190</v>
      </c>
      <c r="C3374" s="96" t="s">
        <v>848</v>
      </c>
    </row>
    <row r="3375" spans="1:3" ht="15">
      <c r="A3375" s="90" t="s">
        <v>247</v>
      </c>
      <c r="B3375" s="89" t="s">
        <v>2565</v>
      </c>
      <c r="C3375" s="96" t="s">
        <v>848</v>
      </c>
    </row>
    <row r="3376" spans="1:3" ht="15">
      <c r="A3376" s="90" t="s">
        <v>247</v>
      </c>
      <c r="B3376" s="89" t="s">
        <v>3191</v>
      </c>
      <c r="C3376" s="96" t="s">
        <v>848</v>
      </c>
    </row>
    <row r="3377" spans="1:3" ht="15">
      <c r="A3377" s="90" t="s">
        <v>247</v>
      </c>
      <c r="B3377" s="89" t="s">
        <v>2653</v>
      </c>
      <c r="C3377" s="96" t="s">
        <v>848</v>
      </c>
    </row>
    <row r="3378" spans="1:3" ht="15">
      <c r="A3378" s="90" t="s">
        <v>247</v>
      </c>
      <c r="B3378" s="89" t="s">
        <v>3192</v>
      </c>
      <c r="C3378" s="96" t="s">
        <v>848</v>
      </c>
    </row>
    <row r="3379" spans="1:3" ht="15">
      <c r="A3379" s="90" t="s">
        <v>247</v>
      </c>
      <c r="B3379" s="89" t="s">
        <v>2328</v>
      </c>
      <c r="C3379" s="96" t="s">
        <v>848</v>
      </c>
    </row>
    <row r="3380" spans="1:3" ht="15">
      <c r="A3380" s="90" t="s">
        <v>247</v>
      </c>
      <c r="B3380" s="89" t="s">
        <v>2329</v>
      </c>
      <c r="C3380" s="96" t="s">
        <v>848</v>
      </c>
    </row>
    <row r="3381" spans="1:3" ht="15">
      <c r="A3381" s="90" t="s">
        <v>247</v>
      </c>
      <c r="B3381" s="89" t="s">
        <v>2381</v>
      </c>
      <c r="C3381" s="96" t="s">
        <v>848</v>
      </c>
    </row>
    <row r="3382" spans="1:3" ht="15">
      <c r="A3382" s="90" t="s">
        <v>247</v>
      </c>
      <c r="B3382" s="89" t="s">
        <v>3193</v>
      </c>
      <c r="C3382" s="96" t="s">
        <v>848</v>
      </c>
    </row>
    <row r="3383" spans="1:3" ht="15">
      <c r="A3383" s="90" t="s">
        <v>247</v>
      </c>
      <c r="B3383" s="89" t="s">
        <v>3194</v>
      </c>
      <c r="C3383" s="96" t="s">
        <v>848</v>
      </c>
    </row>
    <row r="3384" spans="1:3" ht="15">
      <c r="A3384" s="90" t="s">
        <v>247</v>
      </c>
      <c r="B3384" s="89" t="s">
        <v>3195</v>
      </c>
      <c r="C3384" s="96" t="s">
        <v>848</v>
      </c>
    </row>
    <row r="3385" spans="1:3" ht="15">
      <c r="A3385" s="90" t="s">
        <v>247</v>
      </c>
      <c r="B3385" s="89" t="s">
        <v>3196</v>
      </c>
      <c r="C3385" s="96" t="s">
        <v>848</v>
      </c>
    </row>
    <row r="3386" spans="1:3" ht="15">
      <c r="A3386" s="90" t="s">
        <v>247</v>
      </c>
      <c r="B3386" s="89" t="s">
        <v>2319</v>
      </c>
      <c r="C3386" s="96" t="s">
        <v>848</v>
      </c>
    </row>
    <row r="3387" spans="1:3" ht="15">
      <c r="A3387" s="90" t="s">
        <v>247</v>
      </c>
      <c r="B3387" s="89" t="s">
        <v>3197</v>
      </c>
      <c r="C3387" s="96" t="s">
        <v>848</v>
      </c>
    </row>
    <row r="3388" spans="1:3" ht="15">
      <c r="A3388" s="90" t="s">
        <v>247</v>
      </c>
      <c r="B3388" s="89" t="s">
        <v>2315</v>
      </c>
      <c r="C3388" s="96" t="s">
        <v>848</v>
      </c>
    </row>
    <row r="3389" spans="1:3" ht="15">
      <c r="A3389" s="90" t="s">
        <v>247</v>
      </c>
      <c r="B3389" s="89" t="s">
        <v>2698</v>
      </c>
      <c r="C3389" s="96" t="s">
        <v>848</v>
      </c>
    </row>
    <row r="3390" spans="1:3" ht="15">
      <c r="A3390" s="90" t="s">
        <v>247</v>
      </c>
      <c r="B3390" s="89" t="s">
        <v>3198</v>
      </c>
      <c r="C3390" s="96" t="s">
        <v>848</v>
      </c>
    </row>
    <row r="3391" spans="1:3" ht="15">
      <c r="A3391" s="90" t="s">
        <v>247</v>
      </c>
      <c r="B3391" s="89" t="s">
        <v>2109</v>
      </c>
      <c r="C3391" s="96" t="s">
        <v>848</v>
      </c>
    </row>
    <row r="3392" spans="1:3" ht="15">
      <c r="A3392" s="90" t="s">
        <v>247</v>
      </c>
      <c r="B3392" s="89" t="s">
        <v>3199</v>
      </c>
      <c r="C3392" s="96" t="s">
        <v>848</v>
      </c>
    </row>
    <row r="3393" spans="1:3" ht="15">
      <c r="A3393" s="90" t="s">
        <v>247</v>
      </c>
      <c r="B3393" s="89" t="s">
        <v>2216</v>
      </c>
      <c r="C3393" s="96" t="s">
        <v>848</v>
      </c>
    </row>
    <row r="3394" spans="1:3" ht="15">
      <c r="A3394" s="90" t="s">
        <v>247</v>
      </c>
      <c r="B3394" s="89" t="s">
        <v>2293</v>
      </c>
      <c r="C3394" s="96" t="s">
        <v>848</v>
      </c>
    </row>
    <row r="3395" spans="1:3" ht="15">
      <c r="A3395" s="90" t="s">
        <v>247</v>
      </c>
      <c r="B3395" s="89" t="s">
        <v>2148</v>
      </c>
      <c r="C3395" s="96" t="s">
        <v>848</v>
      </c>
    </row>
    <row r="3396" spans="1:3" ht="15">
      <c r="A3396" s="90" t="s">
        <v>247</v>
      </c>
      <c r="B3396" s="89" t="s">
        <v>3200</v>
      </c>
      <c r="C3396" s="96" t="s">
        <v>848</v>
      </c>
    </row>
    <row r="3397" spans="1:3" ht="15">
      <c r="A3397" s="90" t="s">
        <v>247</v>
      </c>
      <c r="B3397" s="89" t="s">
        <v>1129</v>
      </c>
      <c r="C3397" s="96" t="s">
        <v>848</v>
      </c>
    </row>
    <row r="3398" spans="1:3" ht="15">
      <c r="A3398" s="90" t="s">
        <v>247</v>
      </c>
      <c r="B3398" s="89" t="s">
        <v>2385</v>
      </c>
      <c r="C3398" s="96" t="s">
        <v>848</v>
      </c>
    </row>
    <row r="3399" spans="1:3" ht="15">
      <c r="A3399" s="90" t="s">
        <v>247</v>
      </c>
      <c r="B3399" s="89" t="s">
        <v>3201</v>
      </c>
      <c r="C3399" s="96" t="s">
        <v>848</v>
      </c>
    </row>
    <row r="3400" spans="1:3" ht="15">
      <c r="A3400" s="90" t="s">
        <v>247</v>
      </c>
      <c r="B3400" s="89" t="s">
        <v>2541</v>
      </c>
      <c r="C3400" s="96" t="s">
        <v>848</v>
      </c>
    </row>
    <row r="3401" spans="1:3" ht="15">
      <c r="A3401" s="90" t="s">
        <v>247</v>
      </c>
      <c r="B3401" s="89" t="s">
        <v>3202</v>
      </c>
      <c r="C3401" s="96" t="s">
        <v>848</v>
      </c>
    </row>
    <row r="3402" spans="1:3" ht="15">
      <c r="A3402" s="90" t="s">
        <v>247</v>
      </c>
      <c r="B3402" s="89" t="s">
        <v>2382</v>
      </c>
      <c r="C3402" s="96" t="s">
        <v>848</v>
      </c>
    </row>
    <row r="3403" spans="1:3" ht="15">
      <c r="A3403" s="90" t="s">
        <v>247</v>
      </c>
      <c r="B3403" s="89" t="s">
        <v>3203</v>
      </c>
      <c r="C3403" s="96" t="s">
        <v>848</v>
      </c>
    </row>
    <row r="3404" spans="1:3" ht="15">
      <c r="A3404" s="90" t="s">
        <v>246</v>
      </c>
      <c r="B3404" s="89" t="s">
        <v>384</v>
      </c>
      <c r="C3404" s="96" t="s">
        <v>847</v>
      </c>
    </row>
    <row r="3405" spans="1:3" ht="15">
      <c r="A3405" s="90" t="s">
        <v>246</v>
      </c>
      <c r="B3405" s="89" t="s">
        <v>2369</v>
      </c>
      <c r="C3405" s="96" t="s">
        <v>847</v>
      </c>
    </row>
    <row r="3406" spans="1:3" ht="15">
      <c r="A3406" s="90" t="s">
        <v>246</v>
      </c>
      <c r="B3406" s="89" t="s">
        <v>2370</v>
      </c>
      <c r="C3406" s="96" t="s">
        <v>847</v>
      </c>
    </row>
    <row r="3407" spans="1:3" ht="15">
      <c r="A3407" s="90" t="s">
        <v>246</v>
      </c>
      <c r="B3407" s="89" t="s">
        <v>2382</v>
      </c>
      <c r="C3407" s="96" t="s">
        <v>847</v>
      </c>
    </row>
    <row r="3408" spans="1:3" ht="15">
      <c r="A3408" s="90" t="s">
        <v>246</v>
      </c>
      <c r="B3408" s="89" t="s">
        <v>3204</v>
      </c>
      <c r="C3408" s="96" t="s">
        <v>847</v>
      </c>
    </row>
    <row r="3409" spans="1:3" ht="15">
      <c r="A3409" s="90" t="s">
        <v>246</v>
      </c>
      <c r="B3409" s="89" t="s">
        <v>3205</v>
      </c>
      <c r="C3409" s="96" t="s">
        <v>847</v>
      </c>
    </row>
    <row r="3410" spans="1:3" ht="15">
      <c r="A3410" s="90" t="s">
        <v>246</v>
      </c>
      <c r="B3410" s="89" t="s">
        <v>2417</v>
      </c>
      <c r="C3410" s="96" t="s">
        <v>847</v>
      </c>
    </row>
    <row r="3411" spans="1:3" ht="15">
      <c r="A3411" s="90" t="s">
        <v>246</v>
      </c>
      <c r="B3411" s="89" t="s">
        <v>3206</v>
      </c>
      <c r="C3411" s="96" t="s">
        <v>847</v>
      </c>
    </row>
    <row r="3412" spans="1:3" ht="15">
      <c r="A3412" s="90" t="s">
        <v>245</v>
      </c>
      <c r="B3412" s="89" t="s">
        <v>384</v>
      </c>
      <c r="C3412" s="96" t="s">
        <v>846</v>
      </c>
    </row>
    <row r="3413" spans="1:3" ht="15">
      <c r="A3413" s="90" t="s">
        <v>245</v>
      </c>
      <c r="B3413" s="89" t="s">
        <v>2932</v>
      </c>
      <c r="C3413" s="96" t="s">
        <v>846</v>
      </c>
    </row>
    <row r="3414" spans="1:3" ht="15">
      <c r="A3414" s="90" t="s">
        <v>245</v>
      </c>
      <c r="B3414" s="89" t="s">
        <v>2883</v>
      </c>
      <c r="C3414" s="96" t="s">
        <v>846</v>
      </c>
    </row>
    <row r="3415" spans="1:3" ht="15">
      <c r="A3415" s="90" t="s">
        <v>245</v>
      </c>
      <c r="B3415" s="89" t="s">
        <v>2290</v>
      </c>
      <c r="C3415" s="96" t="s">
        <v>846</v>
      </c>
    </row>
    <row r="3416" spans="1:3" ht="15">
      <c r="A3416" s="90" t="s">
        <v>245</v>
      </c>
      <c r="B3416" s="89" t="s">
        <v>3207</v>
      </c>
      <c r="C3416" s="96" t="s">
        <v>846</v>
      </c>
    </row>
    <row r="3417" spans="1:3" ht="15">
      <c r="A3417" s="90" t="s">
        <v>245</v>
      </c>
      <c r="B3417" s="89" t="s">
        <v>2369</v>
      </c>
      <c r="C3417" s="96" t="s">
        <v>846</v>
      </c>
    </row>
    <row r="3418" spans="1:3" ht="15">
      <c r="A3418" s="90" t="s">
        <v>245</v>
      </c>
      <c r="B3418" s="89" t="s">
        <v>2370</v>
      </c>
      <c r="C3418" s="96" t="s">
        <v>846</v>
      </c>
    </row>
    <row r="3419" spans="1:3" ht="15">
      <c r="A3419" s="90" t="s">
        <v>244</v>
      </c>
      <c r="B3419" s="89" t="s">
        <v>3208</v>
      </c>
      <c r="C3419" s="96" t="s">
        <v>845</v>
      </c>
    </row>
    <row r="3420" spans="1:3" ht="15">
      <c r="A3420" s="90" t="s">
        <v>244</v>
      </c>
      <c r="B3420" s="89" t="s">
        <v>3209</v>
      </c>
      <c r="C3420" s="96" t="s">
        <v>845</v>
      </c>
    </row>
    <row r="3421" spans="1:3" ht="15">
      <c r="A3421" s="90" t="s">
        <v>244</v>
      </c>
      <c r="B3421" s="89" t="s">
        <v>2369</v>
      </c>
      <c r="C3421" s="96" t="s">
        <v>845</v>
      </c>
    </row>
    <row r="3422" spans="1:3" ht="15">
      <c r="A3422" s="90" t="s">
        <v>244</v>
      </c>
      <c r="B3422" s="89" t="s">
        <v>3210</v>
      </c>
      <c r="C3422" s="96" t="s">
        <v>845</v>
      </c>
    </row>
    <row r="3423" spans="1:3" ht="15">
      <c r="A3423" s="90" t="s">
        <v>244</v>
      </c>
      <c r="B3423" s="89" t="s">
        <v>2584</v>
      </c>
      <c r="C3423" s="96" t="s">
        <v>845</v>
      </c>
    </row>
    <row r="3424" spans="1:3" ht="15">
      <c r="A3424" s="90" t="s">
        <v>244</v>
      </c>
      <c r="B3424" s="89" t="s">
        <v>3211</v>
      </c>
      <c r="C3424" s="96" t="s">
        <v>845</v>
      </c>
    </row>
    <row r="3425" spans="1:3" ht="15">
      <c r="A3425" s="90" t="s">
        <v>244</v>
      </c>
      <c r="B3425" s="89" t="s">
        <v>3212</v>
      </c>
      <c r="C3425" s="96" t="s">
        <v>845</v>
      </c>
    </row>
    <row r="3426" spans="1:3" ht="15">
      <c r="A3426" s="90" t="s">
        <v>244</v>
      </c>
      <c r="B3426" s="89" t="s">
        <v>2156</v>
      </c>
      <c r="C3426" s="96" t="s">
        <v>845</v>
      </c>
    </row>
    <row r="3427" spans="1:3" ht="15">
      <c r="A3427" s="90" t="s">
        <v>244</v>
      </c>
      <c r="B3427" s="89" t="s">
        <v>3213</v>
      </c>
      <c r="C3427" s="96" t="s">
        <v>845</v>
      </c>
    </row>
    <row r="3428" spans="1:3" ht="15">
      <c r="A3428" s="90" t="s">
        <v>244</v>
      </c>
      <c r="B3428" s="89" t="s">
        <v>3214</v>
      </c>
      <c r="C3428" s="96" t="s">
        <v>845</v>
      </c>
    </row>
    <row r="3429" spans="1:3" ht="15">
      <c r="A3429" s="90" t="s">
        <v>244</v>
      </c>
      <c r="B3429" s="89" t="s">
        <v>2376</v>
      </c>
      <c r="C3429" s="96" t="s">
        <v>845</v>
      </c>
    </row>
    <row r="3430" spans="1:3" ht="15">
      <c r="A3430" s="90" t="s">
        <v>244</v>
      </c>
      <c r="B3430" s="89" t="s">
        <v>3215</v>
      </c>
      <c r="C3430" s="96" t="s">
        <v>845</v>
      </c>
    </row>
    <row r="3431" spans="1:3" ht="15">
      <c r="A3431" s="90" t="s">
        <v>244</v>
      </c>
      <c r="B3431" s="89" t="s">
        <v>3216</v>
      </c>
      <c r="C3431" s="96" t="s">
        <v>845</v>
      </c>
    </row>
    <row r="3432" spans="1:3" ht="15">
      <c r="A3432" s="90" t="s">
        <v>244</v>
      </c>
      <c r="B3432" s="89" t="s">
        <v>3217</v>
      </c>
      <c r="C3432" s="96" t="s">
        <v>845</v>
      </c>
    </row>
    <row r="3433" spans="1:3" ht="15">
      <c r="A3433" s="90" t="s">
        <v>244</v>
      </c>
      <c r="B3433" s="89" t="s">
        <v>3218</v>
      </c>
      <c r="C3433" s="96" t="s">
        <v>845</v>
      </c>
    </row>
    <row r="3434" spans="1:3" ht="15">
      <c r="A3434" s="90" t="s">
        <v>244</v>
      </c>
      <c r="B3434" s="89" t="s">
        <v>3219</v>
      </c>
      <c r="C3434" s="96" t="s">
        <v>845</v>
      </c>
    </row>
    <row r="3435" spans="1:3" ht="15">
      <c r="A3435" s="90" t="s">
        <v>244</v>
      </c>
      <c r="B3435" s="89" t="s">
        <v>2370</v>
      </c>
      <c r="C3435" s="96" t="s">
        <v>845</v>
      </c>
    </row>
    <row r="3436" spans="1:3" ht="15">
      <c r="A3436" s="90" t="s">
        <v>244</v>
      </c>
      <c r="B3436" s="89" t="s">
        <v>2472</v>
      </c>
      <c r="C3436" s="96" t="s">
        <v>845</v>
      </c>
    </row>
    <row r="3437" spans="1:3" ht="15">
      <c r="A3437" s="90" t="s">
        <v>244</v>
      </c>
      <c r="B3437" s="89" t="s">
        <v>3220</v>
      </c>
      <c r="C3437" s="96" t="s">
        <v>845</v>
      </c>
    </row>
    <row r="3438" spans="1:3" ht="15">
      <c r="A3438" s="90" t="s">
        <v>244</v>
      </c>
      <c r="B3438" s="89" t="s">
        <v>2317</v>
      </c>
      <c r="C3438" s="96" t="s">
        <v>845</v>
      </c>
    </row>
    <row r="3439" spans="1:3" ht="15">
      <c r="A3439" s="90" t="s">
        <v>244</v>
      </c>
      <c r="B3439" s="89" t="s">
        <v>3221</v>
      </c>
      <c r="C3439" s="96" t="s">
        <v>845</v>
      </c>
    </row>
    <row r="3440" spans="1:3" ht="15">
      <c r="A3440" s="90" t="s">
        <v>244</v>
      </c>
      <c r="B3440" s="89" t="s">
        <v>3222</v>
      </c>
      <c r="C3440" s="96" t="s">
        <v>845</v>
      </c>
    </row>
    <row r="3441" spans="1:3" ht="15">
      <c r="A3441" s="90" t="s">
        <v>244</v>
      </c>
      <c r="B3441" s="89" t="s">
        <v>3223</v>
      </c>
      <c r="C3441" s="96" t="s">
        <v>845</v>
      </c>
    </row>
    <row r="3442" spans="1:3" ht="15">
      <c r="A3442" s="90" t="s">
        <v>244</v>
      </c>
      <c r="B3442" s="89" t="s">
        <v>3224</v>
      </c>
      <c r="C3442" s="96" t="s">
        <v>845</v>
      </c>
    </row>
    <row r="3443" spans="1:3" ht="15">
      <c r="A3443" s="90" t="s">
        <v>244</v>
      </c>
      <c r="B3443" s="89" t="s">
        <v>3225</v>
      </c>
      <c r="C3443" s="96" t="s">
        <v>845</v>
      </c>
    </row>
    <row r="3444" spans="1:3" ht="15">
      <c r="A3444" s="90" t="s">
        <v>244</v>
      </c>
      <c r="B3444" s="89" t="s">
        <v>2579</v>
      </c>
      <c r="C3444" s="96" t="s">
        <v>845</v>
      </c>
    </row>
    <row r="3445" spans="1:3" ht="15">
      <c r="A3445" s="90" t="s">
        <v>244</v>
      </c>
      <c r="B3445" s="89" t="s">
        <v>3226</v>
      </c>
      <c r="C3445" s="96" t="s">
        <v>845</v>
      </c>
    </row>
    <row r="3446" spans="1:3" ht="15">
      <c r="A3446" s="90" t="s">
        <v>244</v>
      </c>
      <c r="B3446" s="89" t="s">
        <v>3227</v>
      </c>
      <c r="C3446" s="96" t="s">
        <v>845</v>
      </c>
    </row>
    <row r="3447" spans="1:3" ht="15">
      <c r="A3447" s="90" t="s">
        <v>244</v>
      </c>
      <c r="B3447" s="89">
        <v>20</v>
      </c>
      <c r="C3447" s="96" t="s">
        <v>845</v>
      </c>
    </row>
    <row r="3448" spans="1:3" ht="15">
      <c r="A3448" s="90" t="s">
        <v>244</v>
      </c>
      <c r="B3448" s="89" t="s">
        <v>3228</v>
      </c>
      <c r="C3448" s="96" t="s">
        <v>845</v>
      </c>
    </row>
    <row r="3449" spans="1:3" ht="15">
      <c r="A3449" s="90" t="s">
        <v>244</v>
      </c>
      <c r="B3449" s="89" t="s">
        <v>3229</v>
      </c>
      <c r="C3449" s="96" t="s">
        <v>845</v>
      </c>
    </row>
    <row r="3450" spans="1:3" ht="15">
      <c r="A3450" s="90" t="s">
        <v>244</v>
      </c>
      <c r="B3450" s="89" t="s">
        <v>3230</v>
      </c>
      <c r="C3450" s="96" t="s">
        <v>845</v>
      </c>
    </row>
    <row r="3451" spans="1:3" ht="15">
      <c r="A3451" s="90" t="s">
        <v>243</v>
      </c>
      <c r="B3451" s="89" t="s">
        <v>2369</v>
      </c>
      <c r="C3451" s="96" t="s">
        <v>844</v>
      </c>
    </row>
    <row r="3452" spans="1:3" ht="15">
      <c r="A3452" s="90" t="s">
        <v>243</v>
      </c>
      <c r="B3452" s="89" t="s">
        <v>2370</v>
      </c>
      <c r="C3452" s="96" t="s">
        <v>844</v>
      </c>
    </row>
    <row r="3453" spans="1:3" ht="15">
      <c r="A3453" s="90" t="s">
        <v>243</v>
      </c>
      <c r="B3453" s="89" t="s">
        <v>2399</v>
      </c>
      <c r="C3453" s="96" t="s">
        <v>844</v>
      </c>
    </row>
    <row r="3454" spans="1:3" ht="15">
      <c r="A3454" s="90" t="s">
        <v>243</v>
      </c>
      <c r="B3454" s="89" t="s">
        <v>2110</v>
      </c>
      <c r="C3454" s="96" t="s">
        <v>844</v>
      </c>
    </row>
    <row r="3455" spans="1:3" ht="15">
      <c r="A3455" s="90" t="s">
        <v>243</v>
      </c>
      <c r="B3455" s="89" t="s">
        <v>2125</v>
      </c>
      <c r="C3455" s="96" t="s">
        <v>844</v>
      </c>
    </row>
    <row r="3456" spans="1:3" ht="15">
      <c r="A3456" s="90" t="s">
        <v>243</v>
      </c>
      <c r="B3456" s="89" t="s">
        <v>2400</v>
      </c>
      <c r="C3456" s="96" t="s">
        <v>844</v>
      </c>
    </row>
    <row r="3457" spans="1:3" ht="15">
      <c r="A3457" s="90" t="s">
        <v>243</v>
      </c>
      <c r="B3457" s="89" t="s">
        <v>2127</v>
      </c>
      <c r="C3457" s="96" t="s">
        <v>844</v>
      </c>
    </row>
    <row r="3458" spans="1:3" ht="15">
      <c r="A3458" s="90" t="s">
        <v>243</v>
      </c>
      <c r="B3458" s="89" t="s">
        <v>2401</v>
      </c>
      <c r="C3458" s="96" t="s">
        <v>844</v>
      </c>
    </row>
    <row r="3459" spans="1:3" ht="15">
      <c r="A3459" s="90" t="s">
        <v>243</v>
      </c>
      <c r="B3459" s="89" t="s">
        <v>2402</v>
      </c>
      <c r="C3459" s="96" t="s">
        <v>844</v>
      </c>
    </row>
    <row r="3460" spans="1:3" ht="15">
      <c r="A3460" s="90" t="s">
        <v>243</v>
      </c>
      <c r="B3460" s="89" t="s">
        <v>2403</v>
      </c>
      <c r="C3460" s="96" t="s">
        <v>844</v>
      </c>
    </row>
    <row r="3461" spans="1:3" ht="15">
      <c r="A3461" s="90" t="s">
        <v>243</v>
      </c>
      <c r="B3461" s="89" t="s">
        <v>2404</v>
      </c>
      <c r="C3461" s="96" t="s">
        <v>844</v>
      </c>
    </row>
    <row r="3462" spans="1:3" ht="15">
      <c r="A3462" s="90" t="s">
        <v>243</v>
      </c>
      <c r="B3462" s="89" t="s">
        <v>2115</v>
      </c>
      <c r="C3462" s="96" t="s">
        <v>844</v>
      </c>
    </row>
    <row r="3463" spans="1:3" ht="15">
      <c r="A3463" s="90" t="s">
        <v>243</v>
      </c>
      <c r="B3463" s="89" t="s">
        <v>2116</v>
      </c>
      <c r="C3463" s="96" t="s">
        <v>844</v>
      </c>
    </row>
    <row r="3464" spans="1:3" ht="15">
      <c r="A3464" s="90" t="s">
        <v>243</v>
      </c>
      <c r="B3464" s="89" t="s">
        <v>2117</v>
      </c>
      <c r="C3464" s="96" t="s">
        <v>844</v>
      </c>
    </row>
    <row r="3465" spans="1:3" ht="15">
      <c r="A3465" s="90" t="s">
        <v>243</v>
      </c>
      <c r="B3465" s="89" t="s">
        <v>2118</v>
      </c>
      <c r="C3465" s="96" t="s">
        <v>844</v>
      </c>
    </row>
    <row r="3466" spans="1:3" ht="15">
      <c r="A3466" s="90" t="s">
        <v>243</v>
      </c>
      <c r="B3466" s="89" t="s">
        <v>2119</v>
      </c>
      <c r="C3466" s="96" t="s">
        <v>844</v>
      </c>
    </row>
    <row r="3467" spans="1:3" ht="15">
      <c r="A3467" s="90" t="s">
        <v>243</v>
      </c>
      <c r="B3467" s="89" t="s">
        <v>2129</v>
      </c>
      <c r="C3467" s="96" t="s">
        <v>844</v>
      </c>
    </row>
    <row r="3468" spans="1:3" ht="15">
      <c r="A3468" s="90" t="s">
        <v>243</v>
      </c>
      <c r="B3468" s="89" t="s">
        <v>2120</v>
      </c>
      <c r="C3468" s="96" t="s">
        <v>844</v>
      </c>
    </row>
    <row r="3469" spans="1:3" ht="15">
      <c r="A3469" s="90" t="s">
        <v>243</v>
      </c>
      <c r="B3469" s="89" t="s">
        <v>2121</v>
      </c>
      <c r="C3469" s="96" t="s">
        <v>844</v>
      </c>
    </row>
    <row r="3470" spans="1:3" ht="15">
      <c r="A3470" s="90" t="s">
        <v>243</v>
      </c>
      <c r="B3470" s="89" t="s">
        <v>2122</v>
      </c>
      <c r="C3470" s="96" t="s">
        <v>844</v>
      </c>
    </row>
    <row r="3471" spans="1:3" ht="15">
      <c r="A3471" s="90" t="s">
        <v>243</v>
      </c>
      <c r="B3471" s="89" t="s">
        <v>2130</v>
      </c>
      <c r="C3471" s="96" t="s">
        <v>844</v>
      </c>
    </row>
    <row r="3472" spans="1:3" ht="15">
      <c r="A3472" s="90" t="s">
        <v>243</v>
      </c>
      <c r="B3472" s="89" t="s">
        <v>2131</v>
      </c>
      <c r="C3472" s="96" t="s">
        <v>844</v>
      </c>
    </row>
    <row r="3473" spans="1:3" ht="15">
      <c r="A3473" s="90" t="s">
        <v>243</v>
      </c>
      <c r="B3473" s="89" t="s">
        <v>2123</v>
      </c>
      <c r="C3473" s="96" t="s">
        <v>844</v>
      </c>
    </row>
    <row r="3474" spans="1:3" ht="15">
      <c r="A3474" s="90" t="s">
        <v>243</v>
      </c>
      <c r="B3474" s="89" t="s">
        <v>2114</v>
      </c>
      <c r="C3474" s="96" t="s">
        <v>844</v>
      </c>
    </row>
    <row r="3475" spans="1:3" ht="15">
      <c r="A3475" s="90" t="s">
        <v>242</v>
      </c>
      <c r="B3475" s="89" t="s">
        <v>416</v>
      </c>
      <c r="C3475" s="96" t="s">
        <v>843</v>
      </c>
    </row>
    <row r="3476" spans="1:3" ht="15">
      <c r="A3476" s="90" t="s">
        <v>242</v>
      </c>
      <c r="B3476" s="89" t="s">
        <v>3231</v>
      </c>
      <c r="C3476" s="96" t="s">
        <v>843</v>
      </c>
    </row>
    <row r="3477" spans="1:3" ht="15">
      <c r="A3477" s="90" t="s">
        <v>242</v>
      </c>
      <c r="B3477" s="89" t="s">
        <v>3232</v>
      </c>
      <c r="C3477" s="96" t="s">
        <v>843</v>
      </c>
    </row>
    <row r="3478" spans="1:3" ht="15">
      <c r="A3478" s="90" t="s">
        <v>242</v>
      </c>
      <c r="B3478" s="89" t="s">
        <v>3233</v>
      </c>
      <c r="C3478" s="96" t="s">
        <v>843</v>
      </c>
    </row>
    <row r="3479" spans="1:3" ht="15">
      <c r="A3479" s="90" t="s">
        <v>242</v>
      </c>
      <c r="B3479" s="89" t="s">
        <v>3234</v>
      </c>
      <c r="C3479" s="96" t="s">
        <v>843</v>
      </c>
    </row>
    <row r="3480" spans="1:3" ht="15">
      <c r="A3480" s="90" t="s">
        <v>242</v>
      </c>
      <c r="B3480" s="89" t="s">
        <v>3235</v>
      </c>
      <c r="C3480" s="96" t="s">
        <v>843</v>
      </c>
    </row>
    <row r="3481" spans="1:3" ht="15">
      <c r="A3481" s="90" t="s">
        <v>242</v>
      </c>
      <c r="B3481" s="89" t="s">
        <v>2304</v>
      </c>
      <c r="C3481" s="96" t="s">
        <v>843</v>
      </c>
    </row>
    <row r="3482" spans="1:3" ht="15">
      <c r="A3482" s="90" t="s">
        <v>242</v>
      </c>
      <c r="B3482" s="89" t="s">
        <v>2361</v>
      </c>
      <c r="C3482" s="96" t="s">
        <v>843</v>
      </c>
    </row>
    <row r="3483" spans="1:3" ht="15">
      <c r="A3483" s="90" t="s">
        <v>242</v>
      </c>
      <c r="B3483" s="89" t="s">
        <v>3236</v>
      </c>
      <c r="C3483" s="96" t="s">
        <v>843</v>
      </c>
    </row>
    <row r="3484" spans="1:3" ht="15">
      <c r="A3484" s="90" t="s">
        <v>242</v>
      </c>
      <c r="B3484" s="89" t="s">
        <v>3237</v>
      </c>
      <c r="C3484" s="96" t="s">
        <v>843</v>
      </c>
    </row>
    <row r="3485" spans="1:3" ht="15">
      <c r="A3485" s="90" t="s">
        <v>242</v>
      </c>
      <c r="B3485" s="89" t="s">
        <v>3238</v>
      </c>
      <c r="C3485" s="96" t="s">
        <v>843</v>
      </c>
    </row>
    <row r="3486" spans="1:3" ht="15">
      <c r="A3486" s="90" t="s">
        <v>242</v>
      </c>
      <c r="B3486" s="89" t="s">
        <v>2374</v>
      </c>
      <c r="C3486" s="96" t="s">
        <v>843</v>
      </c>
    </row>
    <row r="3487" spans="1:3" ht="15">
      <c r="A3487" s="90" t="s">
        <v>242</v>
      </c>
      <c r="B3487" s="89" t="s">
        <v>2381</v>
      </c>
      <c r="C3487" s="96" t="s">
        <v>843</v>
      </c>
    </row>
    <row r="3488" spans="1:3" ht="15">
      <c r="A3488" s="90" t="s">
        <v>242</v>
      </c>
      <c r="B3488" s="89" t="s">
        <v>3239</v>
      </c>
      <c r="C3488" s="96" t="s">
        <v>843</v>
      </c>
    </row>
    <row r="3489" spans="1:3" ht="15">
      <c r="A3489" s="90" t="s">
        <v>242</v>
      </c>
      <c r="B3489" s="89" t="s">
        <v>2678</v>
      </c>
      <c r="C3489" s="96" t="s">
        <v>843</v>
      </c>
    </row>
    <row r="3490" spans="1:3" ht="15">
      <c r="A3490" s="90" t="s">
        <v>242</v>
      </c>
      <c r="B3490" s="89" t="s">
        <v>3240</v>
      </c>
      <c r="C3490" s="96" t="s">
        <v>843</v>
      </c>
    </row>
    <row r="3491" spans="1:3" ht="15">
      <c r="A3491" s="90" t="s">
        <v>242</v>
      </c>
      <c r="B3491" s="89" t="s">
        <v>3241</v>
      </c>
      <c r="C3491" s="96" t="s">
        <v>843</v>
      </c>
    </row>
    <row r="3492" spans="1:3" ht="15">
      <c r="A3492" s="90" t="s">
        <v>242</v>
      </c>
      <c r="B3492" s="89" t="s">
        <v>2715</v>
      </c>
      <c r="C3492" s="96" t="s">
        <v>843</v>
      </c>
    </row>
    <row r="3493" spans="1:3" ht="15">
      <c r="A3493" s="90" t="s">
        <v>242</v>
      </c>
      <c r="B3493" s="89" t="s">
        <v>2939</v>
      </c>
      <c r="C3493" s="96" t="s">
        <v>843</v>
      </c>
    </row>
    <row r="3494" spans="1:3" ht="15">
      <c r="A3494" s="90" t="s">
        <v>242</v>
      </c>
      <c r="B3494" s="89" t="s">
        <v>3242</v>
      </c>
      <c r="C3494" s="96" t="s">
        <v>843</v>
      </c>
    </row>
    <row r="3495" spans="1:3" ht="15">
      <c r="A3495" s="90" t="s">
        <v>242</v>
      </c>
      <c r="B3495" s="89" t="s">
        <v>3243</v>
      </c>
      <c r="C3495" s="96" t="s">
        <v>843</v>
      </c>
    </row>
    <row r="3496" spans="1:3" ht="15">
      <c r="A3496" s="90" t="s">
        <v>242</v>
      </c>
      <c r="B3496" s="89" t="s">
        <v>3244</v>
      </c>
      <c r="C3496" s="96" t="s">
        <v>843</v>
      </c>
    </row>
    <row r="3497" spans="1:3" ht="15">
      <c r="A3497" s="90" t="s">
        <v>242</v>
      </c>
      <c r="B3497" s="89" t="s">
        <v>3245</v>
      </c>
      <c r="C3497" s="96" t="s">
        <v>843</v>
      </c>
    </row>
    <row r="3498" spans="1:3" ht="15">
      <c r="A3498" s="90" t="s">
        <v>242</v>
      </c>
      <c r="B3498" s="89" t="s">
        <v>3246</v>
      </c>
      <c r="C3498" s="96" t="s">
        <v>843</v>
      </c>
    </row>
    <row r="3499" spans="1:3" ht="15">
      <c r="A3499" s="90" t="s">
        <v>242</v>
      </c>
      <c r="B3499" s="89" t="s">
        <v>2185</v>
      </c>
      <c r="C3499" s="96" t="s">
        <v>843</v>
      </c>
    </row>
    <row r="3500" spans="1:3" ht="15">
      <c r="A3500" s="90" t="s">
        <v>242</v>
      </c>
      <c r="B3500" s="89" t="s">
        <v>3247</v>
      </c>
      <c r="C3500" s="96" t="s">
        <v>843</v>
      </c>
    </row>
    <row r="3501" spans="1:3" ht="15">
      <c r="A3501" s="90" t="s">
        <v>242</v>
      </c>
      <c r="B3501" s="89" t="s">
        <v>3248</v>
      </c>
      <c r="C3501" s="96" t="s">
        <v>843</v>
      </c>
    </row>
    <row r="3502" spans="1:3" ht="15">
      <c r="A3502" s="90" t="s">
        <v>242</v>
      </c>
      <c r="B3502" s="89" t="s">
        <v>3249</v>
      </c>
      <c r="C3502" s="96" t="s">
        <v>843</v>
      </c>
    </row>
    <row r="3503" spans="1:3" ht="15">
      <c r="A3503" s="90" t="s">
        <v>242</v>
      </c>
      <c r="B3503" s="89" t="s">
        <v>2369</v>
      </c>
      <c r="C3503" s="96" t="s">
        <v>843</v>
      </c>
    </row>
    <row r="3504" spans="1:3" ht="15">
      <c r="A3504" s="90" t="s">
        <v>242</v>
      </c>
      <c r="B3504" s="89" t="s">
        <v>3250</v>
      </c>
      <c r="C3504" s="96" t="s">
        <v>843</v>
      </c>
    </row>
    <row r="3505" spans="1:3" ht="15">
      <c r="A3505" s="90" t="s">
        <v>242</v>
      </c>
      <c r="B3505" s="89" t="s">
        <v>3251</v>
      </c>
      <c r="C3505" s="96" t="s">
        <v>843</v>
      </c>
    </row>
    <row r="3506" spans="1:3" ht="15">
      <c r="A3506" s="90" t="s">
        <v>242</v>
      </c>
      <c r="B3506" s="89" t="s">
        <v>3252</v>
      </c>
      <c r="C3506" s="96" t="s">
        <v>843</v>
      </c>
    </row>
    <row r="3507" spans="1:3" ht="15">
      <c r="A3507" s="90" t="s">
        <v>242</v>
      </c>
      <c r="B3507" s="89" t="s">
        <v>3253</v>
      </c>
      <c r="C3507" s="96" t="s">
        <v>843</v>
      </c>
    </row>
    <row r="3508" spans="1:3" ht="15">
      <c r="A3508" s="90" t="s">
        <v>242</v>
      </c>
      <c r="B3508" s="89" t="s">
        <v>2986</v>
      </c>
      <c r="C3508" s="96" t="s">
        <v>843</v>
      </c>
    </row>
    <row r="3509" spans="1:3" ht="15">
      <c r="A3509" s="90" t="s">
        <v>242</v>
      </c>
      <c r="B3509" s="89" t="s">
        <v>3254</v>
      </c>
      <c r="C3509" s="96" t="s">
        <v>843</v>
      </c>
    </row>
    <row r="3510" spans="1:3" ht="15">
      <c r="A3510" s="90" t="s">
        <v>242</v>
      </c>
      <c r="B3510" s="89" t="s">
        <v>3255</v>
      </c>
      <c r="C3510" s="96" t="s">
        <v>843</v>
      </c>
    </row>
    <row r="3511" spans="1:3" ht="15">
      <c r="A3511" s="90" t="s">
        <v>241</v>
      </c>
      <c r="B3511" s="89" t="s">
        <v>2360</v>
      </c>
      <c r="C3511" s="96" t="s">
        <v>842</v>
      </c>
    </row>
    <row r="3512" spans="1:3" ht="15">
      <c r="A3512" s="90" t="s">
        <v>241</v>
      </c>
      <c r="B3512" s="89" t="s">
        <v>2159</v>
      </c>
      <c r="C3512" s="96" t="s">
        <v>842</v>
      </c>
    </row>
    <row r="3513" spans="1:3" ht="15">
      <c r="A3513" s="90" t="s">
        <v>241</v>
      </c>
      <c r="B3513" s="89" t="s">
        <v>2160</v>
      </c>
      <c r="C3513" s="96" t="s">
        <v>842</v>
      </c>
    </row>
    <row r="3514" spans="1:3" ht="15">
      <c r="A3514" s="90" t="s">
        <v>241</v>
      </c>
      <c r="B3514" s="89" t="s">
        <v>2442</v>
      </c>
      <c r="C3514" s="96" t="s">
        <v>842</v>
      </c>
    </row>
    <row r="3515" spans="1:3" ht="15">
      <c r="A3515" s="90" t="s">
        <v>241</v>
      </c>
      <c r="B3515" s="89" t="s">
        <v>2584</v>
      </c>
      <c r="C3515" s="96" t="s">
        <v>842</v>
      </c>
    </row>
    <row r="3516" spans="1:3" ht="15">
      <c r="A3516" s="90" t="s">
        <v>241</v>
      </c>
      <c r="B3516" s="89" t="s">
        <v>2428</v>
      </c>
      <c r="C3516" s="96" t="s">
        <v>842</v>
      </c>
    </row>
    <row r="3517" spans="1:3" ht="15">
      <c r="A3517" s="90" t="s">
        <v>241</v>
      </c>
      <c r="B3517" s="89" t="s">
        <v>2585</v>
      </c>
      <c r="C3517" s="96" t="s">
        <v>842</v>
      </c>
    </row>
    <row r="3518" spans="1:3" ht="15">
      <c r="A3518" s="90" t="s">
        <v>241</v>
      </c>
      <c r="B3518" s="89" t="s">
        <v>2109</v>
      </c>
      <c r="C3518" s="96" t="s">
        <v>842</v>
      </c>
    </row>
    <row r="3519" spans="1:3" ht="15">
      <c r="A3519" s="90" t="s">
        <v>241</v>
      </c>
      <c r="B3519" s="89" t="s">
        <v>2586</v>
      </c>
      <c r="C3519" s="96" t="s">
        <v>842</v>
      </c>
    </row>
    <row r="3520" spans="1:3" ht="15">
      <c r="A3520" s="90" t="s">
        <v>241</v>
      </c>
      <c r="B3520" s="89" t="s">
        <v>2158</v>
      </c>
      <c r="C3520" s="96" t="s">
        <v>842</v>
      </c>
    </row>
    <row r="3521" spans="1:3" ht="15">
      <c r="A3521" s="90" t="s">
        <v>241</v>
      </c>
      <c r="B3521" s="89" t="s">
        <v>2162</v>
      </c>
      <c r="C3521" s="96" t="s">
        <v>842</v>
      </c>
    </row>
    <row r="3522" spans="1:3" ht="15">
      <c r="A3522" s="90" t="s">
        <v>241</v>
      </c>
      <c r="B3522" s="89" t="s">
        <v>2587</v>
      </c>
      <c r="C3522" s="96" t="s">
        <v>842</v>
      </c>
    </row>
    <row r="3523" spans="1:3" ht="15">
      <c r="A3523" s="90" t="s">
        <v>241</v>
      </c>
      <c r="B3523" s="89" t="s">
        <v>2588</v>
      </c>
      <c r="C3523" s="96" t="s">
        <v>842</v>
      </c>
    </row>
    <row r="3524" spans="1:3" ht="15">
      <c r="A3524" s="90" t="s">
        <v>241</v>
      </c>
      <c r="B3524" s="89" t="s">
        <v>2589</v>
      </c>
      <c r="C3524" s="96" t="s">
        <v>842</v>
      </c>
    </row>
    <row r="3525" spans="1:3" ht="15">
      <c r="A3525" s="90" t="s">
        <v>241</v>
      </c>
      <c r="B3525" s="89" t="s">
        <v>2369</v>
      </c>
      <c r="C3525" s="96" t="s">
        <v>842</v>
      </c>
    </row>
    <row r="3526" spans="1:3" ht="15">
      <c r="A3526" s="90" t="s">
        <v>241</v>
      </c>
      <c r="B3526" s="89" t="s">
        <v>2376</v>
      </c>
      <c r="C3526" s="96" t="s">
        <v>842</v>
      </c>
    </row>
    <row r="3527" spans="1:3" ht="15">
      <c r="A3527" s="90" t="s">
        <v>241</v>
      </c>
      <c r="B3527" s="89" t="s">
        <v>2590</v>
      </c>
      <c r="C3527" s="96" t="s">
        <v>842</v>
      </c>
    </row>
    <row r="3528" spans="1:3" ht="15">
      <c r="A3528" s="90" t="s">
        <v>241</v>
      </c>
      <c r="B3528" s="89" t="s">
        <v>2165</v>
      </c>
      <c r="C3528" s="96" t="s">
        <v>842</v>
      </c>
    </row>
    <row r="3529" spans="1:3" ht="15">
      <c r="A3529" s="90" t="s">
        <v>241</v>
      </c>
      <c r="B3529" s="89" t="s">
        <v>2591</v>
      </c>
      <c r="C3529" s="96" t="s">
        <v>842</v>
      </c>
    </row>
    <row r="3530" spans="1:3" ht="15">
      <c r="A3530" s="90" t="s">
        <v>241</v>
      </c>
      <c r="B3530" s="89" t="s">
        <v>2167</v>
      </c>
      <c r="C3530" s="96" t="s">
        <v>842</v>
      </c>
    </row>
    <row r="3531" spans="1:3" ht="15">
      <c r="A3531" s="90" t="s">
        <v>241</v>
      </c>
      <c r="B3531" s="89" t="s">
        <v>2168</v>
      </c>
      <c r="C3531" s="96" t="s">
        <v>842</v>
      </c>
    </row>
    <row r="3532" spans="1:3" ht="15">
      <c r="A3532" s="90" t="s">
        <v>241</v>
      </c>
      <c r="B3532" s="89" t="s">
        <v>2169</v>
      </c>
      <c r="C3532" s="96" t="s">
        <v>842</v>
      </c>
    </row>
    <row r="3533" spans="1:3" ht="15">
      <c r="A3533" s="90" t="s">
        <v>241</v>
      </c>
      <c r="B3533" s="89" t="s">
        <v>2170</v>
      </c>
      <c r="C3533" s="96" t="s">
        <v>842</v>
      </c>
    </row>
    <row r="3534" spans="1:3" ht="15">
      <c r="A3534" s="90" t="s">
        <v>241</v>
      </c>
      <c r="B3534" s="89" t="s">
        <v>2361</v>
      </c>
      <c r="C3534" s="96" t="s">
        <v>842</v>
      </c>
    </row>
    <row r="3535" spans="1:3" ht="15">
      <c r="A3535" s="90" t="s">
        <v>241</v>
      </c>
      <c r="B3535" s="89" t="s">
        <v>2171</v>
      </c>
      <c r="C3535" s="96" t="s">
        <v>842</v>
      </c>
    </row>
    <row r="3536" spans="1:3" ht="15">
      <c r="A3536" s="90" t="s">
        <v>241</v>
      </c>
      <c r="B3536" s="89" t="s">
        <v>2172</v>
      </c>
      <c r="C3536" s="96" t="s">
        <v>842</v>
      </c>
    </row>
    <row r="3537" spans="1:3" ht="15">
      <c r="A3537" s="90" t="s">
        <v>241</v>
      </c>
      <c r="B3537" s="89" t="s">
        <v>2173</v>
      </c>
      <c r="C3537" s="96" t="s">
        <v>842</v>
      </c>
    </row>
    <row r="3538" spans="1:3" ht="15">
      <c r="A3538" s="90" t="s">
        <v>241</v>
      </c>
      <c r="B3538" s="89" t="s">
        <v>2592</v>
      </c>
      <c r="C3538" s="96" t="s">
        <v>842</v>
      </c>
    </row>
    <row r="3539" spans="1:3" ht="15">
      <c r="A3539" s="90" t="s">
        <v>241</v>
      </c>
      <c r="B3539" s="89" t="s">
        <v>2174</v>
      </c>
      <c r="C3539" s="96" t="s">
        <v>842</v>
      </c>
    </row>
    <row r="3540" spans="1:3" ht="15">
      <c r="A3540" s="90" t="s">
        <v>240</v>
      </c>
      <c r="B3540" s="89" t="s">
        <v>2360</v>
      </c>
      <c r="C3540" s="96" t="s">
        <v>841</v>
      </c>
    </row>
    <row r="3541" spans="1:3" ht="15">
      <c r="A3541" s="90" t="s">
        <v>240</v>
      </c>
      <c r="B3541" s="89" t="s">
        <v>2159</v>
      </c>
      <c r="C3541" s="96" t="s">
        <v>841</v>
      </c>
    </row>
    <row r="3542" spans="1:3" ht="15">
      <c r="A3542" s="90" t="s">
        <v>240</v>
      </c>
      <c r="B3542" s="89" t="s">
        <v>2160</v>
      </c>
      <c r="C3542" s="96" t="s">
        <v>841</v>
      </c>
    </row>
    <row r="3543" spans="1:3" ht="15">
      <c r="A3543" s="90" t="s">
        <v>240</v>
      </c>
      <c r="B3543" s="89" t="s">
        <v>2442</v>
      </c>
      <c r="C3543" s="96" t="s">
        <v>841</v>
      </c>
    </row>
    <row r="3544" spans="1:3" ht="15">
      <c r="A3544" s="90" t="s">
        <v>240</v>
      </c>
      <c r="B3544" s="89" t="s">
        <v>2584</v>
      </c>
      <c r="C3544" s="96" t="s">
        <v>841</v>
      </c>
    </row>
    <row r="3545" spans="1:3" ht="15">
      <c r="A3545" s="90" t="s">
        <v>240</v>
      </c>
      <c r="B3545" s="89" t="s">
        <v>2428</v>
      </c>
      <c r="C3545" s="96" t="s">
        <v>841</v>
      </c>
    </row>
    <row r="3546" spans="1:3" ht="15">
      <c r="A3546" s="90" t="s">
        <v>240</v>
      </c>
      <c r="B3546" s="89" t="s">
        <v>2585</v>
      </c>
      <c r="C3546" s="96" t="s">
        <v>841</v>
      </c>
    </row>
    <row r="3547" spans="1:3" ht="15">
      <c r="A3547" s="90" t="s">
        <v>240</v>
      </c>
      <c r="B3547" s="89" t="s">
        <v>2109</v>
      </c>
      <c r="C3547" s="96" t="s">
        <v>841</v>
      </c>
    </row>
    <row r="3548" spans="1:3" ht="15">
      <c r="A3548" s="90" t="s">
        <v>240</v>
      </c>
      <c r="B3548" s="89" t="s">
        <v>2586</v>
      </c>
      <c r="C3548" s="96" t="s">
        <v>841</v>
      </c>
    </row>
    <row r="3549" spans="1:3" ht="15">
      <c r="A3549" s="90" t="s">
        <v>240</v>
      </c>
      <c r="B3549" s="89" t="s">
        <v>2158</v>
      </c>
      <c r="C3549" s="96" t="s">
        <v>841</v>
      </c>
    </row>
    <row r="3550" spans="1:3" ht="15">
      <c r="A3550" s="90" t="s">
        <v>240</v>
      </c>
      <c r="B3550" s="89" t="s">
        <v>2162</v>
      </c>
      <c r="C3550" s="96" t="s">
        <v>841</v>
      </c>
    </row>
    <row r="3551" spans="1:3" ht="15">
      <c r="A3551" s="90" t="s">
        <v>240</v>
      </c>
      <c r="B3551" s="89" t="s">
        <v>2587</v>
      </c>
      <c r="C3551" s="96" t="s">
        <v>841</v>
      </c>
    </row>
    <row r="3552" spans="1:3" ht="15">
      <c r="A3552" s="90" t="s">
        <v>240</v>
      </c>
      <c r="B3552" s="89" t="s">
        <v>2588</v>
      </c>
      <c r="C3552" s="96" t="s">
        <v>841</v>
      </c>
    </row>
    <row r="3553" spans="1:3" ht="15">
      <c r="A3553" s="90" t="s">
        <v>240</v>
      </c>
      <c r="B3553" s="89" t="s">
        <v>2589</v>
      </c>
      <c r="C3553" s="96" t="s">
        <v>841</v>
      </c>
    </row>
    <row r="3554" spans="1:3" ht="15">
      <c r="A3554" s="90" t="s">
        <v>240</v>
      </c>
      <c r="B3554" s="89" t="s">
        <v>2369</v>
      </c>
      <c r="C3554" s="96" t="s">
        <v>841</v>
      </c>
    </row>
    <row r="3555" spans="1:3" ht="15">
      <c r="A3555" s="90" t="s">
        <v>240</v>
      </c>
      <c r="B3555" s="89" t="s">
        <v>2376</v>
      </c>
      <c r="C3555" s="96" t="s">
        <v>841</v>
      </c>
    </row>
    <row r="3556" spans="1:3" ht="15">
      <c r="A3556" s="90" t="s">
        <v>240</v>
      </c>
      <c r="B3556" s="89" t="s">
        <v>2590</v>
      </c>
      <c r="C3556" s="96" t="s">
        <v>841</v>
      </c>
    </row>
    <row r="3557" spans="1:3" ht="15">
      <c r="A3557" s="90" t="s">
        <v>240</v>
      </c>
      <c r="B3557" s="89" t="s">
        <v>2165</v>
      </c>
      <c r="C3557" s="96" t="s">
        <v>841</v>
      </c>
    </row>
    <row r="3558" spans="1:3" ht="15">
      <c r="A3558" s="90" t="s">
        <v>240</v>
      </c>
      <c r="B3558" s="89" t="s">
        <v>2591</v>
      </c>
      <c r="C3558" s="96" t="s">
        <v>841</v>
      </c>
    </row>
    <row r="3559" spans="1:3" ht="15">
      <c r="A3559" s="90" t="s">
        <v>240</v>
      </c>
      <c r="B3559" s="89" t="s">
        <v>2167</v>
      </c>
      <c r="C3559" s="96" t="s">
        <v>841</v>
      </c>
    </row>
    <row r="3560" spans="1:3" ht="15">
      <c r="A3560" s="90" t="s">
        <v>240</v>
      </c>
      <c r="B3560" s="89" t="s">
        <v>2168</v>
      </c>
      <c r="C3560" s="96" t="s">
        <v>841</v>
      </c>
    </row>
    <row r="3561" spans="1:3" ht="15">
      <c r="A3561" s="90" t="s">
        <v>240</v>
      </c>
      <c r="B3561" s="89" t="s">
        <v>2169</v>
      </c>
      <c r="C3561" s="96" t="s">
        <v>841</v>
      </c>
    </row>
    <row r="3562" spans="1:3" ht="15">
      <c r="A3562" s="90" t="s">
        <v>240</v>
      </c>
      <c r="B3562" s="89" t="s">
        <v>2170</v>
      </c>
      <c r="C3562" s="96" t="s">
        <v>841</v>
      </c>
    </row>
    <row r="3563" spans="1:3" ht="15">
      <c r="A3563" s="90" t="s">
        <v>240</v>
      </c>
      <c r="B3563" s="89" t="s">
        <v>2361</v>
      </c>
      <c r="C3563" s="96" t="s">
        <v>841</v>
      </c>
    </row>
    <row r="3564" spans="1:3" ht="15">
      <c r="A3564" s="90" t="s">
        <v>240</v>
      </c>
      <c r="B3564" s="89" t="s">
        <v>2171</v>
      </c>
      <c r="C3564" s="96" t="s">
        <v>841</v>
      </c>
    </row>
    <row r="3565" spans="1:3" ht="15">
      <c r="A3565" s="90" t="s">
        <v>240</v>
      </c>
      <c r="B3565" s="89" t="s">
        <v>2172</v>
      </c>
      <c r="C3565" s="96" t="s">
        <v>841</v>
      </c>
    </row>
    <row r="3566" spans="1:3" ht="15">
      <c r="A3566" s="90" t="s">
        <v>240</v>
      </c>
      <c r="B3566" s="89" t="s">
        <v>2173</v>
      </c>
      <c r="C3566" s="96" t="s">
        <v>841</v>
      </c>
    </row>
    <row r="3567" spans="1:3" ht="15">
      <c r="A3567" s="90" t="s">
        <v>240</v>
      </c>
      <c r="B3567" s="89" t="s">
        <v>2592</v>
      </c>
      <c r="C3567" s="96" t="s">
        <v>841</v>
      </c>
    </row>
    <row r="3568" spans="1:3" ht="15">
      <c r="A3568" s="90" t="s">
        <v>240</v>
      </c>
      <c r="B3568" s="89" t="s">
        <v>2174</v>
      </c>
      <c r="C3568" s="96" t="s">
        <v>841</v>
      </c>
    </row>
    <row r="3569" spans="1:3" ht="15">
      <c r="A3569" s="90" t="s">
        <v>240</v>
      </c>
      <c r="B3569" s="89" t="s">
        <v>2369</v>
      </c>
      <c r="C3569" s="96" t="s">
        <v>840</v>
      </c>
    </row>
    <row r="3570" spans="1:3" ht="15">
      <c r="A3570" s="90" t="s">
        <v>240</v>
      </c>
      <c r="B3570" s="89" t="s">
        <v>2370</v>
      </c>
      <c r="C3570" s="96" t="s">
        <v>840</v>
      </c>
    </row>
    <row r="3571" spans="1:3" ht="15">
      <c r="A3571" s="90" t="s">
        <v>240</v>
      </c>
      <c r="B3571" s="89" t="s">
        <v>2399</v>
      </c>
      <c r="C3571" s="96" t="s">
        <v>840</v>
      </c>
    </row>
    <row r="3572" spans="1:3" ht="15">
      <c r="A3572" s="90" t="s">
        <v>240</v>
      </c>
      <c r="B3572" s="89" t="s">
        <v>2110</v>
      </c>
      <c r="C3572" s="96" t="s">
        <v>840</v>
      </c>
    </row>
    <row r="3573" spans="1:3" ht="15">
      <c r="A3573" s="90" t="s">
        <v>240</v>
      </c>
      <c r="B3573" s="89" t="s">
        <v>2125</v>
      </c>
      <c r="C3573" s="96" t="s">
        <v>840</v>
      </c>
    </row>
    <row r="3574" spans="1:3" ht="15">
      <c r="A3574" s="90" t="s">
        <v>240</v>
      </c>
      <c r="B3574" s="89" t="s">
        <v>2400</v>
      </c>
      <c r="C3574" s="96" t="s">
        <v>840</v>
      </c>
    </row>
    <row r="3575" spans="1:3" ht="15">
      <c r="A3575" s="90" t="s">
        <v>240</v>
      </c>
      <c r="B3575" s="89" t="s">
        <v>2127</v>
      </c>
      <c r="C3575" s="96" t="s">
        <v>840</v>
      </c>
    </row>
    <row r="3576" spans="1:3" ht="15">
      <c r="A3576" s="90" t="s">
        <v>240</v>
      </c>
      <c r="B3576" s="89" t="s">
        <v>2401</v>
      </c>
      <c r="C3576" s="96" t="s">
        <v>840</v>
      </c>
    </row>
    <row r="3577" spans="1:3" ht="15">
      <c r="A3577" s="90" t="s">
        <v>240</v>
      </c>
      <c r="B3577" s="89" t="s">
        <v>2402</v>
      </c>
      <c r="C3577" s="96" t="s">
        <v>840</v>
      </c>
    </row>
    <row r="3578" spans="1:3" ht="15">
      <c r="A3578" s="90" t="s">
        <v>240</v>
      </c>
      <c r="B3578" s="89" t="s">
        <v>2403</v>
      </c>
      <c r="C3578" s="96" t="s">
        <v>840</v>
      </c>
    </row>
    <row r="3579" spans="1:3" ht="15">
      <c r="A3579" s="90" t="s">
        <v>240</v>
      </c>
      <c r="B3579" s="89" t="s">
        <v>2404</v>
      </c>
      <c r="C3579" s="96" t="s">
        <v>840</v>
      </c>
    </row>
    <row r="3580" spans="1:3" ht="15">
      <c r="A3580" s="90" t="s">
        <v>240</v>
      </c>
      <c r="B3580" s="89" t="s">
        <v>2115</v>
      </c>
      <c r="C3580" s="96" t="s">
        <v>840</v>
      </c>
    </row>
    <row r="3581" spans="1:3" ht="15">
      <c r="A3581" s="90" t="s">
        <v>240</v>
      </c>
      <c r="B3581" s="89" t="s">
        <v>2116</v>
      </c>
      <c r="C3581" s="96" t="s">
        <v>840</v>
      </c>
    </row>
    <row r="3582" spans="1:3" ht="15">
      <c r="A3582" s="90" t="s">
        <v>240</v>
      </c>
      <c r="B3582" s="89" t="s">
        <v>2117</v>
      </c>
      <c r="C3582" s="96" t="s">
        <v>840</v>
      </c>
    </row>
    <row r="3583" spans="1:3" ht="15">
      <c r="A3583" s="90" t="s">
        <v>240</v>
      </c>
      <c r="B3583" s="89" t="s">
        <v>2118</v>
      </c>
      <c r="C3583" s="96" t="s">
        <v>840</v>
      </c>
    </row>
    <row r="3584" spans="1:3" ht="15">
      <c r="A3584" s="90" t="s">
        <v>240</v>
      </c>
      <c r="B3584" s="89" t="s">
        <v>2119</v>
      </c>
      <c r="C3584" s="96" t="s">
        <v>840</v>
      </c>
    </row>
    <row r="3585" spans="1:3" ht="15">
      <c r="A3585" s="90" t="s">
        <v>240</v>
      </c>
      <c r="B3585" s="89" t="s">
        <v>2129</v>
      </c>
      <c r="C3585" s="96" t="s">
        <v>840</v>
      </c>
    </row>
    <row r="3586" spans="1:3" ht="15">
      <c r="A3586" s="90" t="s">
        <v>240</v>
      </c>
      <c r="B3586" s="89" t="s">
        <v>2120</v>
      </c>
      <c r="C3586" s="96" t="s">
        <v>840</v>
      </c>
    </row>
    <row r="3587" spans="1:3" ht="15">
      <c r="A3587" s="90" t="s">
        <v>240</v>
      </c>
      <c r="B3587" s="89" t="s">
        <v>2121</v>
      </c>
      <c r="C3587" s="96" t="s">
        <v>840</v>
      </c>
    </row>
    <row r="3588" spans="1:3" ht="15">
      <c r="A3588" s="90" t="s">
        <v>240</v>
      </c>
      <c r="B3588" s="89" t="s">
        <v>2122</v>
      </c>
      <c r="C3588" s="96" t="s">
        <v>840</v>
      </c>
    </row>
    <row r="3589" spans="1:3" ht="15">
      <c r="A3589" s="90" t="s">
        <v>240</v>
      </c>
      <c r="B3589" s="89" t="s">
        <v>2130</v>
      </c>
      <c r="C3589" s="96" t="s">
        <v>840</v>
      </c>
    </row>
    <row r="3590" spans="1:3" ht="15">
      <c r="A3590" s="90" t="s">
        <v>240</v>
      </c>
      <c r="B3590" s="89" t="s">
        <v>2131</v>
      </c>
      <c r="C3590" s="96" t="s">
        <v>840</v>
      </c>
    </row>
    <row r="3591" spans="1:3" ht="15">
      <c r="A3591" s="90" t="s">
        <v>240</v>
      </c>
      <c r="B3591" s="89" t="s">
        <v>2123</v>
      </c>
      <c r="C3591" s="96" t="s">
        <v>840</v>
      </c>
    </row>
    <row r="3592" spans="1:3" ht="15">
      <c r="A3592" s="90" t="s">
        <v>240</v>
      </c>
      <c r="B3592" s="89" t="s">
        <v>2114</v>
      </c>
      <c r="C3592" s="96" t="s">
        <v>840</v>
      </c>
    </row>
    <row r="3593" spans="1:3" ht="15">
      <c r="A3593" s="90" t="s">
        <v>239</v>
      </c>
      <c r="B3593" s="89" t="s">
        <v>2369</v>
      </c>
      <c r="C3593" s="96" t="s">
        <v>839</v>
      </c>
    </row>
    <row r="3594" spans="1:3" ht="15">
      <c r="A3594" s="90" t="s">
        <v>239</v>
      </c>
      <c r="B3594" s="89" t="s">
        <v>2370</v>
      </c>
      <c r="C3594" s="96" t="s">
        <v>839</v>
      </c>
    </row>
    <row r="3595" spans="1:3" ht="15">
      <c r="A3595" s="90" t="s">
        <v>239</v>
      </c>
      <c r="B3595" s="89" t="s">
        <v>2399</v>
      </c>
      <c r="C3595" s="96" t="s">
        <v>839</v>
      </c>
    </row>
    <row r="3596" spans="1:3" ht="15">
      <c r="A3596" s="90" t="s">
        <v>239</v>
      </c>
      <c r="B3596" s="89" t="s">
        <v>2110</v>
      </c>
      <c r="C3596" s="96" t="s">
        <v>839</v>
      </c>
    </row>
    <row r="3597" spans="1:3" ht="15">
      <c r="A3597" s="90" t="s">
        <v>239</v>
      </c>
      <c r="B3597" s="89" t="s">
        <v>2125</v>
      </c>
      <c r="C3597" s="96" t="s">
        <v>839</v>
      </c>
    </row>
    <row r="3598" spans="1:3" ht="15">
      <c r="A3598" s="90" t="s">
        <v>239</v>
      </c>
      <c r="B3598" s="89" t="s">
        <v>2400</v>
      </c>
      <c r="C3598" s="96" t="s">
        <v>839</v>
      </c>
    </row>
    <row r="3599" spans="1:3" ht="15">
      <c r="A3599" s="90" t="s">
        <v>239</v>
      </c>
      <c r="B3599" s="89" t="s">
        <v>2127</v>
      </c>
      <c r="C3599" s="96" t="s">
        <v>839</v>
      </c>
    </row>
    <row r="3600" spans="1:3" ht="15">
      <c r="A3600" s="90" t="s">
        <v>239</v>
      </c>
      <c r="B3600" s="89" t="s">
        <v>2401</v>
      </c>
      <c r="C3600" s="96" t="s">
        <v>839</v>
      </c>
    </row>
    <row r="3601" spans="1:3" ht="15">
      <c r="A3601" s="90" t="s">
        <v>239</v>
      </c>
      <c r="B3601" s="89" t="s">
        <v>2402</v>
      </c>
      <c r="C3601" s="96" t="s">
        <v>839</v>
      </c>
    </row>
    <row r="3602" spans="1:3" ht="15">
      <c r="A3602" s="90" t="s">
        <v>239</v>
      </c>
      <c r="B3602" s="89" t="s">
        <v>2403</v>
      </c>
      <c r="C3602" s="96" t="s">
        <v>839</v>
      </c>
    </row>
    <row r="3603" spans="1:3" ht="15">
      <c r="A3603" s="90" t="s">
        <v>239</v>
      </c>
      <c r="B3603" s="89" t="s">
        <v>2404</v>
      </c>
      <c r="C3603" s="96" t="s">
        <v>839</v>
      </c>
    </row>
    <row r="3604" spans="1:3" ht="15">
      <c r="A3604" s="90" t="s">
        <v>239</v>
      </c>
      <c r="B3604" s="89" t="s">
        <v>2115</v>
      </c>
      <c r="C3604" s="96" t="s">
        <v>839</v>
      </c>
    </row>
    <row r="3605" spans="1:3" ht="15">
      <c r="A3605" s="90" t="s">
        <v>239</v>
      </c>
      <c r="B3605" s="89" t="s">
        <v>2116</v>
      </c>
      <c r="C3605" s="96" t="s">
        <v>839</v>
      </c>
    </row>
    <row r="3606" spans="1:3" ht="15">
      <c r="A3606" s="90" t="s">
        <v>239</v>
      </c>
      <c r="B3606" s="89" t="s">
        <v>2117</v>
      </c>
      <c r="C3606" s="96" t="s">
        <v>839</v>
      </c>
    </row>
    <row r="3607" spans="1:3" ht="15">
      <c r="A3607" s="90" t="s">
        <v>239</v>
      </c>
      <c r="B3607" s="89" t="s">
        <v>2118</v>
      </c>
      <c r="C3607" s="96" t="s">
        <v>839</v>
      </c>
    </row>
    <row r="3608" spans="1:3" ht="15">
      <c r="A3608" s="90" t="s">
        <v>239</v>
      </c>
      <c r="B3608" s="89" t="s">
        <v>2119</v>
      </c>
      <c r="C3608" s="96" t="s">
        <v>839</v>
      </c>
    </row>
    <row r="3609" spans="1:3" ht="15">
      <c r="A3609" s="90" t="s">
        <v>239</v>
      </c>
      <c r="B3609" s="89" t="s">
        <v>2129</v>
      </c>
      <c r="C3609" s="96" t="s">
        <v>839</v>
      </c>
    </row>
    <row r="3610" spans="1:3" ht="15">
      <c r="A3610" s="90" t="s">
        <v>239</v>
      </c>
      <c r="B3610" s="89" t="s">
        <v>2120</v>
      </c>
      <c r="C3610" s="96" t="s">
        <v>839</v>
      </c>
    </row>
    <row r="3611" spans="1:3" ht="15">
      <c r="A3611" s="90" t="s">
        <v>239</v>
      </c>
      <c r="B3611" s="89" t="s">
        <v>2121</v>
      </c>
      <c r="C3611" s="96" t="s">
        <v>839</v>
      </c>
    </row>
    <row r="3612" spans="1:3" ht="15">
      <c r="A3612" s="90" t="s">
        <v>239</v>
      </c>
      <c r="B3612" s="89" t="s">
        <v>2122</v>
      </c>
      <c r="C3612" s="96" t="s">
        <v>839</v>
      </c>
    </row>
    <row r="3613" spans="1:3" ht="15">
      <c r="A3613" s="90" t="s">
        <v>239</v>
      </c>
      <c r="B3613" s="89" t="s">
        <v>2130</v>
      </c>
      <c r="C3613" s="96" t="s">
        <v>839</v>
      </c>
    </row>
    <row r="3614" spans="1:3" ht="15">
      <c r="A3614" s="90" t="s">
        <v>239</v>
      </c>
      <c r="B3614" s="89" t="s">
        <v>2131</v>
      </c>
      <c r="C3614" s="96" t="s">
        <v>839</v>
      </c>
    </row>
    <row r="3615" spans="1:3" ht="15">
      <c r="A3615" s="90" t="s">
        <v>239</v>
      </c>
      <c r="B3615" s="89" t="s">
        <v>2123</v>
      </c>
      <c r="C3615" s="96" t="s">
        <v>839</v>
      </c>
    </row>
    <row r="3616" spans="1:3" ht="15">
      <c r="A3616" s="90" t="s">
        <v>239</v>
      </c>
      <c r="B3616" s="89" t="s">
        <v>2114</v>
      </c>
      <c r="C3616" s="96" t="s">
        <v>839</v>
      </c>
    </row>
    <row r="3617" spans="1:3" ht="15">
      <c r="A3617" s="90" t="s">
        <v>238</v>
      </c>
      <c r="B3617" s="89" t="s">
        <v>2369</v>
      </c>
      <c r="C3617" s="96" t="s">
        <v>838</v>
      </c>
    </row>
    <row r="3618" spans="1:3" ht="15">
      <c r="A3618" s="90" t="s">
        <v>238</v>
      </c>
      <c r="B3618" s="89" t="s">
        <v>2370</v>
      </c>
      <c r="C3618" s="96" t="s">
        <v>838</v>
      </c>
    </row>
    <row r="3619" spans="1:3" ht="15">
      <c r="A3619" s="90" t="s">
        <v>238</v>
      </c>
      <c r="B3619" s="89" t="s">
        <v>2399</v>
      </c>
      <c r="C3619" s="96" t="s">
        <v>838</v>
      </c>
    </row>
    <row r="3620" spans="1:3" ht="15">
      <c r="A3620" s="90" t="s">
        <v>238</v>
      </c>
      <c r="B3620" s="89" t="s">
        <v>2110</v>
      </c>
      <c r="C3620" s="96" t="s">
        <v>838</v>
      </c>
    </row>
    <row r="3621" spans="1:3" ht="15">
      <c r="A3621" s="90" t="s">
        <v>238</v>
      </c>
      <c r="B3621" s="89" t="s">
        <v>2125</v>
      </c>
      <c r="C3621" s="96" t="s">
        <v>838</v>
      </c>
    </row>
    <row r="3622" spans="1:3" ht="15">
      <c r="A3622" s="90" t="s">
        <v>238</v>
      </c>
      <c r="B3622" s="89" t="s">
        <v>2400</v>
      </c>
      <c r="C3622" s="96" t="s">
        <v>838</v>
      </c>
    </row>
    <row r="3623" spans="1:3" ht="15">
      <c r="A3623" s="90" t="s">
        <v>238</v>
      </c>
      <c r="B3623" s="89" t="s">
        <v>2127</v>
      </c>
      <c r="C3623" s="96" t="s">
        <v>838</v>
      </c>
    </row>
    <row r="3624" spans="1:3" ht="15">
      <c r="A3624" s="90" t="s">
        <v>238</v>
      </c>
      <c r="B3624" s="89" t="s">
        <v>2401</v>
      </c>
      <c r="C3624" s="96" t="s">
        <v>838</v>
      </c>
    </row>
    <row r="3625" spans="1:3" ht="15">
      <c r="A3625" s="90" t="s">
        <v>238</v>
      </c>
      <c r="B3625" s="89" t="s">
        <v>2402</v>
      </c>
      <c r="C3625" s="96" t="s">
        <v>838</v>
      </c>
    </row>
    <row r="3626" spans="1:3" ht="15">
      <c r="A3626" s="90" t="s">
        <v>238</v>
      </c>
      <c r="B3626" s="89" t="s">
        <v>2403</v>
      </c>
      <c r="C3626" s="96" t="s">
        <v>838</v>
      </c>
    </row>
    <row r="3627" spans="1:3" ht="15">
      <c r="A3627" s="90" t="s">
        <v>238</v>
      </c>
      <c r="B3627" s="89" t="s">
        <v>2404</v>
      </c>
      <c r="C3627" s="96" t="s">
        <v>838</v>
      </c>
    </row>
    <row r="3628" spans="1:3" ht="15">
      <c r="A3628" s="90" t="s">
        <v>238</v>
      </c>
      <c r="B3628" s="89" t="s">
        <v>2115</v>
      </c>
      <c r="C3628" s="96" t="s">
        <v>838</v>
      </c>
    </row>
    <row r="3629" spans="1:3" ht="15">
      <c r="A3629" s="90" t="s">
        <v>238</v>
      </c>
      <c r="B3629" s="89" t="s">
        <v>2116</v>
      </c>
      <c r="C3629" s="96" t="s">
        <v>838</v>
      </c>
    </row>
    <row r="3630" spans="1:3" ht="15">
      <c r="A3630" s="90" t="s">
        <v>238</v>
      </c>
      <c r="B3630" s="89" t="s">
        <v>2117</v>
      </c>
      <c r="C3630" s="96" t="s">
        <v>838</v>
      </c>
    </row>
    <row r="3631" spans="1:3" ht="15">
      <c r="A3631" s="90" t="s">
        <v>238</v>
      </c>
      <c r="B3631" s="89" t="s">
        <v>2118</v>
      </c>
      <c r="C3631" s="96" t="s">
        <v>838</v>
      </c>
    </row>
    <row r="3632" spans="1:3" ht="15">
      <c r="A3632" s="90" t="s">
        <v>238</v>
      </c>
      <c r="B3632" s="89" t="s">
        <v>2119</v>
      </c>
      <c r="C3632" s="96" t="s">
        <v>838</v>
      </c>
    </row>
    <row r="3633" spans="1:3" ht="15">
      <c r="A3633" s="90" t="s">
        <v>238</v>
      </c>
      <c r="B3633" s="89" t="s">
        <v>2129</v>
      </c>
      <c r="C3633" s="96" t="s">
        <v>838</v>
      </c>
    </row>
    <row r="3634" spans="1:3" ht="15">
      <c r="A3634" s="90" t="s">
        <v>238</v>
      </c>
      <c r="B3634" s="89" t="s">
        <v>2120</v>
      </c>
      <c r="C3634" s="96" t="s">
        <v>838</v>
      </c>
    </row>
    <row r="3635" spans="1:3" ht="15">
      <c r="A3635" s="90" t="s">
        <v>238</v>
      </c>
      <c r="B3635" s="89" t="s">
        <v>2121</v>
      </c>
      <c r="C3635" s="96" t="s">
        <v>838</v>
      </c>
    </row>
    <row r="3636" spans="1:3" ht="15">
      <c r="A3636" s="90" t="s">
        <v>238</v>
      </c>
      <c r="B3636" s="89" t="s">
        <v>2122</v>
      </c>
      <c r="C3636" s="96" t="s">
        <v>838</v>
      </c>
    </row>
    <row r="3637" spans="1:3" ht="15">
      <c r="A3637" s="90" t="s">
        <v>238</v>
      </c>
      <c r="B3637" s="89" t="s">
        <v>2130</v>
      </c>
      <c r="C3637" s="96" t="s">
        <v>838</v>
      </c>
    </row>
    <row r="3638" spans="1:3" ht="15">
      <c r="A3638" s="90" t="s">
        <v>238</v>
      </c>
      <c r="B3638" s="89" t="s">
        <v>2131</v>
      </c>
      <c r="C3638" s="96" t="s">
        <v>838</v>
      </c>
    </row>
    <row r="3639" spans="1:3" ht="15">
      <c r="A3639" s="90" t="s">
        <v>238</v>
      </c>
      <c r="B3639" s="89" t="s">
        <v>2123</v>
      </c>
      <c r="C3639" s="96" t="s">
        <v>838</v>
      </c>
    </row>
    <row r="3640" spans="1:3" ht="15">
      <c r="A3640" s="90" t="s">
        <v>238</v>
      </c>
      <c r="B3640" s="89" t="s">
        <v>2114</v>
      </c>
      <c r="C3640" s="96" t="s">
        <v>838</v>
      </c>
    </row>
    <row r="3641" spans="1:3" ht="15">
      <c r="A3641" s="90" t="s">
        <v>237</v>
      </c>
      <c r="B3641" s="89" t="s">
        <v>3256</v>
      </c>
      <c r="C3641" s="96" t="s">
        <v>837</v>
      </c>
    </row>
    <row r="3642" spans="1:3" ht="15">
      <c r="A3642" s="90" t="s">
        <v>237</v>
      </c>
      <c r="B3642" s="89" t="s">
        <v>3257</v>
      </c>
      <c r="C3642" s="96" t="s">
        <v>837</v>
      </c>
    </row>
    <row r="3643" spans="1:3" ht="15">
      <c r="A3643" s="90" t="s">
        <v>237</v>
      </c>
      <c r="B3643" s="89" t="s">
        <v>3258</v>
      </c>
      <c r="C3643" s="96" t="s">
        <v>837</v>
      </c>
    </row>
    <row r="3644" spans="1:3" ht="15">
      <c r="A3644" s="90" t="s">
        <v>237</v>
      </c>
      <c r="B3644" s="89" t="s">
        <v>2369</v>
      </c>
      <c r="C3644" s="96" t="s">
        <v>837</v>
      </c>
    </row>
    <row r="3645" spans="1:3" ht="15">
      <c r="A3645" s="90" t="s">
        <v>237</v>
      </c>
      <c r="B3645" s="89" t="s">
        <v>3259</v>
      </c>
      <c r="C3645" s="96" t="s">
        <v>837</v>
      </c>
    </row>
    <row r="3646" spans="1:3" ht="15">
      <c r="A3646" s="90" t="s">
        <v>237</v>
      </c>
      <c r="B3646" s="89" t="s">
        <v>2370</v>
      </c>
      <c r="C3646" s="96" t="s">
        <v>837</v>
      </c>
    </row>
    <row r="3647" spans="1:3" ht="15">
      <c r="A3647" s="90" t="s">
        <v>237</v>
      </c>
      <c r="B3647" s="89" t="s">
        <v>2283</v>
      </c>
      <c r="C3647" s="96" t="s">
        <v>837</v>
      </c>
    </row>
    <row r="3648" spans="1:3" ht="15">
      <c r="A3648" s="90" t="s">
        <v>236</v>
      </c>
      <c r="B3648" s="89" t="s">
        <v>2369</v>
      </c>
      <c r="C3648" s="96" t="s">
        <v>836</v>
      </c>
    </row>
    <row r="3649" spans="1:3" ht="15">
      <c r="A3649" s="90" t="s">
        <v>236</v>
      </c>
      <c r="B3649" s="89" t="s">
        <v>2370</v>
      </c>
      <c r="C3649" s="96" t="s">
        <v>836</v>
      </c>
    </row>
    <row r="3650" spans="1:3" ht="15">
      <c r="A3650" s="90" t="s">
        <v>236</v>
      </c>
      <c r="B3650" s="89" t="s">
        <v>2399</v>
      </c>
      <c r="C3650" s="96" t="s">
        <v>836</v>
      </c>
    </row>
    <row r="3651" spans="1:3" ht="15">
      <c r="A3651" s="90" t="s">
        <v>236</v>
      </c>
      <c r="B3651" s="89" t="s">
        <v>2110</v>
      </c>
      <c r="C3651" s="96" t="s">
        <v>836</v>
      </c>
    </row>
    <row r="3652" spans="1:3" ht="15">
      <c r="A3652" s="90" t="s">
        <v>236</v>
      </c>
      <c r="B3652" s="89" t="s">
        <v>2125</v>
      </c>
      <c r="C3652" s="96" t="s">
        <v>836</v>
      </c>
    </row>
    <row r="3653" spans="1:3" ht="15">
      <c r="A3653" s="90" t="s">
        <v>236</v>
      </c>
      <c r="B3653" s="89" t="s">
        <v>2400</v>
      </c>
      <c r="C3653" s="96" t="s">
        <v>836</v>
      </c>
    </row>
    <row r="3654" spans="1:3" ht="15">
      <c r="A3654" s="90" t="s">
        <v>236</v>
      </c>
      <c r="B3654" s="89" t="s">
        <v>2127</v>
      </c>
      <c r="C3654" s="96" t="s">
        <v>836</v>
      </c>
    </row>
    <row r="3655" spans="1:3" ht="15">
      <c r="A3655" s="90" t="s">
        <v>236</v>
      </c>
      <c r="B3655" s="89" t="s">
        <v>2401</v>
      </c>
      <c r="C3655" s="96" t="s">
        <v>836</v>
      </c>
    </row>
    <row r="3656" spans="1:3" ht="15">
      <c r="A3656" s="90" t="s">
        <v>236</v>
      </c>
      <c r="B3656" s="89" t="s">
        <v>2402</v>
      </c>
      <c r="C3656" s="96" t="s">
        <v>836</v>
      </c>
    </row>
    <row r="3657" spans="1:3" ht="15">
      <c r="A3657" s="90" t="s">
        <v>236</v>
      </c>
      <c r="B3657" s="89" t="s">
        <v>2403</v>
      </c>
      <c r="C3657" s="96" t="s">
        <v>836</v>
      </c>
    </row>
    <row r="3658" spans="1:3" ht="15">
      <c r="A3658" s="90" t="s">
        <v>236</v>
      </c>
      <c r="B3658" s="89" t="s">
        <v>2404</v>
      </c>
      <c r="C3658" s="96" t="s">
        <v>836</v>
      </c>
    </row>
    <row r="3659" spans="1:3" ht="15">
      <c r="A3659" s="90" t="s">
        <v>236</v>
      </c>
      <c r="B3659" s="89" t="s">
        <v>2115</v>
      </c>
      <c r="C3659" s="96" t="s">
        <v>836</v>
      </c>
    </row>
    <row r="3660" spans="1:3" ht="15">
      <c r="A3660" s="90" t="s">
        <v>236</v>
      </c>
      <c r="B3660" s="89" t="s">
        <v>2116</v>
      </c>
      <c r="C3660" s="96" t="s">
        <v>836</v>
      </c>
    </row>
    <row r="3661" spans="1:3" ht="15">
      <c r="A3661" s="90" t="s">
        <v>236</v>
      </c>
      <c r="B3661" s="89" t="s">
        <v>2117</v>
      </c>
      <c r="C3661" s="96" t="s">
        <v>836</v>
      </c>
    </row>
    <row r="3662" spans="1:3" ht="15">
      <c r="A3662" s="90" t="s">
        <v>236</v>
      </c>
      <c r="B3662" s="89" t="s">
        <v>2118</v>
      </c>
      <c r="C3662" s="96" t="s">
        <v>836</v>
      </c>
    </row>
    <row r="3663" spans="1:3" ht="15">
      <c r="A3663" s="90" t="s">
        <v>236</v>
      </c>
      <c r="B3663" s="89" t="s">
        <v>2119</v>
      </c>
      <c r="C3663" s="96" t="s">
        <v>836</v>
      </c>
    </row>
    <row r="3664" spans="1:3" ht="15">
      <c r="A3664" s="90" t="s">
        <v>236</v>
      </c>
      <c r="B3664" s="89" t="s">
        <v>2129</v>
      </c>
      <c r="C3664" s="96" t="s">
        <v>836</v>
      </c>
    </row>
    <row r="3665" spans="1:3" ht="15">
      <c r="A3665" s="90" t="s">
        <v>236</v>
      </c>
      <c r="B3665" s="89" t="s">
        <v>2120</v>
      </c>
      <c r="C3665" s="96" t="s">
        <v>836</v>
      </c>
    </row>
    <row r="3666" spans="1:3" ht="15">
      <c r="A3666" s="90" t="s">
        <v>236</v>
      </c>
      <c r="B3666" s="89" t="s">
        <v>2121</v>
      </c>
      <c r="C3666" s="96" t="s">
        <v>836</v>
      </c>
    </row>
    <row r="3667" spans="1:3" ht="15">
      <c r="A3667" s="90" t="s">
        <v>236</v>
      </c>
      <c r="B3667" s="89" t="s">
        <v>2122</v>
      </c>
      <c r="C3667" s="96" t="s">
        <v>836</v>
      </c>
    </row>
    <row r="3668" spans="1:3" ht="15">
      <c r="A3668" s="90" t="s">
        <v>236</v>
      </c>
      <c r="B3668" s="89" t="s">
        <v>2130</v>
      </c>
      <c r="C3668" s="96" t="s">
        <v>836</v>
      </c>
    </row>
    <row r="3669" spans="1:3" ht="15">
      <c r="A3669" s="90" t="s">
        <v>236</v>
      </c>
      <c r="B3669" s="89" t="s">
        <v>2131</v>
      </c>
      <c r="C3669" s="96" t="s">
        <v>836</v>
      </c>
    </row>
    <row r="3670" spans="1:3" ht="15">
      <c r="A3670" s="90" t="s">
        <v>236</v>
      </c>
      <c r="B3670" s="89" t="s">
        <v>2123</v>
      </c>
      <c r="C3670" s="96" t="s">
        <v>836</v>
      </c>
    </row>
    <row r="3671" spans="1:3" ht="15">
      <c r="A3671" s="90" t="s">
        <v>236</v>
      </c>
      <c r="B3671" s="89" t="s">
        <v>2114</v>
      </c>
      <c r="C3671" s="96" t="s">
        <v>836</v>
      </c>
    </row>
    <row r="3672" spans="1:3" ht="15">
      <c r="A3672" s="90" t="s">
        <v>235</v>
      </c>
      <c r="B3672" s="89" t="s">
        <v>2369</v>
      </c>
      <c r="C3672" s="96" t="s">
        <v>835</v>
      </c>
    </row>
    <row r="3673" spans="1:3" ht="15">
      <c r="A3673" s="90" t="s">
        <v>235</v>
      </c>
      <c r="B3673" s="89" t="s">
        <v>2370</v>
      </c>
      <c r="C3673" s="96" t="s">
        <v>835</v>
      </c>
    </row>
    <row r="3674" spans="1:3" ht="15">
      <c r="A3674" s="90" t="s">
        <v>235</v>
      </c>
      <c r="B3674" s="89" t="s">
        <v>2399</v>
      </c>
      <c r="C3674" s="96" t="s">
        <v>835</v>
      </c>
    </row>
    <row r="3675" spans="1:3" ht="15">
      <c r="A3675" s="90" t="s">
        <v>235</v>
      </c>
      <c r="B3675" s="89" t="s">
        <v>2110</v>
      </c>
      <c r="C3675" s="96" t="s">
        <v>835</v>
      </c>
    </row>
    <row r="3676" spans="1:3" ht="15">
      <c r="A3676" s="90" t="s">
        <v>235</v>
      </c>
      <c r="B3676" s="89" t="s">
        <v>2125</v>
      </c>
      <c r="C3676" s="96" t="s">
        <v>835</v>
      </c>
    </row>
    <row r="3677" spans="1:3" ht="15">
      <c r="A3677" s="90" t="s">
        <v>235</v>
      </c>
      <c r="B3677" s="89" t="s">
        <v>2400</v>
      </c>
      <c r="C3677" s="96" t="s">
        <v>835</v>
      </c>
    </row>
    <row r="3678" spans="1:3" ht="15">
      <c r="A3678" s="90" t="s">
        <v>235</v>
      </c>
      <c r="B3678" s="89" t="s">
        <v>2127</v>
      </c>
      <c r="C3678" s="96" t="s">
        <v>835</v>
      </c>
    </row>
    <row r="3679" spans="1:3" ht="15">
      <c r="A3679" s="90" t="s">
        <v>235</v>
      </c>
      <c r="B3679" s="89" t="s">
        <v>2401</v>
      </c>
      <c r="C3679" s="96" t="s">
        <v>835</v>
      </c>
    </row>
    <row r="3680" spans="1:3" ht="15">
      <c r="A3680" s="90" t="s">
        <v>235</v>
      </c>
      <c r="B3680" s="89" t="s">
        <v>2402</v>
      </c>
      <c r="C3680" s="96" t="s">
        <v>835</v>
      </c>
    </row>
    <row r="3681" spans="1:3" ht="15">
      <c r="A3681" s="90" t="s">
        <v>235</v>
      </c>
      <c r="B3681" s="89" t="s">
        <v>2403</v>
      </c>
      <c r="C3681" s="96" t="s">
        <v>835</v>
      </c>
    </row>
    <row r="3682" spans="1:3" ht="15">
      <c r="A3682" s="90" t="s">
        <v>235</v>
      </c>
      <c r="B3682" s="89" t="s">
        <v>2404</v>
      </c>
      <c r="C3682" s="96" t="s">
        <v>835</v>
      </c>
    </row>
    <row r="3683" spans="1:3" ht="15">
      <c r="A3683" s="90" t="s">
        <v>235</v>
      </c>
      <c r="B3683" s="89" t="s">
        <v>2115</v>
      </c>
      <c r="C3683" s="96" t="s">
        <v>835</v>
      </c>
    </row>
    <row r="3684" spans="1:3" ht="15">
      <c r="A3684" s="90" t="s">
        <v>235</v>
      </c>
      <c r="B3684" s="89" t="s">
        <v>2116</v>
      </c>
      <c r="C3684" s="96" t="s">
        <v>835</v>
      </c>
    </row>
    <row r="3685" spans="1:3" ht="15">
      <c r="A3685" s="90" t="s">
        <v>235</v>
      </c>
      <c r="B3685" s="89" t="s">
        <v>2117</v>
      </c>
      <c r="C3685" s="96" t="s">
        <v>835</v>
      </c>
    </row>
    <row r="3686" spans="1:3" ht="15">
      <c r="A3686" s="90" t="s">
        <v>235</v>
      </c>
      <c r="B3686" s="89" t="s">
        <v>2118</v>
      </c>
      <c r="C3686" s="96" t="s">
        <v>835</v>
      </c>
    </row>
    <row r="3687" spans="1:3" ht="15">
      <c r="A3687" s="90" t="s">
        <v>235</v>
      </c>
      <c r="B3687" s="89" t="s">
        <v>2119</v>
      </c>
      <c r="C3687" s="96" t="s">
        <v>835</v>
      </c>
    </row>
    <row r="3688" spans="1:3" ht="15">
      <c r="A3688" s="90" t="s">
        <v>235</v>
      </c>
      <c r="B3688" s="89" t="s">
        <v>2129</v>
      </c>
      <c r="C3688" s="96" t="s">
        <v>835</v>
      </c>
    </row>
    <row r="3689" spans="1:3" ht="15">
      <c r="A3689" s="90" t="s">
        <v>235</v>
      </c>
      <c r="B3689" s="89" t="s">
        <v>2120</v>
      </c>
      <c r="C3689" s="96" t="s">
        <v>835</v>
      </c>
    </row>
    <row r="3690" spans="1:3" ht="15">
      <c r="A3690" s="90" t="s">
        <v>235</v>
      </c>
      <c r="B3690" s="89" t="s">
        <v>2121</v>
      </c>
      <c r="C3690" s="96" t="s">
        <v>835</v>
      </c>
    </row>
    <row r="3691" spans="1:3" ht="15">
      <c r="A3691" s="90" t="s">
        <v>235</v>
      </c>
      <c r="B3691" s="89" t="s">
        <v>2122</v>
      </c>
      <c r="C3691" s="96" t="s">
        <v>835</v>
      </c>
    </row>
    <row r="3692" spans="1:3" ht="15">
      <c r="A3692" s="90" t="s">
        <v>235</v>
      </c>
      <c r="B3692" s="89" t="s">
        <v>2130</v>
      </c>
      <c r="C3692" s="96" t="s">
        <v>835</v>
      </c>
    </row>
    <row r="3693" spans="1:3" ht="15">
      <c r="A3693" s="90" t="s">
        <v>235</v>
      </c>
      <c r="B3693" s="89" t="s">
        <v>2131</v>
      </c>
      <c r="C3693" s="96" t="s">
        <v>835</v>
      </c>
    </row>
    <row r="3694" spans="1:3" ht="15">
      <c r="A3694" s="90" t="s">
        <v>235</v>
      </c>
      <c r="B3694" s="89" t="s">
        <v>2123</v>
      </c>
      <c r="C3694" s="96" t="s">
        <v>835</v>
      </c>
    </row>
    <row r="3695" spans="1:3" ht="15">
      <c r="A3695" s="90" t="s">
        <v>235</v>
      </c>
      <c r="B3695" s="89" t="s">
        <v>2114</v>
      </c>
      <c r="C3695" s="96" t="s">
        <v>835</v>
      </c>
    </row>
    <row r="3696" spans="1:3" ht="15">
      <c r="A3696" s="90" t="s">
        <v>234</v>
      </c>
      <c r="B3696" s="89" t="s">
        <v>2369</v>
      </c>
      <c r="C3696" s="96" t="s">
        <v>834</v>
      </c>
    </row>
    <row r="3697" spans="1:3" ht="15">
      <c r="A3697" s="90" t="s">
        <v>234</v>
      </c>
      <c r="B3697" s="89" t="s">
        <v>2370</v>
      </c>
      <c r="C3697" s="96" t="s">
        <v>834</v>
      </c>
    </row>
    <row r="3698" spans="1:3" ht="15">
      <c r="A3698" s="90" t="s">
        <v>234</v>
      </c>
      <c r="B3698" s="89" t="s">
        <v>2399</v>
      </c>
      <c r="C3698" s="96" t="s">
        <v>834</v>
      </c>
    </row>
    <row r="3699" spans="1:3" ht="15">
      <c r="A3699" s="90" t="s">
        <v>234</v>
      </c>
      <c r="B3699" s="89" t="s">
        <v>2110</v>
      </c>
      <c r="C3699" s="96" t="s">
        <v>834</v>
      </c>
    </row>
    <row r="3700" spans="1:3" ht="15">
      <c r="A3700" s="90" t="s">
        <v>234</v>
      </c>
      <c r="B3700" s="89" t="s">
        <v>2125</v>
      </c>
      <c r="C3700" s="96" t="s">
        <v>834</v>
      </c>
    </row>
    <row r="3701" spans="1:3" ht="15">
      <c r="A3701" s="90" t="s">
        <v>234</v>
      </c>
      <c r="B3701" s="89" t="s">
        <v>2400</v>
      </c>
      <c r="C3701" s="96" t="s">
        <v>834</v>
      </c>
    </row>
    <row r="3702" spans="1:3" ht="15">
      <c r="A3702" s="90" t="s">
        <v>234</v>
      </c>
      <c r="B3702" s="89" t="s">
        <v>2127</v>
      </c>
      <c r="C3702" s="96" t="s">
        <v>834</v>
      </c>
    </row>
    <row r="3703" spans="1:3" ht="15">
      <c r="A3703" s="90" t="s">
        <v>234</v>
      </c>
      <c r="B3703" s="89" t="s">
        <v>2401</v>
      </c>
      <c r="C3703" s="96" t="s">
        <v>834</v>
      </c>
    </row>
    <row r="3704" spans="1:3" ht="15">
      <c r="A3704" s="90" t="s">
        <v>234</v>
      </c>
      <c r="B3704" s="89" t="s">
        <v>2402</v>
      </c>
      <c r="C3704" s="96" t="s">
        <v>834</v>
      </c>
    </row>
    <row r="3705" spans="1:3" ht="15">
      <c r="A3705" s="90" t="s">
        <v>234</v>
      </c>
      <c r="B3705" s="89" t="s">
        <v>2403</v>
      </c>
      <c r="C3705" s="96" t="s">
        <v>834</v>
      </c>
    </row>
    <row r="3706" spans="1:3" ht="15">
      <c r="A3706" s="90" t="s">
        <v>234</v>
      </c>
      <c r="B3706" s="89" t="s">
        <v>2404</v>
      </c>
      <c r="C3706" s="96" t="s">
        <v>834</v>
      </c>
    </row>
    <row r="3707" spans="1:3" ht="15">
      <c r="A3707" s="90" t="s">
        <v>234</v>
      </c>
      <c r="B3707" s="89" t="s">
        <v>2115</v>
      </c>
      <c r="C3707" s="96" t="s">
        <v>834</v>
      </c>
    </row>
    <row r="3708" spans="1:3" ht="15">
      <c r="A3708" s="90" t="s">
        <v>234</v>
      </c>
      <c r="B3708" s="89" t="s">
        <v>2116</v>
      </c>
      <c r="C3708" s="96" t="s">
        <v>834</v>
      </c>
    </row>
    <row r="3709" spans="1:3" ht="15">
      <c r="A3709" s="90" t="s">
        <v>234</v>
      </c>
      <c r="B3709" s="89" t="s">
        <v>2117</v>
      </c>
      <c r="C3709" s="96" t="s">
        <v>834</v>
      </c>
    </row>
    <row r="3710" spans="1:3" ht="15">
      <c r="A3710" s="90" t="s">
        <v>234</v>
      </c>
      <c r="B3710" s="89" t="s">
        <v>2118</v>
      </c>
      <c r="C3710" s="96" t="s">
        <v>834</v>
      </c>
    </row>
    <row r="3711" spans="1:3" ht="15">
      <c r="A3711" s="90" t="s">
        <v>234</v>
      </c>
      <c r="B3711" s="89" t="s">
        <v>2119</v>
      </c>
      <c r="C3711" s="96" t="s">
        <v>834</v>
      </c>
    </row>
    <row r="3712" spans="1:3" ht="15">
      <c r="A3712" s="90" t="s">
        <v>234</v>
      </c>
      <c r="B3712" s="89" t="s">
        <v>2129</v>
      </c>
      <c r="C3712" s="96" t="s">
        <v>834</v>
      </c>
    </row>
    <row r="3713" spans="1:3" ht="15">
      <c r="A3713" s="90" t="s">
        <v>234</v>
      </c>
      <c r="B3713" s="89" t="s">
        <v>2120</v>
      </c>
      <c r="C3713" s="96" t="s">
        <v>834</v>
      </c>
    </row>
    <row r="3714" spans="1:3" ht="15">
      <c r="A3714" s="90" t="s">
        <v>234</v>
      </c>
      <c r="B3714" s="89" t="s">
        <v>2121</v>
      </c>
      <c r="C3714" s="96" t="s">
        <v>834</v>
      </c>
    </row>
    <row r="3715" spans="1:3" ht="15">
      <c r="A3715" s="90" t="s">
        <v>234</v>
      </c>
      <c r="B3715" s="89" t="s">
        <v>2122</v>
      </c>
      <c r="C3715" s="96" t="s">
        <v>834</v>
      </c>
    </row>
    <row r="3716" spans="1:3" ht="15">
      <c r="A3716" s="90" t="s">
        <v>234</v>
      </c>
      <c r="B3716" s="89" t="s">
        <v>2130</v>
      </c>
      <c r="C3716" s="96" t="s">
        <v>834</v>
      </c>
    </row>
    <row r="3717" spans="1:3" ht="15">
      <c r="A3717" s="90" t="s">
        <v>234</v>
      </c>
      <c r="B3717" s="89" t="s">
        <v>2131</v>
      </c>
      <c r="C3717" s="96" t="s">
        <v>834</v>
      </c>
    </row>
    <row r="3718" spans="1:3" ht="15">
      <c r="A3718" s="90" t="s">
        <v>234</v>
      </c>
      <c r="B3718" s="89" t="s">
        <v>2123</v>
      </c>
      <c r="C3718" s="96" t="s">
        <v>834</v>
      </c>
    </row>
    <row r="3719" spans="1:3" ht="15">
      <c r="A3719" s="90" t="s">
        <v>234</v>
      </c>
      <c r="B3719" s="89" t="s">
        <v>2114</v>
      </c>
      <c r="C3719" s="96" t="s">
        <v>834</v>
      </c>
    </row>
    <row r="3720" spans="1:3" ht="15">
      <c r="A3720" s="90" t="s">
        <v>233</v>
      </c>
      <c r="B3720" s="89" t="s">
        <v>415</v>
      </c>
      <c r="C3720" s="96" t="s">
        <v>833</v>
      </c>
    </row>
    <row r="3721" spans="1:3" ht="15">
      <c r="A3721" s="90" t="s">
        <v>233</v>
      </c>
      <c r="B3721" s="89" t="s">
        <v>414</v>
      </c>
      <c r="C3721" s="96" t="s">
        <v>833</v>
      </c>
    </row>
    <row r="3722" spans="1:3" ht="15">
      <c r="A3722" s="90" t="s">
        <v>233</v>
      </c>
      <c r="B3722" s="89" t="s">
        <v>3260</v>
      </c>
      <c r="C3722" s="96" t="s">
        <v>833</v>
      </c>
    </row>
    <row r="3723" spans="1:3" ht="15">
      <c r="A3723" s="90" t="s">
        <v>233</v>
      </c>
      <c r="B3723" s="89" t="s">
        <v>3261</v>
      </c>
      <c r="C3723" s="96" t="s">
        <v>833</v>
      </c>
    </row>
    <row r="3724" spans="1:3" ht="15">
      <c r="A3724" s="90" t="s">
        <v>233</v>
      </c>
      <c r="B3724" s="89" t="s">
        <v>3262</v>
      </c>
      <c r="C3724" s="96" t="s">
        <v>833</v>
      </c>
    </row>
    <row r="3725" spans="1:3" ht="15">
      <c r="A3725" s="90" t="s">
        <v>233</v>
      </c>
      <c r="B3725" s="89" t="s">
        <v>2360</v>
      </c>
      <c r="C3725" s="96" t="s">
        <v>833</v>
      </c>
    </row>
    <row r="3726" spans="1:3" ht="15">
      <c r="A3726" s="90" t="s">
        <v>233</v>
      </c>
      <c r="B3726" s="89" t="s">
        <v>3263</v>
      </c>
      <c r="C3726" s="96" t="s">
        <v>833</v>
      </c>
    </row>
    <row r="3727" spans="1:3" ht="15">
      <c r="A3727" s="90" t="s">
        <v>233</v>
      </c>
      <c r="B3727" s="89" t="s">
        <v>3264</v>
      </c>
      <c r="C3727" s="96" t="s">
        <v>833</v>
      </c>
    </row>
    <row r="3728" spans="1:3" ht="15">
      <c r="A3728" s="90" t="s">
        <v>233</v>
      </c>
      <c r="B3728" s="89" t="s">
        <v>3265</v>
      </c>
      <c r="C3728" s="96" t="s">
        <v>833</v>
      </c>
    </row>
    <row r="3729" spans="1:3" ht="15">
      <c r="A3729" s="90" t="s">
        <v>233</v>
      </c>
      <c r="B3729" s="89" t="s">
        <v>3266</v>
      </c>
      <c r="C3729" s="96" t="s">
        <v>833</v>
      </c>
    </row>
    <row r="3730" spans="1:3" ht="15">
      <c r="A3730" s="90" t="s">
        <v>233</v>
      </c>
      <c r="B3730" s="89" t="s">
        <v>3267</v>
      </c>
      <c r="C3730" s="96" t="s">
        <v>833</v>
      </c>
    </row>
    <row r="3731" spans="1:3" ht="15">
      <c r="A3731" s="90" t="s">
        <v>233</v>
      </c>
      <c r="B3731" s="89" t="s">
        <v>3268</v>
      </c>
      <c r="C3731" s="96" t="s">
        <v>833</v>
      </c>
    </row>
    <row r="3732" spans="1:3" ht="15">
      <c r="A3732" s="90" t="s">
        <v>233</v>
      </c>
      <c r="B3732" s="89" t="s">
        <v>3269</v>
      </c>
      <c r="C3732" s="96" t="s">
        <v>833</v>
      </c>
    </row>
    <row r="3733" spans="1:3" ht="15">
      <c r="A3733" s="90" t="s">
        <v>233</v>
      </c>
      <c r="B3733" s="89" t="s">
        <v>2630</v>
      </c>
      <c r="C3733" s="96" t="s">
        <v>833</v>
      </c>
    </row>
    <row r="3734" spans="1:3" ht="15">
      <c r="A3734" s="90" t="s">
        <v>233</v>
      </c>
      <c r="B3734" s="89" t="s">
        <v>3270</v>
      </c>
      <c r="C3734" s="96" t="s">
        <v>833</v>
      </c>
    </row>
    <row r="3735" spans="1:3" ht="15">
      <c r="A3735" s="90" t="s">
        <v>233</v>
      </c>
      <c r="B3735" s="89" t="s">
        <v>3271</v>
      </c>
      <c r="C3735" s="96" t="s">
        <v>833</v>
      </c>
    </row>
    <row r="3736" spans="1:3" ht="15">
      <c r="A3736" s="90" t="s">
        <v>233</v>
      </c>
      <c r="B3736" s="89" t="s">
        <v>3272</v>
      </c>
      <c r="C3736" s="96" t="s">
        <v>833</v>
      </c>
    </row>
    <row r="3737" spans="1:3" ht="15">
      <c r="A3737" s="90" t="s">
        <v>233</v>
      </c>
      <c r="B3737" s="89" t="s">
        <v>3273</v>
      </c>
      <c r="C3737" s="96" t="s">
        <v>833</v>
      </c>
    </row>
    <row r="3738" spans="1:3" ht="15">
      <c r="A3738" s="90" t="s">
        <v>233</v>
      </c>
      <c r="B3738" s="89" t="s">
        <v>3274</v>
      </c>
      <c r="C3738" s="96" t="s">
        <v>833</v>
      </c>
    </row>
    <row r="3739" spans="1:3" ht="15">
      <c r="A3739" s="90" t="s">
        <v>233</v>
      </c>
      <c r="B3739" s="89" t="s">
        <v>2310</v>
      </c>
      <c r="C3739" s="96" t="s">
        <v>833</v>
      </c>
    </row>
    <row r="3740" spans="1:3" ht="15">
      <c r="A3740" s="90" t="s">
        <v>233</v>
      </c>
      <c r="B3740" s="89" t="s">
        <v>3275</v>
      </c>
      <c r="C3740" s="96" t="s">
        <v>833</v>
      </c>
    </row>
    <row r="3741" spans="1:3" ht="15">
      <c r="A3741" s="90" t="s">
        <v>233</v>
      </c>
      <c r="B3741" s="89" t="s">
        <v>408</v>
      </c>
      <c r="C3741" s="96" t="s">
        <v>833</v>
      </c>
    </row>
    <row r="3742" spans="1:3" ht="15">
      <c r="A3742" s="90" t="s">
        <v>233</v>
      </c>
      <c r="B3742" s="89" t="s">
        <v>3276</v>
      </c>
      <c r="C3742" s="96" t="s">
        <v>833</v>
      </c>
    </row>
    <row r="3743" spans="1:3" ht="15">
      <c r="A3743" s="90" t="s">
        <v>233</v>
      </c>
      <c r="B3743" s="89" t="s">
        <v>3277</v>
      </c>
      <c r="C3743" s="96" t="s">
        <v>833</v>
      </c>
    </row>
    <row r="3744" spans="1:3" ht="15">
      <c r="A3744" s="90" t="s">
        <v>233</v>
      </c>
      <c r="B3744" s="89" t="s">
        <v>2376</v>
      </c>
      <c r="C3744" s="96" t="s">
        <v>833</v>
      </c>
    </row>
    <row r="3745" spans="1:3" ht="15">
      <c r="A3745" s="90" t="s">
        <v>233</v>
      </c>
      <c r="B3745" s="89" t="s">
        <v>3278</v>
      </c>
      <c r="C3745" s="96" t="s">
        <v>833</v>
      </c>
    </row>
    <row r="3746" spans="1:3" ht="15">
      <c r="A3746" s="90" t="s">
        <v>233</v>
      </c>
      <c r="B3746" s="89" t="s">
        <v>3279</v>
      </c>
      <c r="C3746" s="96" t="s">
        <v>833</v>
      </c>
    </row>
    <row r="3747" spans="1:3" ht="15">
      <c r="A3747" s="90" t="s">
        <v>233</v>
      </c>
      <c r="B3747" s="89" t="s">
        <v>3280</v>
      </c>
      <c r="C3747" s="96" t="s">
        <v>833</v>
      </c>
    </row>
    <row r="3748" spans="1:3" ht="15">
      <c r="A3748" s="90" t="s">
        <v>233</v>
      </c>
      <c r="B3748" s="89" t="s">
        <v>3281</v>
      </c>
      <c r="C3748" s="96" t="s">
        <v>833</v>
      </c>
    </row>
    <row r="3749" spans="1:3" ht="15">
      <c r="A3749" s="90" t="s">
        <v>233</v>
      </c>
      <c r="B3749" s="89" t="s">
        <v>3282</v>
      </c>
      <c r="C3749" s="96" t="s">
        <v>833</v>
      </c>
    </row>
    <row r="3750" spans="1:3" ht="15">
      <c r="A3750" s="90" t="s">
        <v>232</v>
      </c>
      <c r="B3750" s="89" t="s">
        <v>349</v>
      </c>
      <c r="C3750" s="96" t="s">
        <v>832</v>
      </c>
    </row>
    <row r="3751" spans="1:3" ht="15">
      <c r="A3751" s="90" t="s">
        <v>232</v>
      </c>
      <c r="B3751" s="89" t="s">
        <v>2369</v>
      </c>
      <c r="C3751" s="96" t="s">
        <v>832</v>
      </c>
    </row>
    <row r="3752" spans="1:3" ht="15">
      <c r="A3752" s="90" t="s">
        <v>232</v>
      </c>
      <c r="B3752" s="89" t="s">
        <v>2370</v>
      </c>
      <c r="C3752" s="96" t="s">
        <v>832</v>
      </c>
    </row>
    <row r="3753" spans="1:3" ht="15">
      <c r="A3753" s="90" t="s">
        <v>232</v>
      </c>
      <c r="B3753" s="89" t="s">
        <v>2376</v>
      </c>
      <c r="C3753" s="96" t="s">
        <v>832</v>
      </c>
    </row>
    <row r="3754" spans="1:3" ht="15">
      <c r="A3754" s="90" t="s">
        <v>232</v>
      </c>
      <c r="B3754" s="89" t="s">
        <v>2715</v>
      </c>
      <c r="C3754" s="96" t="s">
        <v>832</v>
      </c>
    </row>
    <row r="3755" spans="1:3" ht="15">
      <c r="A3755" s="90" t="s">
        <v>232</v>
      </c>
      <c r="B3755" s="89" t="s">
        <v>3283</v>
      </c>
      <c r="C3755" s="96" t="s">
        <v>832</v>
      </c>
    </row>
    <row r="3756" spans="1:3" ht="15">
      <c r="A3756" s="90" t="s">
        <v>232</v>
      </c>
      <c r="B3756" s="89" t="s">
        <v>3284</v>
      </c>
      <c r="C3756" s="96" t="s">
        <v>832</v>
      </c>
    </row>
    <row r="3757" spans="1:3" ht="15">
      <c r="A3757" s="90" t="s">
        <v>232</v>
      </c>
      <c r="B3757" s="89" t="s">
        <v>2364</v>
      </c>
      <c r="C3757" s="96" t="s">
        <v>832</v>
      </c>
    </row>
    <row r="3758" spans="1:3" ht="15">
      <c r="A3758" s="90" t="s">
        <v>232</v>
      </c>
      <c r="B3758" s="89" t="s">
        <v>3285</v>
      </c>
      <c r="C3758" s="96" t="s">
        <v>832</v>
      </c>
    </row>
    <row r="3759" spans="1:3" ht="15">
      <c r="A3759" s="90" t="s">
        <v>232</v>
      </c>
      <c r="B3759" s="89" t="s">
        <v>3286</v>
      </c>
      <c r="C3759" s="96" t="s">
        <v>832</v>
      </c>
    </row>
    <row r="3760" spans="1:3" ht="15">
      <c r="A3760" s="90" t="s">
        <v>232</v>
      </c>
      <c r="B3760" s="89" t="s">
        <v>3287</v>
      </c>
      <c r="C3760" s="96" t="s">
        <v>832</v>
      </c>
    </row>
    <row r="3761" spans="1:3" ht="15">
      <c r="A3761" s="90" t="s">
        <v>232</v>
      </c>
      <c r="B3761" s="89" t="s">
        <v>3288</v>
      </c>
      <c r="C3761" s="96" t="s">
        <v>832</v>
      </c>
    </row>
    <row r="3762" spans="1:3" ht="15">
      <c r="A3762" s="90" t="s">
        <v>232</v>
      </c>
      <c r="B3762" s="89" t="s">
        <v>3289</v>
      </c>
      <c r="C3762" s="96" t="s">
        <v>832</v>
      </c>
    </row>
    <row r="3763" spans="1:3" ht="15">
      <c r="A3763" s="90" t="s">
        <v>232</v>
      </c>
      <c r="B3763" s="89" t="s">
        <v>3290</v>
      </c>
      <c r="C3763" s="96" t="s">
        <v>832</v>
      </c>
    </row>
    <row r="3764" spans="1:3" ht="15">
      <c r="A3764" s="90" t="s">
        <v>232</v>
      </c>
      <c r="B3764" s="89" t="s">
        <v>2668</v>
      </c>
      <c r="C3764" s="96" t="s">
        <v>832</v>
      </c>
    </row>
    <row r="3765" spans="1:3" ht="15">
      <c r="A3765" s="90" t="s">
        <v>232</v>
      </c>
      <c r="B3765" s="89" t="s">
        <v>384</v>
      </c>
      <c r="C3765" s="96" t="s">
        <v>831</v>
      </c>
    </row>
    <row r="3766" spans="1:3" ht="15">
      <c r="A3766" s="90" t="s">
        <v>232</v>
      </c>
      <c r="B3766" s="89" t="s">
        <v>2369</v>
      </c>
      <c r="C3766" s="96" t="s">
        <v>831</v>
      </c>
    </row>
    <row r="3767" spans="1:3" ht="15">
      <c r="A3767" s="90" t="s">
        <v>232</v>
      </c>
      <c r="B3767" s="89" t="s">
        <v>2370</v>
      </c>
      <c r="C3767" s="96" t="s">
        <v>831</v>
      </c>
    </row>
    <row r="3768" spans="1:3" ht="15">
      <c r="A3768" s="90" t="s">
        <v>232</v>
      </c>
      <c r="B3768" s="89" t="s">
        <v>2376</v>
      </c>
      <c r="C3768" s="96" t="s">
        <v>831</v>
      </c>
    </row>
    <row r="3769" spans="1:3" ht="15">
      <c r="A3769" s="90" t="s">
        <v>232</v>
      </c>
      <c r="B3769" s="89" t="s">
        <v>2286</v>
      </c>
      <c r="C3769" s="96" t="s">
        <v>831</v>
      </c>
    </row>
    <row r="3770" spans="1:3" ht="15">
      <c r="A3770" s="90" t="s">
        <v>232</v>
      </c>
      <c r="B3770" s="89" t="s">
        <v>3291</v>
      </c>
      <c r="C3770" s="96" t="s">
        <v>831</v>
      </c>
    </row>
    <row r="3771" spans="1:3" ht="15">
      <c r="A3771" s="90" t="s">
        <v>232</v>
      </c>
      <c r="B3771" s="89" t="s">
        <v>3292</v>
      </c>
      <c r="C3771" s="96" t="s">
        <v>831</v>
      </c>
    </row>
    <row r="3772" spans="1:3" ht="15">
      <c r="A3772" s="90" t="s">
        <v>232</v>
      </c>
      <c r="B3772" s="89" t="s">
        <v>2382</v>
      </c>
      <c r="C3772" s="96" t="s">
        <v>831</v>
      </c>
    </row>
    <row r="3773" spans="1:3" ht="15">
      <c r="A3773" s="90" t="s">
        <v>232</v>
      </c>
      <c r="B3773" s="89" t="s">
        <v>3293</v>
      </c>
      <c r="C3773" s="96" t="s">
        <v>831</v>
      </c>
    </row>
    <row r="3774" spans="1:3" ht="15">
      <c r="A3774" s="90" t="s">
        <v>232</v>
      </c>
      <c r="B3774" s="89" t="s">
        <v>3294</v>
      </c>
      <c r="C3774" s="96" t="s">
        <v>831</v>
      </c>
    </row>
    <row r="3775" spans="1:3" ht="15">
      <c r="A3775" s="90" t="s">
        <v>232</v>
      </c>
      <c r="B3775" s="89" t="s">
        <v>2318</v>
      </c>
      <c r="C3775" s="96" t="s">
        <v>831</v>
      </c>
    </row>
    <row r="3776" spans="1:3" ht="15">
      <c r="A3776" s="90" t="s">
        <v>232</v>
      </c>
      <c r="B3776" s="89" t="s">
        <v>3295</v>
      </c>
      <c r="C3776" s="96" t="s">
        <v>831</v>
      </c>
    </row>
    <row r="3777" spans="1:3" ht="15">
      <c r="A3777" s="90" t="s">
        <v>232</v>
      </c>
      <c r="B3777" s="89" t="s">
        <v>3296</v>
      </c>
      <c r="C3777" s="96" t="s">
        <v>831</v>
      </c>
    </row>
    <row r="3778" spans="1:3" ht="15">
      <c r="A3778" s="90" t="s">
        <v>232</v>
      </c>
      <c r="B3778" s="89" t="s">
        <v>3297</v>
      </c>
      <c r="C3778" s="96" t="s">
        <v>831</v>
      </c>
    </row>
    <row r="3779" spans="1:3" ht="15">
      <c r="A3779" s="90" t="s">
        <v>232</v>
      </c>
      <c r="B3779" s="89" t="s">
        <v>3298</v>
      </c>
      <c r="C3779" s="96" t="s">
        <v>831</v>
      </c>
    </row>
    <row r="3780" spans="1:3" ht="15">
      <c r="A3780" s="90" t="s">
        <v>231</v>
      </c>
      <c r="B3780" s="89" t="s">
        <v>2369</v>
      </c>
      <c r="C3780" s="96" t="s">
        <v>830</v>
      </c>
    </row>
    <row r="3781" spans="1:3" ht="15">
      <c r="A3781" s="90" t="s">
        <v>231</v>
      </c>
      <c r="B3781" s="89" t="s">
        <v>2370</v>
      </c>
      <c r="C3781" s="96" t="s">
        <v>830</v>
      </c>
    </row>
    <row r="3782" spans="1:3" ht="15">
      <c r="A3782" s="90" t="s">
        <v>231</v>
      </c>
      <c r="B3782" s="89" t="s">
        <v>2399</v>
      </c>
      <c r="C3782" s="96" t="s">
        <v>830</v>
      </c>
    </row>
    <row r="3783" spans="1:3" ht="15">
      <c r="A3783" s="90" t="s">
        <v>231</v>
      </c>
      <c r="B3783" s="89" t="s">
        <v>2110</v>
      </c>
      <c r="C3783" s="96" t="s">
        <v>830</v>
      </c>
    </row>
    <row r="3784" spans="1:3" ht="15">
      <c r="A3784" s="90" t="s">
        <v>231</v>
      </c>
      <c r="B3784" s="89" t="s">
        <v>2125</v>
      </c>
      <c r="C3784" s="96" t="s">
        <v>830</v>
      </c>
    </row>
    <row r="3785" spans="1:3" ht="15">
      <c r="A3785" s="90" t="s">
        <v>231</v>
      </c>
      <c r="B3785" s="89" t="s">
        <v>2400</v>
      </c>
      <c r="C3785" s="96" t="s">
        <v>830</v>
      </c>
    </row>
    <row r="3786" spans="1:3" ht="15">
      <c r="A3786" s="90" t="s">
        <v>231</v>
      </c>
      <c r="B3786" s="89" t="s">
        <v>2127</v>
      </c>
      <c r="C3786" s="96" t="s">
        <v>830</v>
      </c>
    </row>
    <row r="3787" spans="1:3" ht="15">
      <c r="A3787" s="90" t="s">
        <v>231</v>
      </c>
      <c r="B3787" s="89" t="s">
        <v>2401</v>
      </c>
      <c r="C3787" s="96" t="s">
        <v>830</v>
      </c>
    </row>
    <row r="3788" spans="1:3" ht="15">
      <c r="A3788" s="90" t="s">
        <v>231</v>
      </c>
      <c r="B3788" s="89" t="s">
        <v>2402</v>
      </c>
      <c r="C3788" s="96" t="s">
        <v>830</v>
      </c>
    </row>
    <row r="3789" spans="1:3" ht="15">
      <c r="A3789" s="90" t="s">
        <v>231</v>
      </c>
      <c r="B3789" s="89" t="s">
        <v>2403</v>
      </c>
      <c r="C3789" s="96" t="s">
        <v>830</v>
      </c>
    </row>
    <row r="3790" spans="1:3" ht="15">
      <c r="A3790" s="90" t="s">
        <v>231</v>
      </c>
      <c r="B3790" s="89" t="s">
        <v>2404</v>
      </c>
      <c r="C3790" s="96" t="s">
        <v>830</v>
      </c>
    </row>
    <row r="3791" spans="1:3" ht="15">
      <c r="A3791" s="90" t="s">
        <v>231</v>
      </c>
      <c r="B3791" s="89" t="s">
        <v>2115</v>
      </c>
      <c r="C3791" s="96" t="s">
        <v>830</v>
      </c>
    </row>
    <row r="3792" spans="1:3" ht="15">
      <c r="A3792" s="90" t="s">
        <v>231</v>
      </c>
      <c r="B3792" s="89" t="s">
        <v>2116</v>
      </c>
      <c r="C3792" s="96" t="s">
        <v>830</v>
      </c>
    </row>
    <row r="3793" spans="1:3" ht="15">
      <c r="A3793" s="90" t="s">
        <v>231</v>
      </c>
      <c r="B3793" s="89" t="s">
        <v>2117</v>
      </c>
      <c r="C3793" s="96" t="s">
        <v>830</v>
      </c>
    </row>
    <row r="3794" spans="1:3" ht="15">
      <c r="A3794" s="90" t="s">
        <v>231</v>
      </c>
      <c r="B3794" s="89" t="s">
        <v>2118</v>
      </c>
      <c r="C3794" s="96" t="s">
        <v>830</v>
      </c>
    </row>
    <row r="3795" spans="1:3" ht="15">
      <c r="A3795" s="90" t="s">
        <v>231</v>
      </c>
      <c r="B3795" s="89" t="s">
        <v>2119</v>
      </c>
      <c r="C3795" s="96" t="s">
        <v>830</v>
      </c>
    </row>
    <row r="3796" spans="1:3" ht="15">
      <c r="A3796" s="90" t="s">
        <v>231</v>
      </c>
      <c r="B3796" s="89" t="s">
        <v>2129</v>
      </c>
      <c r="C3796" s="96" t="s">
        <v>830</v>
      </c>
    </row>
    <row r="3797" spans="1:3" ht="15">
      <c r="A3797" s="90" t="s">
        <v>231</v>
      </c>
      <c r="B3797" s="89" t="s">
        <v>2120</v>
      </c>
      <c r="C3797" s="96" t="s">
        <v>830</v>
      </c>
    </row>
    <row r="3798" spans="1:3" ht="15">
      <c r="A3798" s="90" t="s">
        <v>231</v>
      </c>
      <c r="B3798" s="89" t="s">
        <v>2121</v>
      </c>
      <c r="C3798" s="96" t="s">
        <v>830</v>
      </c>
    </row>
    <row r="3799" spans="1:3" ht="15">
      <c r="A3799" s="90" t="s">
        <v>231</v>
      </c>
      <c r="B3799" s="89" t="s">
        <v>2122</v>
      </c>
      <c r="C3799" s="96" t="s">
        <v>830</v>
      </c>
    </row>
    <row r="3800" spans="1:3" ht="15">
      <c r="A3800" s="90" t="s">
        <v>231</v>
      </c>
      <c r="B3800" s="89" t="s">
        <v>2130</v>
      </c>
      <c r="C3800" s="96" t="s">
        <v>830</v>
      </c>
    </row>
    <row r="3801" spans="1:3" ht="15">
      <c r="A3801" s="90" t="s">
        <v>231</v>
      </c>
      <c r="B3801" s="89" t="s">
        <v>2131</v>
      </c>
      <c r="C3801" s="96" t="s">
        <v>830</v>
      </c>
    </row>
    <row r="3802" spans="1:3" ht="15">
      <c r="A3802" s="90" t="s">
        <v>231</v>
      </c>
      <c r="B3802" s="89" t="s">
        <v>2123</v>
      </c>
      <c r="C3802" s="96" t="s">
        <v>830</v>
      </c>
    </row>
    <row r="3803" spans="1:3" ht="15">
      <c r="A3803" s="90" t="s">
        <v>231</v>
      </c>
      <c r="B3803" s="89" t="s">
        <v>2114</v>
      </c>
      <c r="C3803" s="96" t="s">
        <v>830</v>
      </c>
    </row>
    <row r="3804" spans="1:3" ht="15">
      <c r="A3804" s="90" t="s">
        <v>230</v>
      </c>
      <c r="B3804" s="89" t="s">
        <v>2369</v>
      </c>
      <c r="C3804" s="96" t="s">
        <v>829</v>
      </c>
    </row>
    <row r="3805" spans="1:3" ht="15">
      <c r="A3805" s="90" t="s">
        <v>230</v>
      </c>
      <c r="B3805" s="89" t="s">
        <v>2370</v>
      </c>
      <c r="C3805" s="96" t="s">
        <v>829</v>
      </c>
    </row>
    <row r="3806" spans="1:3" ht="15">
      <c r="A3806" s="90" t="s">
        <v>230</v>
      </c>
      <c r="B3806" s="89" t="s">
        <v>2399</v>
      </c>
      <c r="C3806" s="96" t="s">
        <v>829</v>
      </c>
    </row>
    <row r="3807" spans="1:3" ht="15">
      <c r="A3807" s="90" t="s">
        <v>230</v>
      </c>
      <c r="B3807" s="89" t="s">
        <v>2110</v>
      </c>
      <c r="C3807" s="96" t="s">
        <v>829</v>
      </c>
    </row>
    <row r="3808" spans="1:3" ht="15">
      <c r="A3808" s="90" t="s">
        <v>230</v>
      </c>
      <c r="B3808" s="89" t="s">
        <v>2125</v>
      </c>
      <c r="C3808" s="96" t="s">
        <v>829</v>
      </c>
    </row>
    <row r="3809" spans="1:3" ht="15">
      <c r="A3809" s="90" t="s">
        <v>230</v>
      </c>
      <c r="B3809" s="89" t="s">
        <v>2400</v>
      </c>
      <c r="C3809" s="96" t="s">
        <v>829</v>
      </c>
    </row>
    <row r="3810" spans="1:3" ht="15">
      <c r="A3810" s="90" t="s">
        <v>230</v>
      </c>
      <c r="B3810" s="89" t="s">
        <v>2127</v>
      </c>
      <c r="C3810" s="96" t="s">
        <v>829</v>
      </c>
    </row>
    <row r="3811" spans="1:3" ht="15">
      <c r="A3811" s="90" t="s">
        <v>230</v>
      </c>
      <c r="B3811" s="89" t="s">
        <v>2401</v>
      </c>
      <c r="C3811" s="96" t="s">
        <v>829</v>
      </c>
    </row>
    <row r="3812" spans="1:3" ht="15">
      <c r="A3812" s="90" t="s">
        <v>230</v>
      </c>
      <c r="B3812" s="89" t="s">
        <v>2402</v>
      </c>
      <c r="C3812" s="96" t="s">
        <v>829</v>
      </c>
    </row>
    <row r="3813" spans="1:3" ht="15">
      <c r="A3813" s="90" t="s">
        <v>230</v>
      </c>
      <c r="B3813" s="89" t="s">
        <v>2403</v>
      </c>
      <c r="C3813" s="96" t="s">
        <v>829</v>
      </c>
    </row>
    <row r="3814" spans="1:3" ht="15">
      <c r="A3814" s="90" t="s">
        <v>230</v>
      </c>
      <c r="B3814" s="89" t="s">
        <v>2404</v>
      </c>
      <c r="C3814" s="96" t="s">
        <v>829</v>
      </c>
    </row>
    <row r="3815" spans="1:3" ht="15">
      <c r="A3815" s="90" t="s">
        <v>230</v>
      </c>
      <c r="B3815" s="89" t="s">
        <v>2115</v>
      </c>
      <c r="C3815" s="96" t="s">
        <v>829</v>
      </c>
    </row>
    <row r="3816" spans="1:3" ht="15">
      <c r="A3816" s="90" t="s">
        <v>230</v>
      </c>
      <c r="B3816" s="89" t="s">
        <v>2116</v>
      </c>
      <c r="C3816" s="96" t="s">
        <v>829</v>
      </c>
    </row>
    <row r="3817" spans="1:3" ht="15">
      <c r="A3817" s="90" t="s">
        <v>230</v>
      </c>
      <c r="B3817" s="89" t="s">
        <v>2117</v>
      </c>
      <c r="C3817" s="96" t="s">
        <v>829</v>
      </c>
    </row>
    <row r="3818" spans="1:3" ht="15">
      <c r="A3818" s="90" t="s">
        <v>230</v>
      </c>
      <c r="B3818" s="89" t="s">
        <v>2118</v>
      </c>
      <c r="C3818" s="96" t="s">
        <v>829</v>
      </c>
    </row>
    <row r="3819" spans="1:3" ht="15">
      <c r="A3819" s="90" t="s">
        <v>230</v>
      </c>
      <c r="B3819" s="89" t="s">
        <v>2119</v>
      </c>
      <c r="C3819" s="96" t="s">
        <v>829</v>
      </c>
    </row>
    <row r="3820" spans="1:3" ht="15">
      <c r="A3820" s="90" t="s">
        <v>230</v>
      </c>
      <c r="B3820" s="89" t="s">
        <v>2129</v>
      </c>
      <c r="C3820" s="96" t="s">
        <v>829</v>
      </c>
    </row>
    <row r="3821" spans="1:3" ht="15">
      <c r="A3821" s="90" t="s">
        <v>230</v>
      </c>
      <c r="B3821" s="89" t="s">
        <v>2120</v>
      </c>
      <c r="C3821" s="96" t="s">
        <v>829</v>
      </c>
    </row>
    <row r="3822" spans="1:3" ht="15">
      <c r="A3822" s="90" t="s">
        <v>230</v>
      </c>
      <c r="B3822" s="89" t="s">
        <v>2121</v>
      </c>
      <c r="C3822" s="96" t="s">
        <v>829</v>
      </c>
    </row>
    <row r="3823" spans="1:3" ht="15">
      <c r="A3823" s="90" t="s">
        <v>230</v>
      </c>
      <c r="B3823" s="89" t="s">
        <v>2122</v>
      </c>
      <c r="C3823" s="96" t="s">
        <v>829</v>
      </c>
    </row>
    <row r="3824" spans="1:3" ht="15">
      <c r="A3824" s="90" t="s">
        <v>230</v>
      </c>
      <c r="B3824" s="89" t="s">
        <v>2130</v>
      </c>
      <c r="C3824" s="96" t="s">
        <v>829</v>
      </c>
    </row>
    <row r="3825" spans="1:3" ht="15">
      <c r="A3825" s="90" t="s">
        <v>230</v>
      </c>
      <c r="B3825" s="89" t="s">
        <v>2131</v>
      </c>
      <c r="C3825" s="96" t="s">
        <v>829</v>
      </c>
    </row>
    <row r="3826" spans="1:3" ht="15">
      <c r="A3826" s="90" t="s">
        <v>230</v>
      </c>
      <c r="B3826" s="89" t="s">
        <v>2123</v>
      </c>
      <c r="C3826" s="96" t="s">
        <v>829</v>
      </c>
    </row>
    <row r="3827" spans="1:3" ht="15">
      <c r="A3827" s="90" t="s">
        <v>230</v>
      </c>
      <c r="B3827" s="89" t="s">
        <v>2114</v>
      </c>
      <c r="C3827" s="96" t="s">
        <v>829</v>
      </c>
    </row>
    <row r="3828" spans="1:3" ht="15">
      <c r="A3828" s="90" t="s">
        <v>229</v>
      </c>
      <c r="B3828" s="89" t="s">
        <v>2360</v>
      </c>
      <c r="C3828" s="96" t="s">
        <v>828</v>
      </c>
    </row>
    <row r="3829" spans="1:3" ht="15">
      <c r="A3829" s="90" t="s">
        <v>229</v>
      </c>
      <c r="B3829" s="89" t="s">
        <v>2159</v>
      </c>
      <c r="C3829" s="96" t="s">
        <v>828</v>
      </c>
    </row>
    <row r="3830" spans="1:3" ht="15">
      <c r="A3830" s="90" t="s">
        <v>229</v>
      </c>
      <c r="B3830" s="89" t="s">
        <v>2160</v>
      </c>
      <c r="C3830" s="96" t="s">
        <v>828</v>
      </c>
    </row>
    <row r="3831" spans="1:3" ht="15">
      <c r="A3831" s="90" t="s">
        <v>229</v>
      </c>
      <c r="B3831" s="89" t="s">
        <v>2442</v>
      </c>
      <c r="C3831" s="96" t="s">
        <v>828</v>
      </c>
    </row>
    <row r="3832" spans="1:3" ht="15">
      <c r="A3832" s="90" t="s">
        <v>229</v>
      </c>
      <c r="B3832" s="89" t="s">
        <v>2584</v>
      </c>
      <c r="C3832" s="96" t="s">
        <v>828</v>
      </c>
    </row>
    <row r="3833" spans="1:3" ht="15">
      <c r="A3833" s="90" t="s">
        <v>229</v>
      </c>
      <c r="B3833" s="89" t="s">
        <v>2428</v>
      </c>
      <c r="C3833" s="96" t="s">
        <v>828</v>
      </c>
    </row>
    <row r="3834" spans="1:3" ht="15">
      <c r="A3834" s="90" t="s">
        <v>229</v>
      </c>
      <c r="B3834" s="89" t="s">
        <v>2585</v>
      </c>
      <c r="C3834" s="96" t="s">
        <v>828</v>
      </c>
    </row>
    <row r="3835" spans="1:3" ht="15">
      <c r="A3835" s="90" t="s">
        <v>229</v>
      </c>
      <c r="B3835" s="89" t="s">
        <v>2109</v>
      </c>
      <c r="C3835" s="96" t="s">
        <v>828</v>
      </c>
    </row>
    <row r="3836" spans="1:3" ht="15">
      <c r="A3836" s="90" t="s">
        <v>229</v>
      </c>
      <c r="B3836" s="89" t="s">
        <v>2586</v>
      </c>
      <c r="C3836" s="96" t="s">
        <v>828</v>
      </c>
    </row>
    <row r="3837" spans="1:3" ht="15">
      <c r="A3837" s="90" t="s">
        <v>229</v>
      </c>
      <c r="B3837" s="89" t="s">
        <v>2158</v>
      </c>
      <c r="C3837" s="96" t="s">
        <v>828</v>
      </c>
    </row>
    <row r="3838" spans="1:3" ht="15">
      <c r="A3838" s="90" t="s">
        <v>229</v>
      </c>
      <c r="B3838" s="89" t="s">
        <v>2162</v>
      </c>
      <c r="C3838" s="96" t="s">
        <v>828</v>
      </c>
    </row>
    <row r="3839" spans="1:3" ht="15">
      <c r="A3839" s="90" t="s">
        <v>229</v>
      </c>
      <c r="B3839" s="89" t="s">
        <v>2587</v>
      </c>
      <c r="C3839" s="96" t="s">
        <v>828</v>
      </c>
    </row>
    <row r="3840" spans="1:3" ht="15">
      <c r="A3840" s="90" t="s">
        <v>229</v>
      </c>
      <c r="B3840" s="89" t="s">
        <v>2588</v>
      </c>
      <c r="C3840" s="96" t="s">
        <v>828</v>
      </c>
    </row>
    <row r="3841" spans="1:3" ht="15">
      <c r="A3841" s="90" t="s">
        <v>229</v>
      </c>
      <c r="B3841" s="89" t="s">
        <v>2589</v>
      </c>
      <c r="C3841" s="96" t="s">
        <v>828</v>
      </c>
    </row>
    <row r="3842" spans="1:3" ht="15">
      <c r="A3842" s="90" t="s">
        <v>229</v>
      </c>
      <c r="B3842" s="89" t="s">
        <v>2369</v>
      </c>
      <c r="C3842" s="96" t="s">
        <v>828</v>
      </c>
    </row>
    <row r="3843" spans="1:3" ht="15">
      <c r="A3843" s="90" t="s">
        <v>229</v>
      </c>
      <c r="B3843" s="89" t="s">
        <v>2376</v>
      </c>
      <c r="C3843" s="96" t="s">
        <v>828</v>
      </c>
    </row>
    <row r="3844" spans="1:3" ht="15">
      <c r="A3844" s="90" t="s">
        <v>229</v>
      </c>
      <c r="B3844" s="89" t="s">
        <v>2590</v>
      </c>
      <c r="C3844" s="96" t="s">
        <v>828</v>
      </c>
    </row>
    <row r="3845" spans="1:3" ht="15">
      <c r="A3845" s="90" t="s">
        <v>229</v>
      </c>
      <c r="B3845" s="89" t="s">
        <v>2165</v>
      </c>
      <c r="C3845" s="96" t="s">
        <v>828</v>
      </c>
    </row>
    <row r="3846" spans="1:3" ht="15">
      <c r="A3846" s="90" t="s">
        <v>229</v>
      </c>
      <c r="B3846" s="89" t="s">
        <v>2591</v>
      </c>
      <c r="C3846" s="96" t="s">
        <v>828</v>
      </c>
    </row>
    <row r="3847" spans="1:3" ht="15">
      <c r="A3847" s="90" t="s">
        <v>229</v>
      </c>
      <c r="B3847" s="89" t="s">
        <v>2167</v>
      </c>
      <c r="C3847" s="96" t="s">
        <v>828</v>
      </c>
    </row>
    <row r="3848" spans="1:3" ht="15">
      <c r="A3848" s="90" t="s">
        <v>229</v>
      </c>
      <c r="B3848" s="89" t="s">
        <v>2168</v>
      </c>
      <c r="C3848" s="96" t="s">
        <v>828</v>
      </c>
    </row>
    <row r="3849" spans="1:3" ht="15">
      <c r="A3849" s="90" t="s">
        <v>229</v>
      </c>
      <c r="B3849" s="89" t="s">
        <v>2169</v>
      </c>
      <c r="C3849" s="96" t="s">
        <v>828</v>
      </c>
    </row>
    <row r="3850" spans="1:3" ht="15">
      <c r="A3850" s="90" t="s">
        <v>229</v>
      </c>
      <c r="B3850" s="89" t="s">
        <v>2170</v>
      </c>
      <c r="C3850" s="96" t="s">
        <v>828</v>
      </c>
    </row>
    <row r="3851" spans="1:3" ht="15">
      <c r="A3851" s="90" t="s">
        <v>229</v>
      </c>
      <c r="B3851" s="89" t="s">
        <v>2361</v>
      </c>
      <c r="C3851" s="96" t="s">
        <v>828</v>
      </c>
    </row>
    <row r="3852" spans="1:3" ht="15">
      <c r="A3852" s="90" t="s">
        <v>229</v>
      </c>
      <c r="B3852" s="89" t="s">
        <v>2171</v>
      </c>
      <c r="C3852" s="96" t="s">
        <v>828</v>
      </c>
    </row>
    <row r="3853" spans="1:3" ht="15">
      <c r="A3853" s="90" t="s">
        <v>229</v>
      </c>
      <c r="B3853" s="89" t="s">
        <v>2172</v>
      </c>
      <c r="C3853" s="96" t="s">
        <v>828</v>
      </c>
    </row>
    <row r="3854" spans="1:3" ht="15">
      <c r="A3854" s="90" t="s">
        <v>229</v>
      </c>
      <c r="B3854" s="89" t="s">
        <v>2173</v>
      </c>
      <c r="C3854" s="96" t="s">
        <v>828</v>
      </c>
    </row>
    <row r="3855" spans="1:3" ht="15">
      <c r="A3855" s="90" t="s">
        <v>229</v>
      </c>
      <c r="B3855" s="89" t="s">
        <v>2592</v>
      </c>
      <c r="C3855" s="96" t="s">
        <v>828</v>
      </c>
    </row>
    <row r="3856" spans="1:3" ht="15">
      <c r="A3856" s="90" t="s">
        <v>229</v>
      </c>
      <c r="B3856" s="89" t="s">
        <v>2174</v>
      </c>
      <c r="C3856" s="96" t="s">
        <v>828</v>
      </c>
    </row>
    <row r="3857" spans="1:3" ht="15">
      <c r="A3857" s="90" t="s">
        <v>228</v>
      </c>
      <c r="B3857" s="89" t="s">
        <v>2369</v>
      </c>
      <c r="C3857" s="96" t="s">
        <v>827</v>
      </c>
    </row>
    <row r="3858" spans="1:3" ht="15">
      <c r="A3858" s="90" t="s">
        <v>228</v>
      </c>
      <c r="B3858" s="89" t="s">
        <v>2370</v>
      </c>
      <c r="C3858" s="96" t="s">
        <v>827</v>
      </c>
    </row>
    <row r="3859" spans="1:3" ht="15">
      <c r="A3859" s="90" t="s">
        <v>228</v>
      </c>
      <c r="B3859" s="89" t="s">
        <v>2399</v>
      </c>
      <c r="C3859" s="96" t="s">
        <v>827</v>
      </c>
    </row>
    <row r="3860" spans="1:3" ht="15">
      <c r="A3860" s="90" t="s">
        <v>228</v>
      </c>
      <c r="B3860" s="89" t="s">
        <v>2110</v>
      </c>
      <c r="C3860" s="96" t="s">
        <v>827</v>
      </c>
    </row>
    <row r="3861" spans="1:3" ht="15">
      <c r="A3861" s="90" t="s">
        <v>228</v>
      </c>
      <c r="B3861" s="89" t="s">
        <v>2125</v>
      </c>
      <c r="C3861" s="96" t="s">
        <v>827</v>
      </c>
    </row>
    <row r="3862" spans="1:3" ht="15">
      <c r="A3862" s="90" t="s">
        <v>228</v>
      </c>
      <c r="B3862" s="89" t="s">
        <v>2400</v>
      </c>
      <c r="C3862" s="96" t="s">
        <v>827</v>
      </c>
    </row>
    <row r="3863" spans="1:3" ht="15">
      <c r="A3863" s="90" t="s">
        <v>228</v>
      </c>
      <c r="B3863" s="89" t="s">
        <v>2127</v>
      </c>
      <c r="C3863" s="96" t="s">
        <v>827</v>
      </c>
    </row>
    <row r="3864" spans="1:3" ht="15">
      <c r="A3864" s="90" t="s">
        <v>228</v>
      </c>
      <c r="B3864" s="89" t="s">
        <v>2401</v>
      </c>
      <c r="C3864" s="96" t="s">
        <v>827</v>
      </c>
    </row>
    <row r="3865" spans="1:3" ht="15">
      <c r="A3865" s="90" t="s">
        <v>228</v>
      </c>
      <c r="B3865" s="89" t="s">
        <v>2402</v>
      </c>
      <c r="C3865" s="96" t="s">
        <v>827</v>
      </c>
    </row>
    <row r="3866" spans="1:3" ht="15">
      <c r="A3866" s="90" t="s">
        <v>228</v>
      </c>
      <c r="B3866" s="89" t="s">
        <v>2403</v>
      </c>
      <c r="C3866" s="96" t="s">
        <v>827</v>
      </c>
    </row>
    <row r="3867" spans="1:3" ht="15">
      <c r="A3867" s="90" t="s">
        <v>228</v>
      </c>
      <c r="B3867" s="89" t="s">
        <v>2404</v>
      </c>
      <c r="C3867" s="96" t="s">
        <v>827</v>
      </c>
    </row>
    <row r="3868" spans="1:3" ht="15">
      <c r="A3868" s="90" t="s">
        <v>228</v>
      </c>
      <c r="B3868" s="89" t="s">
        <v>2115</v>
      </c>
      <c r="C3868" s="96" t="s">
        <v>827</v>
      </c>
    </row>
    <row r="3869" spans="1:3" ht="15">
      <c r="A3869" s="90" t="s">
        <v>228</v>
      </c>
      <c r="B3869" s="89" t="s">
        <v>2116</v>
      </c>
      <c r="C3869" s="96" t="s">
        <v>827</v>
      </c>
    </row>
    <row r="3870" spans="1:3" ht="15">
      <c r="A3870" s="90" t="s">
        <v>228</v>
      </c>
      <c r="B3870" s="89" t="s">
        <v>2117</v>
      </c>
      <c r="C3870" s="96" t="s">
        <v>827</v>
      </c>
    </row>
    <row r="3871" spans="1:3" ht="15">
      <c r="A3871" s="90" t="s">
        <v>228</v>
      </c>
      <c r="B3871" s="89" t="s">
        <v>2118</v>
      </c>
      <c r="C3871" s="96" t="s">
        <v>827</v>
      </c>
    </row>
    <row r="3872" spans="1:3" ht="15">
      <c r="A3872" s="90" t="s">
        <v>228</v>
      </c>
      <c r="B3872" s="89" t="s">
        <v>2119</v>
      </c>
      <c r="C3872" s="96" t="s">
        <v>827</v>
      </c>
    </row>
    <row r="3873" spans="1:3" ht="15">
      <c r="A3873" s="90" t="s">
        <v>228</v>
      </c>
      <c r="B3873" s="89" t="s">
        <v>2129</v>
      </c>
      <c r="C3873" s="96" t="s">
        <v>827</v>
      </c>
    </row>
    <row r="3874" spans="1:3" ht="15">
      <c r="A3874" s="90" t="s">
        <v>228</v>
      </c>
      <c r="B3874" s="89" t="s">
        <v>2120</v>
      </c>
      <c r="C3874" s="96" t="s">
        <v>827</v>
      </c>
    </row>
    <row r="3875" spans="1:3" ht="15">
      <c r="A3875" s="90" t="s">
        <v>228</v>
      </c>
      <c r="B3875" s="89" t="s">
        <v>2121</v>
      </c>
      <c r="C3875" s="96" t="s">
        <v>827</v>
      </c>
    </row>
    <row r="3876" spans="1:3" ht="15">
      <c r="A3876" s="90" t="s">
        <v>228</v>
      </c>
      <c r="B3876" s="89" t="s">
        <v>2122</v>
      </c>
      <c r="C3876" s="96" t="s">
        <v>827</v>
      </c>
    </row>
    <row r="3877" spans="1:3" ht="15">
      <c r="A3877" s="90" t="s">
        <v>228</v>
      </c>
      <c r="B3877" s="89" t="s">
        <v>2130</v>
      </c>
      <c r="C3877" s="96" t="s">
        <v>827</v>
      </c>
    </row>
    <row r="3878" spans="1:3" ht="15">
      <c r="A3878" s="90" t="s">
        <v>228</v>
      </c>
      <c r="B3878" s="89" t="s">
        <v>2131</v>
      </c>
      <c r="C3878" s="96" t="s">
        <v>827</v>
      </c>
    </row>
    <row r="3879" spans="1:3" ht="15">
      <c r="A3879" s="90" t="s">
        <v>228</v>
      </c>
      <c r="B3879" s="89" t="s">
        <v>2123</v>
      </c>
      <c r="C3879" s="96" t="s">
        <v>827</v>
      </c>
    </row>
    <row r="3880" spans="1:3" ht="15">
      <c r="A3880" s="90" t="s">
        <v>228</v>
      </c>
      <c r="B3880" s="89" t="s">
        <v>2114</v>
      </c>
      <c r="C3880" s="96" t="s">
        <v>827</v>
      </c>
    </row>
    <row r="3881" spans="1:3" ht="15">
      <c r="A3881" s="90" t="s">
        <v>227</v>
      </c>
      <c r="B3881" s="89" t="s">
        <v>2369</v>
      </c>
      <c r="C3881" s="96" t="s">
        <v>826</v>
      </c>
    </row>
    <row r="3882" spans="1:3" ht="15">
      <c r="A3882" s="90" t="s">
        <v>227</v>
      </c>
      <c r="B3882" s="89" t="s">
        <v>2370</v>
      </c>
      <c r="C3882" s="96" t="s">
        <v>826</v>
      </c>
    </row>
    <row r="3883" spans="1:3" ht="15">
      <c r="A3883" s="90" t="s">
        <v>227</v>
      </c>
      <c r="B3883" s="89" t="s">
        <v>2399</v>
      </c>
      <c r="C3883" s="96" t="s">
        <v>826</v>
      </c>
    </row>
    <row r="3884" spans="1:3" ht="15">
      <c r="A3884" s="90" t="s">
        <v>227</v>
      </c>
      <c r="B3884" s="89" t="s">
        <v>2110</v>
      </c>
      <c r="C3884" s="96" t="s">
        <v>826</v>
      </c>
    </row>
    <row r="3885" spans="1:3" ht="15">
      <c r="A3885" s="90" t="s">
        <v>227</v>
      </c>
      <c r="B3885" s="89" t="s">
        <v>2125</v>
      </c>
      <c r="C3885" s="96" t="s">
        <v>826</v>
      </c>
    </row>
    <row r="3886" spans="1:3" ht="15">
      <c r="A3886" s="90" t="s">
        <v>227</v>
      </c>
      <c r="B3886" s="89" t="s">
        <v>2400</v>
      </c>
      <c r="C3886" s="96" t="s">
        <v>826</v>
      </c>
    </row>
    <row r="3887" spans="1:3" ht="15">
      <c r="A3887" s="90" t="s">
        <v>227</v>
      </c>
      <c r="B3887" s="89" t="s">
        <v>2127</v>
      </c>
      <c r="C3887" s="96" t="s">
        <v>826</v>
      </c>
    </row>
    <row r="3888" spans="1:3" ht="15">
      <c r="A3888" s="90" t="s">
        <v>227</v>
      </c>
      <c r="B3888" s="89" t="s">
        <v>2401</v>
      </c>
      <c r="C3888" s="96" t="s">
        <v>826</v>
      </c>
    </row>
    <row r="3889" spans="1:3" ht="15">
      <c r="A3889" s="90" t="s">
        <v>227</v>
      </c>
      <c r="B3889" s="89" t="s">
        <v>2402</v>
      </c>
      <c r="C3889" s="96" t="s">
        <v>826</v>
      </c>
    </row>
    <row r="3890" spans="1:3" ht="15">
      <c r="A3890" s="90" t="s">
        <v>227</v>
      </c>
      <c r="B3890" s="89" t="s">
        <v>2403</v>
      </c>
      <c r="C3890" s="96" t="s">
        <v>826</v>
      </c>
    </row>
    <row r="3891" spans="1:3" ht="15">
      <c r="A3891" s="90" t="s">
        <v>227</v>
      </c>
      <c r="B3891" s="89" t="s">
        <v>2404</v>
      </c>
      <c r="C3891" s="96" t="s">
        <v>826</v>
      </c>
    </row>
    <row r="3892" spans="1:3" ht="15">
      <c r="A3892" s="90" t="s">
        <v>227</v>
      </c>
      <c r="B3892" s="89" t="s">
        <v>2115</v>
      </c>
      <c r="C3892" s="96" t="s">
        <v>826</v>
      </c>
    </row>
    <row r="3893" spans="1:3" ht="15">
      <c r="A3893" s="90" t="s">
        <v>227</v>
      </c>
      <c r="B3893" s="89" t="s">
        <v>2116</v>
      </c>
      <c r="C3893" s="96" t="s">
        <v>826</v>
      </c>
    </row>
    <row r="3894" spans="1:3" ht="15">
      <c r="A3894" s="90" t="s">
        <v>227</v>
      </c>
      <c r="B3894" s="89" t="s">
        <v>2117</v>
      </c>
      <c r="C3894" s="96" t="s">
        <v>826</v>
      </c>
    </row>
    <row r="3895" spans="1:3" ht="15">
      <c r="A3895" s="90" t="s">
        <v>227</v>
      </c>
      <c r="B3895" s="89" t="s">
        <v>2118</v>
      </c>
      <c r="C3895" s="96" t="s">
        <v>826</v>
      </c>
    </row>
    <row r="3896" spans="1:3" ht="15">
      <c r="A3896" s="90" t="s">
        <v>227</v>
      </c>
      <c r="B3896" s="89" t="s">
        <v>2119</v>
      </c>
      <c r="C3896" s="96" t="s">
        <v>826</v>
      </c>
    </row>
    <row r="3897" spans="1:3" ht="15">
      <c r="A3897" s="90" t="s">
        <v>227</v>
      </c>
      <c r="B3897" s="89" t="s">
        <v>2129</v>
      </c>
      <c r="C3897" s="96" t="s">
        <v>826</v>
      </c>
    </row>
    <row r="3898" spans="1:3" ht="15">
      <c r="A3898" s="90" t="s">
        <v>227</v>
      </c>
      <c r="B3898" s="89" t="s">
        <v>2120</v>
      </c>
      <c r="C3898" s="96" t="s">
        <v>826</v>
      </c>
    </row>
    <row r="3899" spans="1:3" ht="15">
      <c r="A3899" s="90" t="s">
        <v>227</v>
      </c>
      <c r="B3899" s="89" t="s">
        <v>2121</v>
      </c>
      <c r="C3899" s="96" t="s">
        <v>826</v>
      </c>
    </row>
    <row r="3900" spans="1:3" ht="15">
      <c r="A3900" s="90" t="s">
        <v>227</v>
      </c>
      <c r="B3900" s="89" t="s">
        <v>2122</v>
      </c>
      <c r="C3900" s="96" t="s">
        <v>826</v>
      </c>
    </row>
    <row r="3901" spans="1:3" ht="15">
      <c r="A3901" s="90" t="s">
        <v>227</v>
      </c>
      <c r="B3901" s="89" t="s">
        <v>2130</v>
      </c>
      <c r="C3901" s="96" t="s">
        <v>826</v>
      </c>
    </row>
    <row r="3902" spans="1:3" ht="15">
      <c r="A3902" s="90" t="s">
        <v>227</v>
      </c>
      <c r="B3902" s="89" t="s">
        <v>2131</v>
      </c>
      <c r="C3902" s="96" t="s">
        <v>826</v>
      </c>
    </row>
    <row r="3903" spans="1:3" ht="15">
      <c r="A3903" s="90" t="s">
        <v>227</v>
      </c>
      <c r="B3903" s="89" t="s">
        <v>2123</v>
      </c>
      <c r="C3903" s="96" t="s">
        <v>826</v>
      </c>
    </row>
    <row r="3904" spans="1:3" ht="15">
      <c r="A3904" s="90" t="s">
        <v>227</v>
      </c>
      <c r="B3904" s="89" t="s">
        <v>2114</v>
      </c>
      <c r="C3904" s="96" t="s">
        <v>826</v>
      </c>
    </row>
    <row r="3905" spans="1:3" ht="15">
      <c r="A3905" s="90" t="s">
        <v>226</v>
      </c>
      <c r="B3905" s="89" t="s">
        <v>2369</v>
      </c>
      <c r="C3905" s="96" t="s">
        <v>825</v>
      </c>
    </row>
    <row r="3906" spans="1:3" ht="15">
      <c r="A3906" s="90" t="s">
        <v>226</v>
      </c>
      <c r="B3906" s="89" t="s">
        <v>2370</v>
      </c>
      <c r="C3906" s="96" t="s">
        <v>825</v>
      </c>
    </row>
    <row r="3907" spans="1:3" ht="15">
      <c r="A3907" s="90" t="s">
        <v>226</v>
      </c>
      <c r="B3907" s="89" t="s">
        <v>2399</v>
      </c>
      <c r="C3907" s="96" t="s">
        <v>825</v>
      </c>
    </row>
    <row r="3908" spans="1:3" ht="15">
      <c r="A3908" s="90" t="s">
        <v>226</v>
      </c>
      <c r="B3908" s="89" t="s">
        <v>2110</v>
      </c>
      <c r="C3908" s="96" t="s">
        <v>825</v>
      </c>
    </row>
    <row r="3909" spans="1:3" ht="15">
      <c r="A3909" s="90" t="s">
        <v>226</v>
      </c>
      <c r="B3909" s="89" t="s">
        <v>2125</v>
      </c>
      <c r="C3909" s="96" t="s">
        <v>825</v>
      </c>
    </row>
    <row r="3910" spans="1:3" ht="15">
      <c r="A3910" s="90" t="s">
        <v>226</v>
      </c>
      <c r="B3910" s="89" t="s">
        <v>2400</v>
      </c>
      <c r="C3910" s="96" t="s">
        <v>825</v>
      </c>
    </row>
    <row r="3911" spans="1:3" ht="15">
      <c r="A3911" s="90" t="s">
        <v>226</v>
      </c>
      <c r="B3911" s="89" t="s">
        <v>2127</v>
      </c>
      <c r="C3911" s="96" t="s">
        <v>825</v>
      </c>
    </row>
    <row r="3912" spans="1:3" ht="15">
      <c r="A3912" s="90" t="s">
        <v>226</v>
      </c>
      <c r="B3912" s="89" t="s">
        <v>2401</v>
      </c>
      <c r="C3912" s="96" t="s">
        <v>825</v>
      </c>
    </row>
    <row r="3913" spans="1:3" ht="15">
      <c r="A3913" s="90" t="s">
        <v>226</v>
      </c>
      <c r="B3913" s="89" t="s">
        <v>2402</v>
      </c>
      <c r="C3913" s="96" t="s">
        <v>825</v>
      </c>
    </row>
    <row r="3914" spans="1:3" ht="15">
      <c r="A3914" s="90" t="s">
        <v>226</v>
      </c>
      <c r="B3914" s="89" t="s">
        <v>2403</v>
      </c>
      <c r="C3914" s="96" t="s">
        <v>825</v>
      </c>
    </row>
    <row r="3915" spans="1:3" ht="15">
      <c r="A3915" s="90" t="s">
        <v>226</v>
      </c>
      <c r="B3915" s="89" t="s">
        <v>2404</v>
      </c>
      <c r="C3915" s="96" t="s">
        <v>825</v>
      </c>
    </row>
    <row r="3916" spans="1:3" ht="15">
      <c r="A3916" s="90" t="s">
        <v>226</v>
      </c>
      <c r="B3916" s="89" t="s">
        <v>2115</v>
      </c>
      <c r="C3916" s="96" t="s">
        <v>825</v>
      </c>
    </row>
    <row r="3917" spans="1:3" ht="15">
      <c r="A3917" s="90" t="s">
        <v>226</v>
      </c>
      <c r="B3917" s="89" t="s">
        <v>2116</v>
      </c>
      <c r="C3917" s="96" t="s">
        <v>825</v>
      </c>
    </row>
    <row r="3918" spans="1:3" ht="15">
      <c r="A3918" s="90" t="s">
        <v>226</v>
      </c>
      <c r="B3918" s="89" t="s">
        <v>2117</v>
      </c>
      <c r="C3918" s="96" t="s">
        <v>825</v>
      </c>
    </row>
    <row r="3919" spans="1:3" ht="15">
      <c r="A3919" s="90" t="s">
        <v>226</v>
      </c>
      <c r="B3919" s="89" t="s">
        <v>2118</v>
      </c>
      <c r="C3919" s="96" t="s">
        <v>825</v>
      </c>
    </row>
    <row r="3920" spans="1:3" ht="15">
      <c r="A3920" s="90" t="s">
        <v>226</v>
      </c>
      <c r="B3920" s="89" t="s">
        <v>2119</v>
      </c>
      <c r="C3920" s="96" t="s">
        <v>825</v>
      </c>
    </row>
    <row r="3921" spans="1:3" ht="15">
      <c r="A3921" s="90" t="s">
        <v>226</v>
      </c>
      <c r="B3921" s="89" t="s">
        <v>2129</v>
      </c>
      <c r="C3921" s="96" t="s">
        <v>825</v>
      </c>
    </row>
    <row r="3922" spans="1:3" ht="15">
      <c r="A3922" s="90" t="s">
        <v>226</v>
      </c>
      <c r="B3922" s="89" t="s">
        <v>2120</v>
      </c>
      <c r="C3922" s="96" t="s">
        <v>825</v>
      </c>
    </row>
    <row r="3923" spans="1:3" ht="15">
      <c r="A3923" s="90" t="s">
        <v>226</v>
      </c>
      <c r="B3923" s="89" t="s">
        <v>2121</v>
      </c>
      <c r="C3923" s="96" t="s">
        <v>825</v>
      </c>
    </row>
    <row r="3924" spans="1:3" ht="15">
      <c r="A3924" s="90" t="s">
        <v>226</v>
      </c>
      <c r="B3924" s="89" t="s">
        <v>2122</v>
      </c>
      <c r="C3924" s="96" t="s">
        <v>825</v>
      </c>
    </row>
    <row r="3925" spans="1:3" ht="15">
      <c r="A3925" s="90" t="s">
        <v>226</v>
      </c>
      <c r="B3925" s="89" t="s">
        <v>2130</v>
      </c>
      <c r="C3925" s="96" t="s">
        <v>825</v>
      </c>
    </row>
    <row r="3926" spans="1:3" ht="15">
      <c r="A3926" s="90" t="s">
        <v>226</v>
      </c>
      <c r="B3926" s="89" t="s">
        <v>2131</v>
      </c>
      <c r="C3926" s="96" t="s">
        <v>825</v>
      </c>
    </row>
    <row r="3927" spans="1:3" ht="15">
      <c r="A3927" s="90" t="s">
        <v>226</v>
      </c>
      <c r="B3927" s="89" t="s">
        <v>2123</v>
      </c>
      <c r="C3927" s="96" t="s">
        <v>825</v>
      </c>
    </row>
    <row r="3928" spans="1:3" ht="15">
      <c r="A3928" s="90" t="s">
        <v>226</v>
      </c>
      <c r="B3928" s="89" t="s">
        <v>2114</v>
      </c>
      <c r="C3928" s="96" t="s">
        <v>825</v>
      </c>
    </row>
    <row r="3929" spans="1:3" ht="15">
      <c r="A3929" s="90" t="s">
        <v>225</v>
      </c>
      <c r="B3929" s="89" t="s">
        <v>2369</v>
      </c>
      <c r="C3929" s="96" t="s">
        <v>824</v>
      </c>
    </row>
    <row r="3930" spans="1:3" ht="15">
      <c r="A3930" s="90" t="s">
        <v>225</v>
      </c>
      <c r="B3930" s="89" t="s">
        <v>2370</v>
      </c>
      <c r="C3930" s="96" t="s">
        <v>824</v>
      </c>
    </row>
    <row r="3931" spans="1:3" ht="15">
      <c r="A3931" s="90" t="s">
        <v>225</v>
      </c>
      <c r="B3931" s="89" t="s">
        <v>2399</v>
      </c>
      <c r="C3931" s="96" t="s">
        <v>824</v>
      </c>
    </row>
    <row r="3932" spans="1:3" ht="15">
      <c r="A3932" s="90" t="s">
        <v>225</v>
      </c>
      <c r="B3932" s="89" t="s">
        <v>2110</v>
      </c>
      <c r="C3932" s="96" t="s">
        <v>824</v>
      </c>
    </row>
    <row r="3933" spans="1:3" ht="15">
      <c r="A3933" s="90" t="s">
        <v>225</v>
      </c>
      <c r="B3933" s="89" t="s">
        <v>2125</v>
      </c>
      <c r="C3933" s="96" t="s">
        <v>824</v>
      </c>
    </row>
    <row r="3934" spans="1:3" ht="15">
      <c r="A3934" s="90" t="s">
        <v>225</v>
      </c>
      <c r="B3934" s="89" t="s">
        <v>2400</v>
      </c>
      <c r="C3934" s="96" t="s">
        <v>824</v>
      </c>
    </row>
    <row r="3935" spans="1:3" ht="15">
      <c r="A3935" s="90" t="s">
        <v>225</v>
      </c>
      <c r="B3935" s="89" t="s">
        <v>2127</v>
      </c>
      <c r="C3935" s="96" t="s">
        <v>824</v>
      </c>
    </row>
    <row r="3936" spans="1:3" ht="15">
      <c r="A3936" s="90" t="s">
        <v>225</v>
      </c>
      <c r="B3936" s="89" t="s">
        <v>2401</v>
      </c>
      <c r="C3936" s="96" t="s">
        <v>824</v>
      </c>
    </row>
    <row r="3937" spans="1:3" ht="15">
      <c r="A3937" s="90" t="s">
        <v>225</v>
      </c>
      <c r="B3937" s="89" t="s">
        <v>2402</v>
      </c>
      <c r="C3937" s="96" t="s">
        <v>824</v>
      </c>
    </row>
    <row r="3938" spans="1:3" ht="15">
      <c r="A3938" s="90" t="s">
        <v>225</v>
      </c>
      <c r="B3938" s="89" t="s">
        <v>2403</v>
      </c>
      <c r="C3938" s="96" t="s">
        <v>824</v>
      </c>
    </row>
    <row r="3939" spans="1:3" ht="15">
      <c r="A3939" s="90" t="s">
        <v>225</v>
      </c>
      <c r="B3939" s="89" t="s">
        <v>2404</v>
      </c>
      <c r="C3939" s="96" t="s">
        <v>824</v>
      </c>
    </row>
    <row r="3940" spans="1:3" ht="15">
      <c r="A3940" s="90" t="s">
        <v>225</v>
      </c>
      <c r="B3940" s="89" t="s">
        <v>2115</v>
      </c>
      <c r="C3940" s="96" t="s">
        <v>824</v>
      </c>
    </row>
    <row r="3941" spans="1:3" ht="15">
      <c r="A3941" s="90" t="s">
        <v>225</v>
      </c>
      <c r="B3941" s="89" t="s">
        <v>2116</v>
      </c>
      <c r="C3941" s="96" t="s">
        <v>824</v>
      </c>
    </row>
    <row r="3942" spans="1:3" ht="15">
      <c r="A3942" s="90" t="s">
        <v>225</v>
      </c>
      <c r="B3942" s="89" t="s">
        <v>2117</v>
      </c>
      <c r="C3942" s="96" t="s">
        <v>824</v>
      </c>
    </row>
    <row r="3943" spans="1:3" ht="15">
      <c r="A3943" s="90" t="s">
        <v>225</v>
      </c>
      <c r="B3943" s="89" t="s">
        <v>2118</v>
      </c>
      <c r="C3943" s="96" t="s">
        <v>824</v>
      </c>
    </row>
    <row r="3944" spans="1:3" ht="15">
      <c r="A3944" s="90" t="s">
        <v>225</v>
      </c>
      <c r="B3944" s="89" t="s">
        <v>2119</v>
      </c>
      <c r="C3944" s="96" t="s">
        <v>824</v>
      </c>
    </row>
    <row r="3945" spans="1:3" ht="15">
      <c r="A3945" s="90" t="s">
        <v>225</v>
      </c>
      <c r="B3945" s="89" t="s">
        <v>2129</v>
      </c>
      <c r="C3945" s="96" t="s">
        <v>824</v>
      </c>
    </row>
    <row r="3946" spans="1:3" ht="15">
      <c r="A3946" s="90" t="s">
        <v>225</v>
      </c>
      <c r="B3946" s="89" t="s">
        <v>2120</v>
      </c>
      <c r="C3946" s="96" t="s">
        <v>824</v>
      </c>
    </row>
    <row r="3947" spans="1:3" ht="15">
      <c r="A3947" s="90" t="s">
        <v>225</v>
      </c>
      <c r="B3947" s="89" t="s">
        <v>2121</v>
      </c>
      <c r="C3947" s="96" t="s">
        <v>824</v>
      </c>
    </row>
    <row r="3948" spans="1:3" ht="15">
      <c r="A3948" s="90" t="s">
        <v>225</v>
      </c>
      <c r="B3948" s="89" t="s">
        <v>2122</v>
      </c>
      <c r="C3948" s="96" t="s">
        <v>824</v>
      </c>
    </row>
    <row r="3949" spans="1:3" ht="15">
      <c r="A3949" s="90" t="s">
        <v>225</v>
      </c>
      <c r="B3949" s="89" t="s">
        <v>2130</v>
      </c>
      <c r="C3949" s="96" t="s">
        <v>824</v>
      </c>
    </row>
    <row r="3950" spans="1:3" ht="15">
      <c r="A3950" s="90" t="s">
        <v>225</v>
      </c>
      <c r="B3950" s="89" t="s">
        <v>2131</v>
      </c>
      <c r="C3950" s="96" t="s">
        <v>824</v>
      </c>
    </row>
    <row r="3951" spans="1:3" ht="15">
      <c r="A3951" s="90" t="s">
        <v>225</v>
      </c>
      <c r="B3951" s="89" t="s">
        <v>2123</v>
      </c>
      <c r="C3951" s="96" t="s">
        <v>824</v>
      </c>
    </row>
    <row r="3952" spans="1:3" ht="15">
      <c r="A3952" s="90" t="s">
        <v>225</v>
      </c>
      <c r="B3952" s="89" t="s">
        <v>2114</v>
      </c>
      <c r="C3952" s="96" t="s">
        <v>824</v>
      </c>
    </row>
    <row r="3953" spans="1:3" ht="15">
      <c r="A3953" s="90" t="s">
        <v>224</v>
      </c>
      <c r="B3953" s="89" t="s">
        <v>3299</v>
      </c>
      <c r="C3953" s="96" t="s">
        <v>822</v>
      </c>
    </row>
    <row r="3954" spans="1:3" ht="15">
      <c r="A3954" s="90" t="s">
        <v>224</v>
      </c>
      <c r="B3954" s="89" t="s">
        <v>384</v>
      </c>
      <c r="C3954" s="96" t="s">
        <v>822</v>
      </c>
    </row>
    <row r="3955" spans="1:3" ht="15">
      <c r="A3955" s="90" t="s">
        <v>224</v>
      </c>
      <c r="B3955" s="89" t="s">
        <v>556</v>
      </c>
      <c r="C3955" s="96" t="s">
        <v>822</v>
      </c>
    </row>
    <row r="3956" spans="1:3" ht="15">
      <c r="A3956" s="90" t="s">
        <v>224</v>
      </c>
      <c r="B3956" s="89" t="s">
        <v>2369</v>
      </c>
      <c r="C3956" s="96" t="s">
        <v>823</v>
      </c>
    </row>
    <row r="3957" spans="1:3" ht="15">
      <c r="A3957" s="90" t="s">
        <v>224</v>
      </c>
      <c r="B3957" s="89" t="s">
        <v>2370</v>
      </c>
      <c r="C3957" s="96" t="s">
        <v>823</v>
      </c>
    </row>
    <row r="3958" spans="1:3" ht="15">
      <c r="A3958" s="90" t="s">
        <v>224</v>
      </c>
      <c r="B3958" s="89" t="s">
        <v>2399</v>
      </c>
      <c r="C3958" s="96" t="s">
        <v>823</v>
      </c>
    </row>
    <row r="3959" spans="1:3" ht="15">
      <c r="A3959" s="90" t="s">
        <v>224</v>
      </c>
      <c r="B3959" s="89" t="s">
        <v>2110</v>
      </c>
      <c r="C3959" s="96" t="s">
        <v>823</v>
      </c>
    </row>
    <row r="3960" spans="1:3" ht="15">
      <c r="A3960" s="90" t="s">
        <v>224</v>
      </c>
      <c r="B3960" s="89" t="s">
        <v>2125</v>
      </c>
      <c r="C3960" s="96" t="s">
        <v>823</v>
      </c>
    </row>
    <row r="3961" spans="1:3" ht="15">
      <c r="A3961" s="90" t="s">
        <v>224</v>
      </c>
      <c r="B3961" s="89" t="s">
        <v>2400</v>
      </c>
      <c r="C3961" s="96" t="s">
        <v>823</v>
      </c>
    </row>
    <row r="3962" spans="1:3" ht="15">
      <c r="A3962" s="90" t="s">
        <v>224</v>
      </c>
      <c r="B3962" s="89" t="s">
        <v>2127</v>
      </c>
      <c r="C3962" s="96" t="s">
        <v>823</v>
      </c>
    </row>
    <row r="3963" spans="1:3" ht="15">
      <c r="A3963" s="90" t="s">
        <v>224</v>
      </c>
      <c r="B3963" s="89" t="s">
        <v>2401</v>
      </c>
      <c r="C3963" s="96" t="s">
        <v>823</v>
      </c>
    </row>
    <row r="3964" spans="1:3" ht="15">
      <c r="A3964" s="90" t="s">
        <v>224</v>
      </c>
      <c r="B3964" s="89" t="s">
        <v>2402</v>
      </c>
      <c r="C3964" s="96" t="s">
        <v>823</v>
      </c>
    </row>
    <row r="3965" spans="1:3" ht="15">
      <c r="A3965" s="90" t="s">
        <v>224</v>
      </c>
      <c r="B3965" s="89" t="s">
        <v>2403</v>
      </c>
      <c r="C3965" s="96" t="s">
        <v>823</v>
      </c>
    </row>
    <row r="3966" spans="1:3" ht="15">
      <c r="A3966" s="90" t="s">
        <v>224</v>
      </c>
      <c r="B3966" s="89" t="s">
        <v>2404</v>
      </c>
      <c r="C3966" s="96" t="s">
        <v>823</v>
      </c>
    </row>
    <row r="3967" spans="1:3" ht="15">
      <c r="A3967" s="90" t="s">
        <v>224</v>
      </c>
      <c r="B3967" s="89" t="s">
        <v>2115</v>
      </c>
      <c r="C3967" s="96" t="s">
        <v>823</v>
      </c>
    </row>
    <row r="3968" spans="1:3" ht="15">
      <c r="A3968" s="90" t="s">
        <v>224</v>
      </c>
      <c r="B3968" s="89" t="s">
        <v>2116</v>
      </c>
      <c r="C3968" s="96" t="s">
        <v>823</v>
      </c>
    </row>
    <row r="3969" spans="1:3" ht="15">
      <c r="A3969" s="90" t="s">
        <v>224</v>
      </c>
      <c r="B3969" s="89" t="s">
        <v>2117</v>
      </c>
      <c r="C3969" s="96" t="s">
        <v>823</v>
      </c>
    </row>
    <row r="3970" spans="1:3" ht="15">
      <c r="A3970" s="90" t="s">
        <v>224</v>
      </c>
      <c r="B3970" s="89" t="s">
        <v>2118</v>
      </c>
      <c r="C3970" s="96" t="s">
        <v>823</v>
      </c>
    </row>
    <row r="3971" spans="1:3" ht="15">
      <c r="A3971" s="90" t="s">
        <v>224</v>
      </c>
      <c r="B3971" s="89" t="s">
        <v>2119</v>
      </c>
      <c r="C3971" s="96" t="s">
        <v>823</v>
      </c>
    </row>
    <row r="3972" spans="1:3" ht="15">
      <c r="A3972" s="90" t="s">
        <v>224</v>
      </c>
      <c r="B3972" s="89" t="s">
        <v>2129</v>
      </c>
      <c r="C3972" s="96" t="s">
        <v>823</v>
      </c>
    </row>
    <row r="3973" spans="1:3" ht="15">
      <c r="A3973" s="90" t="s">
        <v>224</v>
      </c>
      <c r="B3973" s="89" t="s">
        <v>2120</v>
      </c>
      <c r="C3973" s="96" t="s">
        <v>823</v>
      </c>
    </row>
    <row r="3974" spans="1:3" ht="15">
      <c r="A3974" s="90" t="s">
        <v>224</v>
      </c>
      <c r="B3974" s="89" t="s">
        <v>2121</v>
      </c>
      <c r="C3974" s="96" t="s">
        <v>823</v>
      </c>
    </row>
    <row r="3975" spans="1:3" ht="15">
      <c r="A3975" s="90" t="s">
        <v>224</v>
      </c>
      <c r="B3975" s="89" t="s">
        <v>2122</v>
      </c>
      <c r="C3975" s="96" t="s">
        <v>823</v>
      </c>
    </row>
    <row r="3976" spans="1:3" ht="15">
      <c r="A3976" s="90" t="s">
        <v>224</v>
      </c>
      <c r="B3976" s="89" t="s">
        <v>2130</v>
      </c>
      <c r="C3976" s="96" t="s">
        <v>823</v>
      </c>
    </row>
    <row r="3977" spans="1:3" ht="15">
      <c r="A3977" s="90" t="s">
        <v>224</v>
      </c>
      <c r="B3977" s="89" t="s">
        <v>2131</v>
      </c>
      <c r="C3977" s="96" t="s">
        <v>823</v>
      </c>
    </row>
    <row r="3978" spans="1:3" ht="15">
      <c r="A3978" s="90" t="s">
        <v>224</v>
      </c>
      <c r="B3978" s="89" t="s">
        <v>2123</v>
      </c>
      <c r="C3978" s="96" t="s">
        <v>823</v>
      </c>
    </row>
    <row r="3979" spans="1:3" ht="15">
      <c r="A3979" s="90" t="s">
        <v>224</v>
      </c>
      <c r="B3979" s="89" t="s">
        <v>2114</v>
      </c>
      <c r="C3979" s="96" t="s">
        <v>823</v>
      </c>
    </row>
    <row r="3980" spans="1:3" ht="15">
      <c r="A3980" s="90" t="s">
        <v>223</v>
      </c>
      <c r="B3980" s="89" t="s">
        <v>2369</v>
      </c>
      <c r="C3980" s="96" t="s">
        <v>821</v>
      </c>
    </row>
    <row r="3981" spans="1:3" ht="15">
      <c r="A3981" s="90" t="s">
        <v>223</v>
      </c>
      <c r="B3981" s="89" t="s">
        <v>2370</v>
      </c>
      <c r="C3981" s="96" t="s">
        <v>821</v>
      </c>
    </row>
    <row r="3982" spans="1:3" ht="15">
      <c r="A3982" s="90" t="s">
        <v>223</v>
      </c>
      <c r="B3982" s="89" t="s">
        <v>2399</v>
      </c>
      <c r="C3982" s="96" t="s">
        <v>821</v>
      </c>
    </row>
    <row r="3983" spans="1:3" ht="15">
      <c r="A3983" s="90" t="s">
        <v>223</v>
      </c>
      <c r="B3983" s="89" t="s">
        <v>2110</v>
      </c>
      <c r="C3983" s="96" t="s">
        <v>821</v>
      </c>
    </row>
    <row r="3984" spans="1:3" ht="15">
      <c r="A3984" s="90" t="s">
        <v>223</v>
      </c>
      <c r="B3984" s="89" t="s">
        <v>2125</v>
      </c>
      <c r="C3984" s="96" t="s">
        <v>821</v>
      </c>
    </row>
    <row r="3985" spans="1:3" ht="15">
      <c r="A3985" s="90" t="s">
        <v>223</v>
      </c>
      <c r="B3985" s="89" t="s">
        <v>2400</v>
      </c>
      <c r="C3985" s="96" t="s">
        <v>821</v>
      </c>
    </row>
    <row r="3986" spans="1:3" ht="15">
      <c r="A3986" s="90" t="s">
        <v>223</v>
      </c>
      <c r="B3986" s="89" t="s">
        <v>2127</v>
      </c>
      <c r="C3986" s="96" t="s">
        <v>821</v>
      </c>
    </row>
    <row r="3987" spans="1:3" ht="15">
      <c r="A3987" s="90" t="s">
        <v>223</v>
      </c>
      <c r="B3987" s="89" t="s">
        <v>2401</v>
      </c>
      <c r="C3987" s="96" t="s">
        <v>821</v>
      </c>
    </row>
    <row r="3988" spans="1:3" ht="15">
      <c r="A3988" s="90" t="s">
        <v>223</v>
      </c>
      <c r="B3988" s="89" t="s">
        <v>2402</v>
      </c>
      <c r="C3988" s="96" t="s">
        <v>821</v>
      </c>
    </row>
    <row r="3989" spans="1:3" ht="15">
      <c r="A3989" s="90" t="s">
        <v>223</v>
      </c>
      <c r="B3989" s="89" t="s">
        <v>2403</v>
      </c>
      <c r="C3989" s="96" t="s">
        <v>821</v>
      </c>
    </row>
    <row r="3990" spans="1:3" ht="15">
      <c r="A3990" s="90" t="s">
        <v>223</v>
      </c>
      <c r="B3990" s="89" t="s">
        <v>2404</v>
      </c>
      <c r="C3990" s="96" t="s">
        <v>821</v>
      </c>
    </row>
    <row r="3991" spans="1:3" ht="15">
      <c r="A3991" s="90" t="s">
        <v>223</v>
      </c>
      <c r="B3991" s="89" t="s">
        <v>2115</v>
      </c>
      <c r="C3991" s="96" t="s">
        <v>821</v>
      </c>
    </row>
    <row r="3992" spans="1:3" ht="15">
      <c r="A3992" s="90" t="s">
        <v>223</v>
      </c>
      <c r="B3992" s="89" t="s">
        <v>2116</v>
      </c>
      <c r="C3992" s="96" t="s">
        <v>821</v>
      </c>
    </row>
    <row r="3993" spans="1:3" ht="15">
      <c r="A3993" s="90" t="s">
        <v>223</v>
      </c>
      <c r="B3993" s="89" t="s">
        <v>2117</v>
      </c>
      <c r="C3993" s="96" t="s">
        <v>821</v>
      </c>
    </row>
    <row r="3994" spans="1:3" ht="15">
      <c r="A3994" s="90" t="s">
        <v>223</v>
      </c>
      <c r="B3994" s="89" t="s">
        <v>2118</v>
      </c>
      <c r="C3994" s="96" t="s">
        <v>821</v>
      </c>
    </row>
    <row r="3995" spans="1:3" ht="15">
      <c r="A3995" s="90" t="s">
        <v>223</v>
      </c>
      <c r="B3995" s="89" t="s">
        <v>2119</v>
      </c>
      <c r="C3995" s="96" t="s">
        <v>821</v>
      </c>
    </row>
    <row r="3996" spans="1:3" ht="15">
      <c r="A3996" s="90" t="s">
        <v>223</v>
      </c>
      <c r="B3996" s="89" t="s">
        <v>2129</v>
      </c>
      <c r="C3996" s="96" t="s">
        <v>821</v>
      </c>
    </row>
    <row r="3997" spans="1:3" ht="15">
      <c r="A3997" s="90" t="s">
        <v>223</v>
      </c>
      <c r="B3997" s="89" t="s">
        <v>2120</v>
      </c>
      <c r="C3997" s="96" t="s">
        <v>821</v>
      </c>
    </row>
    <row r="3998" spans="1:3" ht="15">
      <c r="A3998" s="90" t="s">
        <v>223</v>
      </c>
      <c r="B3998" s="89" t="s">
        <v>2121</v>
      </c>
      <c r="C3998" s="96" t="s">
        <v>821</v>
      </c>
    </row>
    <row r="3999" spans="1:3" ht="15">
      <c r="A3999" s="90" t="s">
        <v>223</v>
      </c>
      <c r="B3999" s="89" t="s">
        <v>2122</v>
      </c>
      <c r="C3999" s="96" t="s">
        <v>821</v>
      </c>
    </row>
    <row r="4000" spans="1:3" ht="15">
      <c r="A4000" s="90" t="s">
        <v>223</v>
      </c>
      <c r="B4000" s="89" t="s">
        <v>2130</v>
      </c>
      <c r="C4000" s="96" t="s">
        <v>821</v>
      </c>
    </row>
    <row r="4001" spans="1:3" ht="15">
      <c r="A4001" s="90" t="s">
        <v>223</v>
      </c>
      <c r="B4001" s="89" t="s">
        <v>2131</v>
      </c>
      <c r="C4001" s="96" t="s">
        <v>821</v>
      </c>
    </row>
    <row r="4002" spans="1:3" ht="15">
      <c r="A4002" s="90" t="s">
        <v>223</v>
      </c>
      <c r="B4002" s="89" t="s">
        <v>2123</v>
      </c>
      <c r="C4002" s="96" t="s">
        <v>821</v>
      </c>
    </row>
    <row r="4003" spans="1:3" ht="15">
      <c r="A4003" s="90" t="s">
        <v>223</v>
      </c>
      <c r="B4003" s="89" t="s">
        <v>2114</v>
      </c>
      <c r="C4003" s="96" t="s">
        <v>821</v>
      </c>
    </row>
    <row r="4004" spans="1:3" ht="15">
      <c r="A4004" s="90" t="s">
        <v>222</v>
      </c>
      <c r="B4004" s="89" t="s">
        <v>2369</v>
      </c>
      <c r="C4004" s="96" t="s">
        <v>820</v>
      </c>
    </row>
    <row r="4005" spans="1:3" ht="15">
      <c r="A4005" s="90" t="s">
        <v>222</v>
      </c>
      <c r="B4005" s="89" t="s">
        <v>2370</v>
      </c>
      <c r="C4005" s="96" t="s">
        <v>820</v>
      </c>
    </row>
    <row r="4006" spans="1:3" ht="15">
      <c r="A4006" s="90" t="s">
        <v>222</v>
      </c>
      <c r="B4006" s="89" t="s">
        <v>2399</v>
      </c>
      <c r="C4006" s="96" t="s">
        <v>820</v>
      </c>
    </row>
    <row r="4007" spans="1:3" ht="15">
      <c r="A4007" s="90" t="s">
        <v>222</v>
      </c>
      <c r="B4007" s="89" t="s">
        <v>2110</v>
      </c>
      <c r="C4007" s="96" t="s">
        <v>820</v>
      </c>
    </row>
    <row r="4008" spans="1:3" ht="15">
      <c r="A4008" s="90" t="s">
        <v>222</v>
      </c>
      <c r="B4008" s="89" t="s">
        <v>2125</v>
      </c>
      <c r="C4008" s="96" t="s">
        <v>820</v>
      </c>
    </row>
    <row r="4009" spans="1:3" ht="15">
      <c r="A4009" s="90" t="s">
        <v>222</v>
      </c>
      <c r="B4009" s="89" t="s">
        <v>2400</v>
      </c>
      <c r="C4009" s="96" t="s">
        <v>820</v>
      </c>
    </row>
    <row r="4010" spans="1:3" ht="15">
      <c r="A4010" s="90" t="s">
        <v>222</v>
      </c>
      <c r="B4010" s="89" t="s">
        <v>2127</v>
      </c>
      <c r="C4010" s="96" t="s">
        <v>820</v>
      </c>
    </row>
    <row r="4011" spans="1:3" ht="15">
      <c r="A4011" s="90" t="s">
        <v>222</v>
      </c>
      <c r="B4011" s="89" t="s">
        <v>2401</v>
      </c>
      <c r="C4011" s="96" t="s">
        <v>820</v>
      </c>
    </row>
    <row r="4012" spans="1:3" ht="15">
      <c r="A4012" s="90" t="s">
        <v>222</v>
      </c>
      <c r="B4012" s="89" t="s">
        <v>2402</v>
      </c>
      <c r="C4012" s="96" t="s">
        <v>820</v>
      </c>
    </row>
    <row r="4013" spans="1:3" ht="15">
      <c r="A4013" s="90" t="s">
        <v>222</v>
      </c>
      <c r="B4013" s="89" t="s">
        <v>2403</v>
      </c>
      <c r="C4013" s="96" t="s">
        <v>820</v>
      </c>
    </row>
    <row r="4014" spans="1:3" ht="15">
      <c r="A4014" s="90" t="s">
        <v>222</v>
      </c>
      <c r="B4014" s="89" t="s">
        <v>2404</v>
      </c>
      <c r="C4014" s="96" t="s">
        <v>820</v>
      </c>
    </row>
    <row r="4015" spans="1:3" ht="15">
      <c r="A4015" s="90" t="s">
        <v>222</v>
      </c>
      <c r="B4015" s="89" t="s">
        <v>2115</v>
      </c>
      <c r="C4015" s="96" t="s">
        <v>820</v>
      </c>
    </row>
    <row r="4016" spans="1:3" ht="15">
      <c r="A4016" s="90" t="s">
        <v>222</v>
      </c>
      <c r="B4016" s="89" t="s">
        <v>2116</v>
      </c>
      <c r="C4016" s="96" t="s">
        <v>820</v>
      </c>
    </row>
    <row r="4017" spans="1:3" ht="15">
      <c r="A4017" s="90" t="s">
        <v>222</v>
      </c>
      <c r="B4017" s="89" t="s">
        <v>2117</v>
      </c>
      <c r="C4017" s="96" t="s">
        <v>820</v>
      </c>
    </row>
    <row r="4018" spans="1:3" ht="15">
      <c r="A4018" s="90" t="s">
        <v>222</v>
      </c>
      <c r="B4018" s="89" t="s">
        <v>2118</v>
      </c>
      <c r="C4018" s="96" t="s">
        <v>820</v>
      </c>
    </row>
    <row r="4019" spans="1:3" ht="15">
      <c r="A4019" s="90" t="s">
        <v>222</v>
      </c>
      <c r="B4019" s="89" t="s">
        <v>2119</v>
      </c>
      <c r="C4019" s="96" t="s">
        <v>820</v>
      </c>
    </row>
    <row r="4020" spans="1:3" ht="15">
      <c r="A4020" s="90" t="s">
        <v>222</v>
      </c>
      <c r="B4020" s="89" t="s">
        <v>2129</v>
      </c>
      <c r="C4020" s="96" t="s">
        <v>820</v>
      </c>
    </row>
    <row r="4021" spans="1:3" ht="15">
      <c r="A4021" s="90" t="s">
        <v>222</v>
      </c>
      <c r="B4021" s="89" t="s">
        <v>2120</v>
      </c>
      <c r="C4021" s="96" t="s">
        <v>820</v>
      </c>
    </row>
    <row r="4022" spans="1:3" ht="15">
      <c r="A4022" s="90" t="s">
        <v>222</v>
      </c>
      <c r="B4022" s="89" t="s">
        <v>2121</v>
      </c>
      <c r="C4022" s="96" t="s">
        <v>820</v>
      </c>
    </row>
    <row r="4023" spans="1:3" ht="15">
      <c r="A4023" s="90" t="s">
        <v>222</v>
      </c>
      <c r="B4023" s="89" t="s">
        <v>2122</v>
      </c>
      <c r="C4023" s="96" t="s">
        <v>820</v>
      </c>
    </row>
    <row r="4024" spans="1:3" ht="15">
      <c r="A4024" s="90" t="s">
        <v>222</v>
      </c>
      <c r="B4024" s="89" t="s">
        <v>2130</v>
      </c>
      <c r="C4024" s="96" t="s">
        <v>820</v>
      </c>
    </row>
    <row r="4025" spans="1:3" ht="15">
      <c r="A4025" s="90" t="s">
        <v>222</v>
      </c>
      <c r="B4025" s="89" t="s">
        <v>2131</v>
      </c>
      <c r="C4025" s="96" t="s">
        <v>820</v>
      </c>
    </row>
    <row r="4026" spans="1:3" ht="15">
      <c r="A4026" s="90" t="s">
        <v>222</v>
      </c>
      <c r="B4026" s="89" t="s">
        <v>2123</v>
      </c>
      <c r="C4026" s="96" t="s">
        <v>820</v>
      </c>
    </row>
    <row r="4027" spans="1:3" ht="15">
      <c r="A4027" s="90" t="s">
        <v>222</v>
      </c>
      <c r="B4027" s="89" t="s">
        <v>2114</v>
      </c>
      <c r="C4027" s="96" t="s">
        <v>820</v>
      </c>
    </row>
    <row r="4028" spans="1:3" ht="15">
      <c r="A4028" s="90" t="s">
        <v>221</v>
      </c>
      <c r="B4028" s="89" t="s">
        <v>2369</v>
      </c>
      <c r="C4028" s="96" t="s">
        <v>819</v>
      </c>
    </row>
    <row r="4029" spans="1:3" ht="15">
      <c r="A4029" s="90" t="s">
        <v>221</v>
      </c>
      <c r="B4029" s="89" t="s">
        <v>2370</v>
      </c>
      <c r="C4029" s="96" t="s">
        <v>819</v>
      </c>
    </row>
    <row r="4030" spans="1:3" ht="15">
      <c r="A4030" s="90" t="s">
        <v>221</v>
      </c>
      <c r="B4030" s="89" t="s">
        <v>2399</v>
      </c>
      <c r="C4030" s="96" t="s">
        <v>819</v>
      </c>
    </row>
    <row r="4031" spans="1:3" ht="15">
      <c r="A4031" s="90" t="s">
        <v>221</v>
      </c>
      <c r="B4031" s="89" t="s">
        <v>2110</v>
      </c>
      <c r="C4031" s="96" t="s">
        <v>819</v>
      </c>
    </row>
    <row r="4032" spans="1:3" ht="15">
      <c r="A4032" s="90" t="s">
        <v>221</v>
      </c>
      <c r="B4032" s="89" t="s">
        <v>2125</v>
      </c>
      <c r="C4032" s="96" t="s">
        <v>819</v>
      </c>
    </row>
    <row r="4033" spans="1:3" ht="15">
      <c r="A4033" s="90" t="s">
        <v>221</v>
      </c>
      <c r="B4033" s="89" t="s">
        <v>2400</v>
      </c>
      <c r="C4033" s="96" t="s">
        <v>819</v>
      </c>
    </row>
    <row r="4034" spans="1:3" ht="15">
      <c r="A4034" s="90" t="s">
        <v>221</v>
      </c>
      <c r="B4034" s="89" t="s">
        <v>2127</v>
      </c>
      <c r="C4034" s="96" t="s">
        <v>819</v>
      </c>
    </row>
    <row r="4035" spans="1:3" ht="15">
      <c r="A4035" s="90" t="s">
        <v>221</v>
      </c>
      <c r="B4035" s="89" t="s">
        <v>2401</v>
      </c>
      <c r="C4035" s="96" t="s">
        <v>819</v>
      </c>
    </row>
    <row r="4036" spans="1:3" ht="15">
      <c r="A4036" s="90" t="s">
        <v>221</v>
      </c>
      <c r="B4036" s="89" t="s">
        <v>2402</v>
      </c>
      <c r="C4036" s="96" t="s">
        <v>819</v>
      </c>
    </row>
    <row r="4037" spans="1:3" ht="15">
      <c r="A4037" s="90" t="s">
        <v>221</v>
      </c>
      <c r="B4037" s="89" t="s">
        <v>2403</v>
      </c>
      <c r="C4037" s="96" t="s">
        <v>819</v>
      </c>
    </row>
    <row r="4038" spans="1:3" ht="15">
      <c r="A4038" s="90" t="s">
        <v>221</v>
      </c>
      <c r="B4038" s="89" t="s">
        <v>2404</v>
      </c>
      <c r="C4038" s="96" t="s">
        <v>819</v>
      </c>
    </row>
    <row r="4039" spans="1:3" ht="15">
      <c r="A4039" s="90" t="s">
        <v>221</v>
      </c>
      <c r="B4039" s="89" t="s">
        <v>2115</v>
      </c>
      <c r="C4039" s="96" t="s">
        <v>819</v>
      </c>
    </row>
    <row r="4040" spans="1:3" ht="15">
      <c r="A4040" s="90" t="s">
        <v>221</v>
      </c>
      <c r="B4040" s="89" t="s">
        <v>2116</v>
      </c>
      <c r="C4040" s="96" t="s">
        <v>819</v>
      </c>
    </row>
    <row r="4041" spans="1:3" ht="15">
      <c r="A4041" s="90" t="s">
        <v>221</v>
      </c>
      <c r="B4041" s="89" t="s">
        <v>2117</v>
      </c>
      <c r="C4041" s="96" t="s">
        <v>819</v>
      </c>
    </row>
    <row r="4042" spans="1:3" ht="15">
      <c r="A4042" s="90" t="s">
        <v>221</v>
      </c>
      <c r="B4042" s="89" t="s">
        <v>2118</v>
      </c>
      <c r="C4042" s="96" t="s">
        <v>819</v>
      </c>
    </row>
    <row r="4043" spans="1:3" ht="15">
      <c r="A4043" s="90" t="s">
        <v>221</v>
      </c>
      <c r="B4043" s="89" t="s">
        <v>2119</v>
      </c>
      <c r="C4043" s="96" t="s">
        <v>819</v>
      </c>
    </row>
    <row r="4044" spans="1:3" ht="15">
      <c r="A4044" s="90" t="s">
        <v>221</v>
      </c>
      <c r="B4044" s="89" t="s">
        <v>2129</v>
      </c>
      <c r="C4044" s="96" t="s">
        <v>819</v>
      </c>
    </row>
    <row r="4045" spans="1:3" ht="15">
      <c r="A4045" s="90" t="s">
        <v>221</v>
      </c>
      <c r="B4045" s="89" t="s">
        <v>2120</v>
      </c>
      <c r="C4045" s="96" t="s">
        <v>819</v>
      </c>
    </row>
    <row r="4046" spans="1:3" ht="15">
      <c r="A4046" s="90" t="s">
        <v>221</v>
      </c>
      <c r="B4046" s="89" t="s">
        <v>2121</v>
      </c>
      <c r="C4046" s="96" t="s">
        <v>819</v>
      </c>
    </row>
    <row r="4047" spans="1:3" ht="15">
      <c r="A4047" s="90" t="s">
        <v>221</v>
      </c>
      <c r="B4047" s="89" t="s">
        <v>2122</v>
      </c>
      <c r="C4047" s="96" t="s">
        <v>819</v>
      </c>
    </row>
    <row r="4048" spans="1:3" ht="15">
      <c r="A4048" s="90" t="s">
        <v>221</v>
      </c>
      <c r="B4048" s="89" t="s">
        <v>2130</v>
      </c>
      <c r="C4048" s="96" t="s">
        <v>819</v>
      </c>
    </row>
    <row r="4049" spans="1:3" ht="15">
      <c r="A4049" s="90" t="s">
        <v>221</v>
      </c>
      <c r="B4049" s="89" t="s">
        <v>2131</v>
      </c>
      <c r="C4049" s="96" t="s">
        <v>819</v>
      </c>
    </row>
    <row r="4050" spans="1:3" ht="15">
      <c r="A4050" s="90" t="s">
        <v>221</v>
      </c>
      <c r="B4050" s="89" t="s">
        <v>2123</v>
      </c>
      <c r="C4050" s="96" t="s">
        <v>819</v>
      </c>
    </row>
    <row r="4051" spans="1:3" ht="15">
      <c r="A4051" s="90" t="s">
        <v>221</v>
      </c>
      <c r="B4051" s="89" t="s">
        <v>2114</v>
      </c>
      <c r="C4051" s="96" t="s">
        <v>819</v>
      </c>
    </row>
    <row r="4052" spans="1:3" ht="15">
      <c r="A4052" s="90" t="s">
        <v>220</v>
      </c>
      <c r="B4052" s="89" t="s">
        <v>2369</v>
      </c>
      <c r="C4052" s="96" t="s">
        <v>818</v>
      </c>
    </row>
    <row r="4053" spans="1:3" ht="15">
      <c r="A4053" s="90" t="s">
        <v>220</v>
      </c>
      <c r="B4053" s="89" t="s">
        <v>2370</v>
      </c>
      <c r="C4053" s="96" t="s">
        <v>818</v>
      </c>
    </row>
    <row r="4054" spans="1:3" ht="15">
      <c r="A4054" s="90" t="s">
        <v>220</v>
      </c>
      <c r="B4054" s="89" t="s">
        <v>2399</v>
      </c>
      <c r="C4054" s="96" t="s">
        <v>818</v>
      </c>
    </row>
    <row r="4055" spans="1:3" ht="15">
      <c r="A4055" s="90" t="s">
        <v>220</v>
      </c>
      <c r="B4055" s="89" t="s">
        <v>2110</v>
      </c>
      <c r="C4055" s="96" t="s">
        <v>818</v>
      </c>
    </row>
    <row r="4056" spans="1:3" ht="15">
      <c r="A4056" s="90" t="s">
        <v>220</v>
      </c>
      <c r="B4056" s="89" t="s">
        <v>2125</v>
      </c>
      <c r="C4056" s="96" t="s">
        <v>818</v>
      </c>
    </row>
    <row r="4057" spans="1:3" ht="15">
      <c r="A4057" s="90" t="s">
        <v>220</v>
      </c>
      <c r="B4057" s="89" t="s">
        <v>2400</v>
      </c>
      <c r="C4057" s="96" t="s">
        <v>818</v>
      </c>
    </row>
    <row r="4058" spans="1:3" ht="15">
      <c r="A4058" s="90" t="s">
        <v>220</v>
      </c>
      <c r="B4058" s="89" t="s">
        <v>2127</v>
      </c>
      <c r="C4058" s="96" t="s">
        <v>818</v>
      </c>
    </row>
    <row r="4059" spans="1:3" ht="15">
      <c r="A4059" s="90" t="s">
        <v>220</v>
      </c>
      <c r="B4059" s="89" t="s">
        <v>2401</v>
      </c>
      <c r="C4059" s="96" t="s">
        <v>818</v>
      </c>
    </row>
    <row r="4060" spans="1:3" ht="15">
      <c r="A4060" s="90" t="s">
        <v>220</v>
      </c>
      <c r="B4060" s="89" t="s">
        <v>2402</v>
      </c>
      <c r="C4060" s="96" t="s">
        <v>818</v>
      </c>
    </row>
    <row r="4061" spans="1:3" ht="15">
      <c r="A4061" s="90" t="s">
        <v>220</v>
      </c>
      <c r="B4061" s="89" t="s">
        <v>2403</v>
      </c>
      <c r="C4061" s="96" t="s">
        <v>818</v>
      </c>
    </row>
    <row r="4062" spans="1:3" ht="15">
      <c r="A4062" s="90" t="s">
        <v>220</v>
      </c>
      <c r="B4062" s="89" t="s">
        <v>2404</v>
      </c>
      <c r="C4062" s="96" t="s">
        <v>818</v>
      </c>
    </row>
    <row r="4063" spans="1:3" ht="15">
      <c r="A4063" s="90" t="s">
        <v>220</v>
      </c>
      <c r="B4063" s="89" t="s">
        <v>2115</v>
      </c>
      <c r="C4063" s="96" t="s">
        <v>818</v>
      </c>
    </row>
    <row r="4064" spans="1:3" ht="15">
      <c r="A4064" s="90" t="s">
        <v>220</v>
      </c>
      <c r="B4064" s="89" t="s">
        <v>2116</v>
      </c>
      <c r="C4064" s="96" t="s">
        <v>818</v>
      </c>
    </row>
    <row r="4065" spans="1:3" ht="15">
      <c r="A4065" s="90" t="s">
        <v>220</v>
      </c>
      <c r="B4065" s="89" t="s">
        <v>2117</v>
      </c>
      <c r="C4065" s="96" t="s">
        <v>818</v>
      </c>
    </row>
    <row r="4066" spans="1:3" ht="15">
      <c r="A4066" s="90" t="s">
        <v>220</v>
      </c>
      <c r="B4066" s="89" t="s">
        <v>2118</v>
      </c>
      <c r="C4066" s="96" t="s">
        <v>818</v>
      </c>
    </row>
    <row r="4067" spans="1:3" ht="15">
      <c r="A4067" s="90" t="s">
        <v>220</v>
      </c>
      <c r="B4067" s="89" t="s">
        <v>2119</v>
      </c>
      <c r="C4067" s="96" t="s">
        <v>818</v>
      </c>
    </row>
    <row r="4068" spans="1:3" ht="15">
      <c r="A4068" s="90" t="s">
        <v>220</v>
      </c>
      <c r="B4068" s="89" t="s">
        <v>2129</v>
      </c>
      <c r="C4068" s="96" t="s">
        <v>818</v>
      </c>
    </row>
    <row r="4069" spans="1:3" ht="15">
      <c r="A4069" s="90" t="s">
        <v>220</v>
      </c>
      <c r="B4069" s="89" t="s">
        <v>2120</v>
      </c>
      <c r="C4069" s="96" t="s">
        <v>818</v>
      </c>
    </row>
    <row r="4070" spans="1:3" ht="15">
      <c r="A4070" s="90" t="s">
        <v>220</v>
      </c>
      <c r="B4070" s="89" t="s">
        <v>2121</v>
      </c>
      <c r="C4070" s="96" t="s">
        <v>818</v>
      </c>
    </row>
    <row r="4071" spans="1:3" ht="15">
      <c r="A4071" s="90" t="s">
        <v>220</v>
      </c>
      <c r="B4071" s="89" t="s">
        <v>2122</v>
      </c>
      <c r="C4071" s="96" t="s">
        <v>818</v>
      </c>
    </row>
    <row r="4072" spans="1:3" ht="15">
      <c r="A4072" s="90" t="s">
        <v>220</v>
      </c>
      <c r="B4072" s="89" t="s">
        <v>2130</v>
      </c>
      <c r="C4072" s="96" t="s">
        <v>818</v>
      </c>
    </row>
    <row r="4073" spans="1:3" ht="15">
      <c r="A4073" s="90" t="s">
        <v>220</v>
      </c>
      <c r="B4073" s="89" t="s">
        <v>2131</v>
      </c>
      <c r="C4073" s="96" t="s">
        <v>818</v>
      </c>
    </row>
    <row r="4074" spans="1:3" ht="15">
      <c r="A4074" s="90" t="s">
        <v>220</v>
      </c>
      <c r="B4074" s="89" t="s">
        <v>2123</v>
      </c>
      <c r="C4074" s="96" t="s">
        <v>818</v>
      </c>
    </row>
    <row r="4075" spans="1:3" ht="15">
      <c r="A4075" s="90" t="s">
        <v>220</v>
      </c>
      <c r="B4075" s="89" t="s">
        <v>2114</v>
      </c>
      <c r="C4075" s="96" t="s">
        <v>818</v>
      </c>
    </row>
    <row r="4076" spans="1:3" ht="15">
      <c r="A4076" s="90" t="s">
        <v>219</v>
      </c>
      <c r="B4076" s="89" t="s">
        <v>2369</v>
      </c>
      <c r="C4076" s="96" t="s">
        <v>817</v>
      </c>
    </row>
    <row r="4077" spans="1:3" ht="15">
      <c r="A4077" s="90" t="s">
        <v>219</v>
      </c>
      <c r="B4077" s="89" t="s">
        <v>2370</v>
      </c>
      <c r="C4077" s="96" t="s">
        <v>817</v>
      </c>
    </row>
    <row r="4078" spans="1:3" ht="15">
      <c r="A4078" s="90" t="s">
        <v>219</v>
      </c>
      <c r="B4078" s="89" t="s">
        <v>2399</v>
      </c>
      <c r="C4078" s="96" t="s">
        <v>817</v>
      </c>
    </row>
    <row r="4079" spans="1:3" ht="15">
      <c r="A4079" s="90" t="s">
        <v>219</v>
      </c>
      <c r="B4079" s="89" t="s">
        <v>2110</v>
      </c>
      <c r="C4079" s="96" t="s">
        <v>817</v>
      </c>
    </row>
    <row r="4080" spans="1:3" ht="15">
      <c r="A4080" s="90" t="s">
        <v>219</v>
      </c>
      <c r="B4080" s="89" t="s">
        <v>2125</v>
      </c>
      <c r="C4080" s="96" t="s">
        <v>817</v>
      </c>
    </row>
    <row r="4081" spans="1:3" ht="15">
      <c r="A4081" s="90" t="s">
        <v>219</v>
      </c>
      <c r="B4081" s="89" t="s">
        <v>2400</v>
      </c>
      <c r="C4081" s="96" t="s">
        <v>817</v>
      </c>
    </row>
    <row r="4082" spans="1:3" ht="15">
      <c r="A4082" s="90" t="s">
        <v>219</v>
      </c>
      <c r="B4082" s="89" t="s">
        <v>2127</v>
      </c>
      <c r="C4082" s="96" t="s">
        <v>817</v>
      </c>
    </row>
    <row r="4083" spans="1:3" ht="15">
      <c r="A4083" s="90" t="s">
        <v>219</v>
      </c>
      <c r="B4083" s="89" t="s">
        <v>2401</v>
      </c>
      <c r="C4083" s="96" t="s">
        <v>817</v>
      </c>
    </row>
    <row r="4084" spans="1:3" ht="15">
      <c r="A4084" s="90" t="s">
        <v>219</v>
      </c>
      <c r="B4084" s="89" t="s">
        <v>2402</v>
      </c>
      <c r="C4084" s="96" t="s">
        <v>817</v>
      </c>
    </row>
    <row r="4085" spans="1:3" ht="15">
      <c r="A4085" s="90" t="s">
        <v>219</v>
      </c>
      <c r="B4085" s="89" t="s">
        <v>2403</v>
      </c>
      <c r="C4085" s="96" t="s">
        <v>817</v>
      </c>
    </row>
    <row r="4086" spans="1:3" ht="15">
      <c r="A4086" s="90" t="s">
        <v>219</v>
      </c>
      <c r="B4086" s="89" t="s">
        <v>2404</v>
      </c>
      <c r="C4086" s="96" t="s">
        <v>817</v>
      </c>
    </row>
    <row r="4087" spans="1:3" ht="15">
      <c r="A4087" s="90" t="s">
        <v>219</v>
      </c>
      <c r="B4087" s="89" t="s">
        <v>2115</v>
      </c>
      <c r="C4087" s="96" t="s">
        <v>817</v>
      </c>
    </row>
    <row r="4088" spans="1:3" ht="15">
      <c r="A4088" s="90" t="s">
        <v>219</v>
      </c>
      <c r="B4088" s="89" t="s">
        <v>2116</v>
      </c>
      <c r="C4088" s="96" t="s">
        <v>817</v>
      </c>
    </row>
    <row r="4089" spans="1:3" ht="15">
      <c r="A4089" s="90" t="s">
        <v>219</v>
      </c>
      <c r="B4089" s="89" t="s">
        <v>2117</v>
      </c>
      <c r="C4089" s="96" t="s">
        <v>817</v>
      </c>
    </row>
    <row r="4090" spans="1:3" ht="15">
      <c r="A4090" s="90" t="s">
        <v>219</v>
      </c>
      <c r="B4090" s="89" t="s">
        <v>2118</v>
      </c>
      <c r="C4090" s="96" t="s">
        <v>817</v>
      </c>
    </row>
    <row r="4091" spans="1:3" ht="15">
      <c r="A4091" s="90" t="s">
        <v>219</v>
      </c>
      <c r="B4091" s="89" t="s">
        <v>2119</v>
      </c>
      <c r="C4091" s="96" t="s">
        <v>817</v>
      </c>
    </row>
    <row r="4092" spans="1:3" ht="15">
      <c r="A4092" s="90" t="s">
        <v>219</v>
      </c>
      <c r="B4092" s="89" t="s">
        <v>2129</v>
      </c>
      <c r="C4092" s="96" t="s">
        <v>817</v>
      </c>
    </row>
    <row r="4093" spans="1:3" ht="15">
      <c r="A4093" s="90" t="s">
        <v>219</v>
      </c>
      <c r="B4093" s="89" t="s">
        <v>2120</v>
      </c>
      <c r="C4093" s="96" t="s">
        <v>817</v>
      </c>
    </row>
    <row r="4094" spans="1:3" ht="15">
      <c r="A4094" s="90" t="s">
        <v>219</v>
      </c>
      <c r="B4094" s="89" t="s">
        <v>2121</v>
      </c>
      <c r="C4094" s="96" t="s">
        <v>817</v>
      </c>
    </row>
    <row r="4095" spans="1:3" ht="15">
      <c r="A4095" s="90" t="s">
        <v>219</v>
      </c>
      <c r="B4095" s="89" t="s">
        <v>2122</v>
      </c>
      <c r="C4095" s="96" t="s">
        <v>817</v>
      </c>
    </row>
    <row r="4096" spans="1:3" ht="15">
      <c r="A4096" s="90" t="s">
        <v>219</v>
      </c>
      <c r="B4096" s="89" t="s">
        <v>2130</v>
      </c>
      <c r="C4096" s="96" t="s">
        <v>817</v>
      </c>
    </row>
    <row r="4097" spans="1:3" ht="15">
      <c r="A4097" s="90" t="s">
        <v>219</v>
      </c>
      <c r="B4097" s="89" t="s">
        <v>2131</v>
      </c>
      <c r="C4097" s="96" t="s">
        <v>817</v>
      </c>
    </row>
    <row r="4098" spans="1:3" ht="15">
      <c r="A4098" s="90" t="s">
        <v>219</v>
      </c>
      <c r="B4098" s="89" t="s">
        <v>2123</v>
      </c>
      <c r="C4098" s="96" t="s">
        <v>817</v>
      </c>
    </row>
    <row r="4099" spans="1:3" ht="15">
      <c r="A4099" s="90" t="s">
        <v>219</v>
      </c>
      <c r="B4099" s="89" t="s">
        <v>2114</v>
      </c>
      <c r="C4099" s="96" t="s">
        <v>817</v>
      </c>
    </row>
    <row r="4100" spans="1:3" ht="15">
      <c r="A4100" s="90" t="s">
        <v>218</v>
      </c>
      <c r="B4100" s="89" t="s">
        <v>2369</v>
      </c>
      <c r="C4100" s="96" t="s">
        <v>816</v>
      </c>
    </row>
    <row r="4101" spans="1:3" ht="15">
      <c r="A4101" s="90" t="s">
        <v>218</v>
      </c>
      <c r="B4101" s="89" t="s">
        <v>2370</v>
      </c>
      <c r="C4101" s="96" t="s">
        <v>816</v>
      </c>
    </row>
    <row r="4102" spans="1:3" ht="15">
      <c r="A4102" s="90" t="s">
        <v>218</v>
      </c>
      <c r="B4102" s="89" t="s">
        <v>2399</v>
      </c>
      <c r="C4102" s="96" t="s">
        <v>816</v>
      </c>
    </row>
    <row r="4103" spans="1:3" ht="15">
      <c r="A4103" s="90" t="s">
        <v>218</v>
      </c>
      <c r="B4103" s="89" t="s">
        <v>2110</v>
      </c>
      <c r="C4103" s="96" t="s">
        <v>816</v>
      </c>
    </row>
    <row r="4104" spans="1:3" ht="15">
      <c r="A4104" s="90" t="s">
        <v>218</v>
      </c>
      <c r="B4104" s="89" t="s">
        <v>2125</v>
      </c>
      <c r="C4104" s="96" t="s">
        <v>816</v>
      </c>
    </row>
    <row r="4105" spans="1:3" ht="15">
      <c r="A4105" s="90" t="s">
        <v>218</v>
      </c>
      <c r="B4105" s="89" t="s">
        <v>2400</v>
      </c>
      <c r="C4105" s="96" t="s">
        <v>816</v>
      </c>
    </row>
    <row r="4106" spans="1:3" ht="15">
      <c r="A4106" s="90" t="s">
        <v>218</v>
      </c>
      <c r="B4106" s="89" t="s">
        <v>2127</v>
      </c>
      <c r="C4106" s="96" t="s">
        <v>816</v>
      </c>
    </row>
    <row r="4107" spans="1:3" ht="15">
      <c r="A4107" s="90" t="s">
        <v>218</v>
      </c>
      <c r="B4107" s="89" t="s">
        <v>2401</v>
      </c>
      <c r="C4107" s="96" t="s">
        <v>816</v>
      </c>
    </row>
    <row r="4108" spans="1:3" ht="15">
      <c r="A4108" s="90" t="s">
        <v>218</v>
      </c>
      <c r="B4108" s="89" t="s">
        <v>2402</v>
      </c>
      <c r="C4108" s="96" t="s">
        <v>816</v>
      </c>
    </row>
    <row r="4109" spans="1:3" ht="15">
      <c r="A4109" s="90" t="s">
        <v>218</v>
      </c>
      <c r="B4109" s="89" t="s">
        <v>2403</v>
      </c>
      <c r="C4109" s="96" t="s">
        <v>816</v>
      </c>
    </row>
    <row r="4110" spans="1:3" ht="15">
      <c r="A4110" s="90" t="s">
        <v>218</v>
      </c>
      <c r="B4110" s="89" t="s">
        <v>2404</v>
      </c>
      <c r="C4110" s="96" t="s">
        <v>816</v>
      </c>
    </row>
    <row r="4111" spans="1:3" ht="15">
      <c r="A4111" s="90" t="s">
        <v>218</v>
      </c>
      <c r="B4111" s="89" t="s">
        <v>2115</v>
      </c>
      <c r="C4111" s="96" t="s">
        <v>816</v>
      </c>
    </row>
    <row r="4112" spans="1:3" ht="15">
      <c r="A4112" s="90" t="s">
        <v>218</v>
      </c>
      <c r="B4112" s="89" t="s">
        <v>2116</v>
      </c>
      <c r="C4112" s="96" t="s">
        <v>816</v>
      </c>
    </row>
    <row r="4113" spans="1:3" ht="15">
      <c r="A4113" s="90" t="s">
        <v>218</v>
      </c>
      <c r="B4113" s="89" t="s">
        <v>2117</v>
      </c>
      <c r="C4113" s="96" t="s">
        <v>816</v>
      </c>
    </row>
    <row r="4114" spans="1:3" ht="15">
      <c r="A4114" s="90" t="s">
        <v>218</v>
      </c>
      <c r="B4114" s="89" t="s">
        <v>2118</v>
      </c>
      <c r="C4114" s="96" t="s">
        <v>816</v>
      </c>
    </row>
    <row r="4115" spans="1:3" ht="15">
      <c r="A4115" s="90" t="s">
        <v>218</v>
      </c>
      <c r="B4115" s="89" t="s">
        <v>2119</v>
      </c>
      <c r="C4115" s="96" t="s">
        <v>816</v>
      </c>
    </row>
    <row r="4116" spans="1:3" ht="15">
      <c r="A4116" s="90" t="s">
        <v>218</v>
      </c>
      <c r="B4116" s="89" t="s">
        <v>2129</v>
      </c>
      <c r="C4116" s="96" t="s">
        <v>816</v>
      </c>
    </row>
    <row r="4117" spans="1:3" ht="15">
      <c r="A4117" s="90" t="s">
        <v>218</v>
      </c>
      <c r="B4117" s="89" t="s">
        <v>2120</v>
      </c>
      <c r="C4117" s="96" t="s">
        <v>816</v>
      </c>
    </row>
    <row r="4118" spans="1:3" ht="15">
      <c r="A4118" s="90" t="s">
        <v>218</v>
      </c>
      <c r="B4118" s="89" t="s">
        <v>2121</v>
      </c>
      <c r="C4118" s="96" t="s">
        <v>816</v>
      </c>
    </row>
    <row r="4119" spans="1:3" ht="15">
      <c r="A4119" s="90" t="s">
        <v>218</v>
      </c>
      <c r="B4119" s="89" t="s">
        <v>2122</v>
      </c>
      <c r="C4119" s="96" t="s">
        <v>816</v>
      </c>
    </row>
    <row r="4120" spans="1:3" ht="15">
      <c r="A4120" s="90" t="s">
        <v>218</v>
      </c>
      <c r="B4120" s="89" t="s">
        <v>2130</v>
      </c>
      <c r="C4120" s="96" t="s">
        <v>816</v>
      </c>
    </row>
    <row r="4121" spans="1:3" ht="15">
      <c r="A4121" s="90" t="s">
        <v>218</v>
      </c>
      <c r="B4121" s="89" t="s">
        <v>2131</v>
      </c>
      <c r="C4121" s="96" t="s">
        <v>816</v>
      </c>
    </row>
    <row r="4122" spans="1:3" ht="15">
      <c r="A4122" s="90" t="s">
        <v>218</v>
      </c>
      <c r="B4122" s="89" t="s">
        <v>2123</v>
      </c>
      <c r="C4122" s="96" t="s">
        <v>816</v>
      </c>
    </row>
    <row r="4123" spans="1:3" ht="15">
      <c r="A4123" s="90" t="s">
        <v>218</v>
      </c>
      <c r="B4123" s="89" t="s">
        <v>2114</v>
      </c>
      <c r="C4123" s="96" t="s">
        <v>816</v>
      </c>
    </row>
    <row r="4124" spans="1:3" ht="15">
      <c r="A4124" s="90" t="s">
        <v>217</v>
      </c>
      <c r="B4124" s="89" t="s">
        <v>2360</v>
      </c>
      <c r="C4124" s="96" t="s">
        <v>815</v>
      </c>
    </row>
    <row r="4125" spans="1:3" ht="15">
      <c r="A4125" s="90" t="s">
        <v>217</v>
      </c>
      <c r="B4125" s="89" t="s">
        <v>2159</v>
      </c>
      <c r="C4125" s="96" t="s">
        <v>815</v>
      </c>
    </row>
    <row r="4126" spans="1:3" ht="15">
      <c r="A4126" s="90" t="s">
        <v>217</v>
      </c>
      <c r="B4126" s="89" t="s">
        <v>2160</v>
      </c>
      <c r="C4126" s="96" t="s">
        <v>815</v>
      </c>
    </row>
    <row r="4127" spans="1:3" ht="15">
      <c r="A4127" s="90" t="s">
        <v>217</v>
      </c>
      <c r="B4127" s="89" t="s">
        <v>2442</v>
      </c>
      <c r="C4127" s="96" t="s">
        <v>815</v>
      </c>
    </row>
    <row r="4128" spans="1:3" ht="15">
      <c r="A4128" s="90" t="s">
        <v>217</v>
      </c>
      <c r="B4128" s="89" t="s">
        <v>2584</v>
      </c>
      <c r="C4128" s="96" t="s">
        <v>815</v>
      </c>
    </row>
    <row r="4129" spans="1:3" ht="15">
      <c r="A4129" s="90" t="s">
        <v>217</v>
      </c>
      <c r="B4129" s="89" t="s">
        <v>2428</v>
      </c>
      <c r="C4129" s="96" t="s">
        <v>815</v>
      </c>
    </row>
    <row r="4130" spans="1:3" ht="15">
      <c r="A4130" s="90" t="s">
        <v>217</v>
      </c>
      <c r="B4130" s="89" t="s">
        <v>2585</v>
      </c>
      <c r="C4130" s="96" t="s">
        <v>815</v>
      </c>
    </row>
    <row r="4131" spans="1:3" ht="15">
      <c r="A4131" s="90" t="s">
        <v>217</v>
      </c>
      <c r="B4131" s="89" t="s">
        <v>2109</v>
      </c>
      <c r="C4131" s="96" t="s">
        <v>815</v>
      </c>
    </row>
    <row r="4132" spans="1:3" ht="15">
      <c r="A4132" s="90" t="s">
        <v>217</v>
      </c>
      <c r="B4132" s="89" t="s">
        <v>2586</v>
      </c>
      <c r="C4132" s="96" t="s">
        <v>815</v>
      </c>
    </row>
    <row r="4133" spans="1:3" ht="15">
      <c r="A4133" s="90" t="s">
        <v>217</v>
      </c>
      <c r="B4133" s="89" t="s">
        <v>2158</v>
      </c>
      <c r="C4133" s="96" t="s">
        <v>815</v>
      </c>
    </row>
    <row r="4134" spans="1:3" ht="15">
      <c r="A4134" s="90" t="s">
        <v>217</v>
      </c>
      <c r="B4134" s="89" t="s">
        <v>2162</v>
      </c>
      <c r="C4134" s="96" t="s">
        <v>815</v>
      </c>
    </row>
    <row r="4135" spans="1:3" ht="15">
      <c r="A4135" s="90" t="s">
        <v>217</v>
      </c>
      <c r="B4135" s="89" t="s">
        <v>2587</v>
      </c>
      <c r="C4135" s="96" t="s">
        <v>815</v>
      </c>
    </row>
    <row r="4136" spans="1:3" ht="15">
      <c r="A4136" s="90" t="s">
        <v>217</v>
      </c>
      <c r="B4136" s="89" t="s">
        <v>2588</v>
      </c>
      <c r="C4136" s="96" t="s">
        <v>815</v>
      </c>
    </row>
    <row r="4137" spans="1:3" ht="15">
      <c r="A4137" s="90" t="s">
        <v>217</v>
      </c>
      <c r="B4137" s="89" t="s">
        <v>2589</v>
      </c>
      <c r="C4137" s="96" t="s">
        <v>815</v>
      </c>
    </row>
    <row r="4138" spans="1:3" ht="15">
      <c r="A4138" s="90" t="s">
        <v>217</v>
      </c>
      <c r="B4138" s="89" t="s">
        <v>2369</v>
      </c>
      <c r="C4138" s="96" t="s">
        <v>815</v>
      </c>
    </row>
    <row r="4139" spans="1:3" ht="15">
      <c r="A4139" s="90" t="s">
        <v>217</v>
      </c>
      <c r="B4139" s="89" t="s">
        <v>2376</v>
      </c>
      <c r="C4139" s="96" t="s">
        <v>815</v>
      </c>
    </row>
    <row r="4140" spans="1:3" ht="15">
      <c r="A4140" s="90" t="s">
        <v>217</v>
      </c>
      <c r="B4140" s="89" t="s">
        <v>2590</v>
      </c>
      <c r="C4140" s="96" t="s">
        <v>815</v>
      </c>
    </row>
    <row r="4141" spans="1:3" ht="15">
      <c r="A4141" s="90" t="s">
        <v>217</v>
      </c>
      <c r="B4141" s="89" t="s">
        <v>2165</v>
      </c>
      <c r="C4141" s="96" t="s">
        <v>815</v>
      </c>
    </row>
    <row r="4142" spans="1:3" ht="15">
      <c r="A4142" s="90" t="s">
        <v>217</v>
      </c>
      <c r="B4142" s="89" t="s">
        <v>2591</v>
      </c>
      <c r="C4142" s="96" t="s">
        <v>815</v>
      </c>
    </row>
    <row r="4143" spans="1:3" ht="15">
      <c r="A4143" s="90" t="s">
        <v>217</v>
      </c>
      <c r="B4143" s="89" t="s">
        <v>2167</v>
      </c>
      <c r="C4143" s="96" t="s">
        <v>815</v>
      </c>
    </row>
    <row r="4144" spans="1:3" ht="15">
      <c r="A4144" s="90" t="s">
        <v>217</v>
      </c>
      <c r="B4144" s="89" t="s">
        <v>2168</v>
      </c>
      <c r="C4144" s="96" t="s">
        <v>815</v>
      </c>
    </row>
    <row r="4145" spans="1:3" ht="15">
      <c r="A4145" s="90" t="s">
        <v>217</v>
      </c>
      <c r="B4145" s="89" t="s">
        <v>2169</v>
      </c>
      <c r="C4145" s="96" t="s">
        <v>815</v>
      </c>
    </row>
    <row r="4146" spans="1:3" ht="15">
      <c r="A4146" s="90" t="s">
        <v>217</v>
      </c>
      <c r="B4146" s="89" t="s">
        <v>2170</v>
      </c>
      <c r="C4146" s="96" t="s">
        <v>815</v>
      </c>
    </row>
    <row r="4147" spans="1:3" ht="15">
      <c r="A4147" s="90" t="s">
        <v>217</v>
      </c>
      <c r="B4147" s="89" t="s">
        <v>2361</v>
      </c>
      <c r="C4147" s="96" t="s">
        <v>815</v>
      </c>
    </row>
    <row r="4148" spans="1:3" ht="15">
      <c r="A4148" s="90" t="s">
        <v>217</v>
      </c>
      <c r="B4148" s="89" t="s">
        <v>2171</v>
      </c>
      <c r="C4148" s="96" t="s">
        <v>815</v>
      </c>
    </row>
    <row r="4149" spans="1:3" ht="15">
      <c r="A4149" s="90" t="s">
        <v>217</v>
      </c>
      <c r="B4149" s="89" t="s">
        <v>2172</v>
      </c>
      <c r="C4149" s="96" t="s">
        <v>815</v>
      </c>
    </row>
    <row r="4150" spans="1:3" ht="15">
      <c r="A4150" s="90" t="s">
        <v>217</v>
      </c>
      <c r="B4150" s="89" t="s">
        <v>2173</v>
      </c>
      <c r="C4150" s="96" t="s">
        <v>815</v>
      </c>
    </row>
    <row r="4151" spans="1:3" ht="15">
      <c r="A4151" s="90" t="s">
        <v>217</v>
      </c>
      <c r="B4151" s="89" t="s">
        <v>2592</v>
      </c>
      <c r="C4151" s="96" t="s">
        <v>815</v>
      </c>
    </row>
    <row r="4152" spans="1:3" ht="15">
      <c r="A4152" s="90" t="s">
        <v>217</v>
      </c>
      <c r="B4152" s="89" t="s">
        <v>2174</v>
      </c>
      <c r="C4152" s="96" t="s">
        <v>815</v>
      </c>
    </row>
    <row r="4153" spans="1:3" ht="15">
      <c r="A4153" s="90" t="s">
        <v>384</v>
      </c>
      <c r="B4153" s="89" t="s">
        <v>2369</v>
      </c>
      <c r="C4153" s="96" t="s">
        <v>1022</v>
      </c>
    </row>
    <row r="4154" spans="1:3" ht="15">
      <c r="A4154" s="90" t="s">
        <v>384</v>
      </c>
      <c r="B4154" s="89" t="s">
        <v>2370</v>
      </c>
      <c r="C4154" s="96" t="s">
        <v>1022</v>
      </c>
    </row>
    <row r="4155" spans="1:3" ht="15">
      <c r="A4155" s="90" t="s">
        <v>384</v>
      </c>
      <c r="B4155" s="89" t="s">
        <v>2399</v>
      </c>
      <c r="C4155" s="96" t="s">
        <v>1022</v>
      </c>
    </row>
    <row r="4156" spans="1:3" ht="15">
      <c r="A4156" s="90" t="s">
        <v>384</v>
      </c>
      <c r="B4156" s="89" t="s">
        <v>2110</v>
      </c>
      <c r="C4156" s="96" t="s">
        <v>1022</v>
      </c>
    </row>
    <row r="4157" spans="1:3" ht="15">
      <c r="A4157" s="90" t="s">
        <v>384</v>
      </c>
      <c r="B4157" s="89" t="s">
        <v>2125</v>
      </c>
      <c r="C4157" s="96" t="s">
        <v>1022</v>
      </c>
    </row>
    <row r="4158" spans="1:3" ht="15">
      <c r="A4158" s="90" t="s">
        <v>384</v>
      </c>
      <c r="B4158" s="89" t="s">
        <v>2400</v>
      </c>
      <c r="C4158" s="96" t="s">
        <v>1022</v>
      </c>
    </row>
    <row r="4159" spans="1:3" ht="15">
      <c r="A4159" s="90" t="s">
        <v>384</v>
      </c>
      <c r="B4159" s="89" t="s">
        <v>2127</v>
      </c>
      <c r="C4159" s="96" t="s">
        <v>1022</v>
      </c>
    </row>
    <row r="4160" spans="1:3" ht="15">
      <c r="A4160" s="90" t="s">
        <v>384</v>
      </c>
      <c r="B4160" s="89" t="s">
        <v>2401</v>
      </c>
      <c r="C4160" s="96" t="s">
        <v>1022</v>
      </c>
    </row>
    <row r="4161" spans="1:3" ht="15">
      <c r="A4161" s="90" t="s">
        <v>384</v>
      </c>
      <c r="B4161" s="89" t="s">
        <v>2402</v>
      </c>
      <c r="C4161" s="96" t="s">
        <v>1022</v>
      </c>
    </row>
    <row r="4162" spans="1:3" ht="15">
      <c r="A4162" s="90" t="s">
        <v>384</v>
      </c>
      <c r="B4162" s="89" t="s">
        <v>2403</v>
      </c>
      <c r="C4162" s="96" t="s">
        <v>1022</v>
      </c>
    </row>
    <row r="4163" spans="1:3" ht="15">
      <c r="A4163" s="90" t="s">
        <v>384</v>
      </c>
      <c r="B4163" s="89" t="s">
        <v>2404</v>
      </c>
      <c r="C4163" s="96" t="s">
        <v>1022</v>
      </c>
    </row>
    <row r="4164" spans="1:3" ht="15">
      <c r="A4164" s="90" t="s">
        <v>384</v>
      </c>
      <c r="B4164" s="89" t="s">
        <v>2115</v>
      </c>
      <c r="C4164" s="96" t="s">
        <v>1022</v>
      </c>
    </row>
    <row r="4165" spans="1:3" ht="15">
      <c r="A4165" s="90" t="s">
        <v>384</v>
      </c>
      <c r="B4165" s="89" t="s">
        <v>2116</v>
      </c>
      <c r="C4165" s="96" t="s">
        <v>1022</v>
      </c>
    </row>
    <row r="4166" spans="1:3" ht="15">
      <c r="A4166" s="90" t="s">
        <v>384</v>
      </c>
      <c r="B4166" s="89" t="s">
        <v>2117</v>
      </c>
      <c r="C4166" s="96" t="s">
        <v>1022</v>
      </c>
    </row>
    <row r="4167" spans="1:3" ht="15">
      <c r="A4167" s="90" t="s">
        <v>384</v>
      </c>
      <c r="B4167" s="89" t="s">
        <v>2118</v>
      </c>
      <c r="C4167" s="96" t="s">
        <v>1022</v>
      </c>
    </row>
    <row r="4168" spans="1:3" ht="15">
      <c r="A4168" s="90" t="s">
        <v>384</v>
      </c>
      <c r="B4168" s="89" t="s">
        <v>2119</v>
      </c>
      <c r="C4168" s="96" t="s">
        <v>1022</v>
      </c>
    </row>
    <row r="4169" spans="1:3" ht="15">
      <c r="A4169" s="90" t="s">
        <v>384</v>
      </c>
      <c r="B4169" s="89" t="s">
        <v>2129</v>
      </c>
      <c r="C4169" s="96" t="s">
        <v>1022</v>
      </c>
    </row>
    <row r="4170" spans="1:3" ht="15">
      <c r="A4170" s="90" t="s">
        <v>384</v>
      </c>
      <c r="B4170" s="89" t="s">
        <v>2120</v>
      </c>
      <c r="C4170" s="96" t="s">
        <v>1022</v>
      </c>
    </row>
    <row r="4171" spans="1:3" ht="15">
      <c r="A4171" s="90" t="s">
        <v>384</v>
      </c>
      <c r="B4171" s="89" t="s">
        <v>2121</v>
      </c>
      <c r="C4171" s="96" t="s">
        <v>1022</v>
      </c>
    </row>
    <row r="4172" spans="1:3" ht="15">
      <c r="A4172" s="90" t="s">
        <v>384</v>
      </c>
      <c r="B4172" s="89" t="s">
        <v>2122</v>
      </c>
      <c r="C4172" s="96" t="s">
        <v>1022</v>
      </c>
    </row>
    <row r="4173" spans="1:3" ht="15">
      <c r="A4173" s="90" t="s">
        <v>384</v>
      </c>
      <c r="B4173" s="89" t="s">
        <v>2130</v>
      </c>
      <c r="C4173" s="96" t="s">
        <v>1022</v>
      </c>
    </row>
    <row r="4174" spans="1:3" ht="15">
      <c r="A4174" s="90" t="s">
        <v>384</v>
      </c>
      <c r="B4174" s="89" t="s">
        <v>2131</v>
      </c>
      <c r="C4174" s="96" t="s">
        <v>1022</v>
      </c>
    </row>
    <row r="4175" spans="1:3" ht="15">
      <c r="A4175" s="90" t="s">
        <v>384</v>
      </c>
      <c r="B4175" s="89" t="s">
        <v>2123</v>
      </c>
      <c r="C4175" s="96" t="s">
        <v>1022</v>
      </c>
    </row>
    <row r="4176" spans="1:3" ht="15">
      <c r="A4176" s="90" t="s">
        <v>384</v>
      </c>
      <c r="B4176" s="89" t="s">
        <v>2114</v>
      </c>
      <c r="C4176" s="96" t="s">
        <v>1022</v>
      </c>
    </row>
    <row r="4177" spans="1:3" ht="15">
      <c r="A4177" s="90" t="s">
        <v>216</v>
      </c>
      <c r="B4177" s="89" t="s">
        <v>2369</v>
      </c>
      <c r="C4177" s="96" t="s">
        <v>814</v>
      </c>
    </row>
    <row r="4178" spans="1:3" ht="15">
      <c r="A4178" s="90" t="s">
        <v>216</v>
      </c>
      <c r="B4178" s="89" t="s">
        <v>2370</v>
      </c>
      <c r="C4178" s="96" t="s">
        <v>814</v>
      </c>
    </row>
    <row r="4179" spans="1:3" ht="15">
      <c r="A4179" s="90" t="s">
        <v>216</v>
      </c>
      <c r="B4179" s="89" t="s">
        <v>2399</v>
      </c>
      <c r="C4179" s="96" t="s">
        <v>814</v>
      </c>
    </row>
    <row r="4180" spans="1:3" ht="15">
      <c r="A4180" s="90" t="s">
        <v>216</v>
      </c>
      <c r="B4180" s="89" t="s">
        <v>2110</v>
      </c>
      <c r="C4180" s="96" t="s">
        <v>814</v>
      </c>
    </row>
    <row r="4181" spans="1:3" ht="15">
      <c r="A4181" s="90" t="s">
        <v>216</v>
      </c>
      <c r="B4181" s="89" t="s">
        <v>2125</v>
      </c>
      <c r="C4181" s="96" t="s">
        <v>814</v>
      </c>
    </row>
    <row r="4182" spans="1:3" ht="15">
      <c r="A4182" s="90" t="s">
        <v>216</v>
      </c>
      <c r="B4182" s="89" t="s">
        <v>2400</v>
      </c>
      <c r="C4182" s="96" t="s">
        <v>814</v>
      </c>
    </row>
    <row r="4183" spans="1:3" ht="15">
      <c r="A4183" s="90" t="s">
        <v>216</v>
      </c>
      <c r="B4183" s="89" t="s">
        <v>2127</v>
      </c>
      <c r="C4183" s="96" t="s">
        <v>814</v>
      </c>
    </row>
    <row r="4184" spans="1:3" ht="15">
      <c r="A4184" s="90" t="s">
        <v>216</v>
      </c>
      <c r="B4184" s="89" t="s">
        <v>2401</v>
      </c>
      <c r="C4184" s="96" t="s">
        <v>814</v>
      </c>
    </row>
    <row r="4185" spans="1:3" ht="15">
      <c r="A4185" s="90" t="s">
        <v>216</v>
      </c>
      <c r="B4185" s="89" t="s">
        <v>2402</v>
      </c>
      <c r="C4185" s="96" t="s">
        <v>814</v>
      </c>
    </row>
    <row r="4186" spans="1:3" ht="15">
      <c r="A4186" s="90" t="s">
        <v>216</v>
      </c>
      <c r="B4186" s="89" t="s">
        <v>2403</v>
      </c>
      <c r="C4186" s="96" t="s">
        <v>814</v>
      </c>
    </row>
    <row r="4187" spans="1:3" ht="15">
      <c r="A4187" s="90" t="s">
        <v>216</v>
      </c>
      <c r="B4187" s="89" t="s">
        <v>2404</v>
      </c>
      <c r="C4187" s="96" t="s">
        <v>814</v>
      </c>
    </row>
    <row r="4188" spans="1:3" ht="15">
      <c r="A4188" s="90" t="s">
        <v>216</v>
      </c>
      <c r="B4188" s="89" t="s">
        <v>2115</v>
      </c>
      <c r="C4188" s="96" t="s">
        <v>814</v>
      </c>
    </row>
    <row r="4189" spans="1:3" ht="15">
      <c r="A4189" s="90" t="s">
        <v>216</v>
      </c>
      <c r="B4189" s="89" t="s">
        <v>2116</v>
      </c>
      <c r="C4189" s="96" t="s">
        <v>814</v>
      </c>
    </row>
    <row r="4190" spans="1:3" ht="15">
      <c r="A4190" s="90" t="s">
        <v>216</v>
      </c>
      <c r="B4190" s="89" t="s">
        <v>2117</v>
      </c>
      <c r="C4190" s="96" t="s">
        <v>814</v>
      </c>
    </row>
    <row r="4191" spans="1:3" ht="15">
      <c r="A4191" s="90" t="s">
        <v>216</v>
      </c>
      <c r="B4191" s="89" t="s">
        <v>2118</v>
      </c>
      <c r="C4191" s="96" t="s">
        <v>814</v>
      </c>
    </row>
    <row r="4192" spans="1:3" ht="15">
      <c r="A4192" s="90" t="s">
        <v>216</v>
      </c>
      <c r="B4192" s="89" t="s">
        <v>2119</v>
      </c>
      <c r="C4192" s="96" t="s">
        <v>814</v>
      </c>
    </row>
    <row r="4193" spans="1:3" ht="15">
      <c r="A4193" s="90" t="s">
        <v>216</v>
      </c>
      <c r="B4193" s="89" t="s">
        <v>2129</v>
      </c>
      <c r="C4193" s="96" t="s">
        <v>814</v>
      </c>
    </row>
    <row r="4194" spans="1:3" ht="15">
      <c r="A4194" s="90" t="s">
        <v>216</v>
      </c>
      <c r="B4194" s="89" t="s">
        <v>2120</v>
      </c>
      <c r="C4194" s="96" t="s">
        <v>814</v>
      </c>
    </row>
    <row r="4195" spans="1:3" ht="15">
      <c r="A4195" s="90" t="s">
        <v>216</v>
      </c>
      <c r="B4195" s="89" t="s">
        <v>2121</v>
      </c>
      <c r="C4195" s="96" t="s">
        <v>814</v>
      </c>
    </row>
    <row r="4196" spans="1:3" ht="15">
      <c r="A4196" s="90" t="s">
        <v>216</v>
      </c>
      <c r="B4196" s="89" t="s">
        <v>2122</v>
      </c>
      <c r="C4196" s="96" t="s">
        <v>814</v>
      </c>
    </row>
    <row r="4197" spans="1:3" ht="15">
      <c r="A4197" s="90" t="s">
        <v>216</v>
      </c>
      <c r="B4197" s="89" t="s">
        <v>2130</v>
      </c>
      <c r="C4197" s="96" t="s">
        <v>814</v>
      </c>
    </row>
    <row r="4198" spans="1:3" ht="15">
      <c r="A4198" s="90" t="s">
        <v>216</v>
      </c>
      <c r="B4198" s="89" t="s">
        <v>2131</v>
      </c>
      <c r="C4198" s="96" t="s">
        <v>814</v>
      </c>
    </row>
    <row r="4199" spans="1:3" ht="15">
      <c r="A4199" s="90" t="s">
        <v>216</v>
      </c>
      <c r="B4199" s="89" t="s">
        <v>2123</v>
      </c>
      <c r="C4199" s="96" t="s">
        <v>814</v>
      </c>
    </row>
    <row r="4200" spans="1:3" ht="15">
      <c r="A4200" s="90" t="s">
        <v>216</v>
      </c>
      <c r="B4200" s="89" t="s">
        <v>2114</v>
      </c>
      <c r="C4200" s="96" t="s">
        <v>814</v>
      </c>
    </row>
    <row r="4201" spans="1:3" ht="15">
      <c r="A4201" s="90" t="s">
        <v>216</v>
      </c>
      <c r="B4201" s="89" t="s">
        <v>2360</v>
      </c>
      <c r="C4201" s="96" t="s">
        <v>813</v>
      </c>
    </row>
    <row r="4202" spans="1:3" ht="15">
      <c r="A4202" s="90" t="s">
        <v>216</v>
      </c>
      <c r="B4202" s="89" t="s">
        <v>2159</v>
      </c>
      <c r="C4202" s="96" t="s">
        <v>813</v>
      </c>
    </row>
    <row r="4203" spans="1:3" ht="15">
      <c r="A4203" s="90" t="s">
        <v>216</v>
      </c>
      <c r="B4203" s="89" t="s">
        <v>2160</v>
      </c>
      <c r="C4203" s="96" t="s">
        <v>813</v>
      </c>
    </row>
    <row r="4204" spans="1:3" ht="15">
      <c r="A4204" s="90" t="s">
        <v>216</v>
      </c>
      <c r="B4204" s="89" t="s">
        <v>2442</v>
      </c>
      <c r="C4204" s="96" t="s">
        <v>813</v>
      </c>
    </row>
    <row r="4205" spans="1:3" ht="15">
      <c r="A4205" s="90" t="s">
        <v>216</v>
      </c>
      <c r="B4205" s="89" t="s">
        <v>2584</v>
      </c>
      <c r="C4205" s="96" t="s">
        <v>813</v>
      </c>
    </row>
    <row r="4206" spans="1:3" ht="15">
      <c r="A4206" s="90" t="s">
        <v>216</v>
      </c>
      <c r="B4206" s="89" t="s">
        <v>2428</v>
      </c>
      <c r="C4206" s="96" t="s">
        <v>813</v>
      </c>
    </row>
    <row r="4207" spans="1:3" ht="15">
      <c r="A4207" s="90" t="s">
        <v>216</v>
      </c>
      <c r="B4207" s="89" t="s">
        <v>2585</v>
      </c>
      <c r="C4207" s="96" t="s">
        <v>813</v>
      </c>
    </row>
    <row r="4208" spans="1:3" ht="15">
      <c r="A4208" s="90" t="s">
        <v>216</v>
      </c>
      <c r="B4208" s="89" t="s">
        <v>2109</v>
      </c>
      <c r="C4208" s="96" t="s">
        <v>813</v>
      </c>
    </row>
    <row r="4209" spans="1:3" ht="15">
      <c r="A4209" s="90" t="s">
        <v>216</v>
      </c>
      <c r="B4209" s="89" t="s">
        <v>2586</v>
      </c>
      <c r="C4209" s="96" t="s">
        <v>813</v>
      </c>
    </row>
    <row r="4210" spans="1:3" ht="15">
      <c r="A4210" s="90" t="s">
        <v>216</v>
      </c>
      <c r="B4210" s="89" t="s">
        <v>2158</v>
      </c>
      <c r="C4210" s="96" t="s">
        <v>813</v>
      </c>
    </row>
    <row r="4211" spans="1:3" ht="15">
      <c r="A4211" s="90" t="s">
        <v>216</v>
      </c>
      <c r="B4211" s="89" t="s">
        <v>2162</v>
      </c>
      <c r="C4211" s="96" t="s">
        <v>813</v>
      </c>
    </row>
    <row r="4212" spans="1:3" ht="15">
      <c r="A4212" s="90" t="s">
        <v>216</v>
      </c>
      <c r="B4212" s="89" t="s">
        <v>2587</v>
      </c>
      <c r="C4212" s="96" t="s">
        <v>813</v>
      </c>
    </row>
    <row r="4213" spans="1:3" ht="15">
      <c r="A4213" s="90" t="s">
        <v>216</v>
      </c>
      <c r="B4213" s="89" t="s">
        <v>2588</v>
      </c>
      <c r="C4213" s="96" t="s">
        <v>813</v>
      </c>
    </row>
    <row r="4214" spans="1:3" ht="15">
      <c r="A4214" s="90" t="s">
        <v>216</v>
      </c>
      <c r="B4214" s="89" t="s">
        <v>2589</v>
      </c>
      <c r="C4214" s="96" t="s">
        <v>813</v>
      </c>
    </row>
    <row r="4215" spans="1:3" ht="15">
      <c r="A4215" s="90" t="s">
        <v>216</v>
      </c>
      <c r="B4215" s="89" t="s">
        <v>2369</v>
      </c>
      <c r="C4215" s="96" t="s">
        <v>813</v>
      </c>
    </row>
    <row r="4216" spans="1:3" ht="15">
      <c r="A4216" s="90" t="s">
        <v>216</v>
      </c>
      <c r="B4216" s="89" t="s">
        <v>2376</v>
      </c>
      <c r="C4216" s="96" t="s">
        <v>813</v>
      </c>
    </row>
    <row r="4217" spans="1:3" ht="15">
      <c r="A4217" s="90" t="s">
        <v>216</v>
      </c>
      <c r="B4217" s="89" t="s">
        <v>2590</v>
      </c>
      <c r="C4217" s="96" t="s">
        <v>813</v>
      </c>
    </row>
    <row r="4218" spans="1:3" ht="15">
      <c r="A4218" s="90" t="s">
        <v>216</v>
      </c>
      <c r="B4218" s="89" t="s">
        <v>2165</v>
      </c>
      <c r="C4218" s="96" t="s">
        <v>813</v>
      </c>
    </row>
    <row r="4219" spans="1:3" ht="15">
      <c r="A4219" s="90" t="s">
        <v>216</v>
      </c>
      <c r="B4219" s="89" t="s">
        <v>2591</v>
      </c>
      <c r="C4219" s="96" t="s">
        <v>813</v>
      </c>
    </row>
    <row r="4220" spans="1:3" ht="15">
      <c r="A4220" s="90" t="s">
        <v>216</v>
      </c>
      <c r="B4220" s="89" t="s">
        <v>2167</v>
      </c>
      <c r="C4220" s="96" t="s">
        <v>813</v>
      </c>
    </row>
    <row r="4221" spans="1:3" ht="15">
      <c r="A4221" s="90" t="s">
        <v>216</v>
      </c>
      <c r="B4221" s="89" t="s">
        <v>2168</v>
      </c>
      <c r="C4221" s="96" t="s">
        <v>813</v>
      </c>
    </row>
    <row r="4222" spans="1:3" ht="15">
      <c r="A4222" s="90" t="s">
        <v>216</v>
      </c>
      <c r="B4222" s="89" t="s">
        <v>2169</v>
      </c>
      <c r="C4222" s="96" t="s">
        <v>813</v>
      </c>
    </row>
    <row r="4223" spans="1:3" ht="15">
      <c r="A4223" s="90" t="s">
        <v>216</v>
      </c>
      <c r="B4223" s="89" t="s">
        <v>2170</v>
      </c>
      <c r="C4223" s="96" t="s">
        <v>813</v>
      </c>
    </row>
    <row r="4224" spans="1:3" ht="15">
      <c r="A4224" s="90" t="s">
        <v>216</v>
      </c>
      <c r="B4224" s="89" t="s">
        <v>2361</v>
      </c>
      <c r="C4224" s="96" t="s">
        <v>813</v>
      </c>
    </row>
    <row r="4225" spans="1:3" ht="15">
      <c r="A4225" s="90" t="s">
        <v>216</v>
      </c>
      <c r="B4225" s="89" t="s">
        <v>2171</v>
      </c>
      <c r="C4225" s="96" t="s">
        <v>813</v>
      </c>
    </row>
    <row r="4226" spans="1:3" ht="15">
      <c r="A4226" s="90" t="s">
        <v>216</v>
      </c>
      <c r="B4226" s="89" t="s">
        <v>2172</v>
      </c>
      <c r="C4226" s="96" t="s">
        <v>813</v>
      </c>
    </row>
    <row r="4227" spans="1:3" ht="15">
      <c r="A4227" s="90" t="s">
        <v>216</v>
      </c>
      <c r="B4227" s="89" t="s">
        <v>2173</v>
      </c>
      <c r="C4227" s="96" t="s">
        <v>813</v>
      </c>
    </row>
    <row r="4228" spans="1:3" ht="15">
      <c r="A4228" s="90" t="s">
        <v>216</v>
      </c>
      <c r="B4228" s="89" t="s">
        <v>2592</v>
      </c>
      <c r="C4228" s="96" t="s">
        <v>813</v>
      </c>
    </row>
    <row r="4229" spans="1:3" ht="15">
      <c r="A4229" s="90" t="s">
        <v>216</v>
      </c>
      <c r="B4229" s="89" t="s">
        <v>2174</v>
      </c>
      <c r="C4229" s="96" t="s">
        <v>813</v>
      </c>
    </row>
    <row r="4230" spans="1:3" ht="15">
      <c r="A4230" s="90" t="s">
        <v>349</v>
      </c>
      <c r="B4230" s="89" t="s">
        <v>2360</v>
      </c>
      <c r="C4230" s="96" t="s">
        <v>975</v>
      </c>
    </row>
    <row r="4231" spans="1:3" ht="15">
      <c r="A4231" s="90" t="s">
        <v>349</v>
      </c>
      <c r="B4231" s="89" t="s">
        <v>2159</v>
      </c>
      <c r="C4231" s="96" t="s">
        <v>975</v>
      </c>
    </row>
    <row r="4232" spans="1:3" ht="15">
      <c r="A4232" s="90" t="s">
        <v>349</v>
      </c>
      <c r="B4232" s="89" t="s">
        <v>2160</v>
      </c>
      <c r="C4232" s="96" t="s">
        <v>975</v>
      </c>
    </row>
    <row r="4233" spans="1:3" ht="15">
      <c r="A4233" s="90" t="s">
        <v>349</v>
      </c>
      <c r="B4233" s="89" t="s">
        <v>2442</v>
      </c>
      <c r="C4233" s="96" t="s">
        <v>975</v>
      </c>
    </row>
    <row r="4234" spans="1:3" ht="15">
      <c r="A4234" s="90" t="s">
        <v>349</v>
      </c>
      <c r="B4234" s="89" t="s">
        <v>2584</v>
      </c>
      <c r="C4234" s="96" t="s">
        <v>975</v>
      </c>
    </row>
    <row r="4235" spans="1:3" ht="15">
      <c r="A4235" s="90" t="s">
        <v>349</v>
      </c>
      <c r="B4235" s="89" t="s">
        <v>2428</v>
      </c>
      <c r="C4235" s="96" t="s">
        <v>975</v>
      </c>
    </row>
    <row r="4236" spans="1:3" ht="15">
      <c r="A4236" s="90" t="s">
        <v>349</v>
      </c>
      <c r="B4236" s="89" t="s">
        <v>2585</v>
      </c>
      <c r="C4236" s="96" t="s">
        <v>975</v>
      </c>
    </row>
    <row r="4237" spans="1:3" ht="15">
      <c r="A4237" s="90" t="s">
        <v>349</v>
      </c>
      <c r="B4237" s="89" t="s">
        <v>2109</v>
      </c>
      <c r="C4237" s="96" t="s">
        <v>975</v>
      </c>
    </row>
    <row r="4238" spans="1:3" ht="15">
      <c r="A4238" s="90" t="s">
        <v>349</v>
      </c>
      <c r="B4238" s="89" t="s">
        <v>2586</v>
      </c>
      <c r="C4238" s="96" t="s">
        <v>975</v>
      </c>
    </row>
    <row r="4239" spans="1:3" ht="15">
      <c r="A4239" s="90" t="s">
        <v>349</v>
      </c>
      <c r="B4239" s="89" t="s">
        <v>2158</v>
      </c>
      <c r="C4239" s="96" t="s">
        <v>975</v>
      </c>
    </row>
    <row r="4240" spans="1:3" ht="15">
      <c r="A4240" s="90" t="s">
        <v>349</v>
      </c>
      <c r="B4240" s="89" t="s">
        <v>2162</v>
      </c>
      <c r="C4240" s="96" t="s">
        <v>975</v>
      </c>
    </row>
    <row r="4241" spans="1:3" ht="15">
      <c r="A4241" s="90" t="s">
        <v>349</v>
      </c>
      <c r="B4241" s="89" t="s">
        <v>2587</v>
      </c>
      <c r="C4241" s="96" t="s">
        <v>975</v>
      </c>
    </row>
    <row r="4242" spans="1:3" ht="15">
      <c r="A4242" s="90" t="s">
        <v>349</v>
      </c>
      <c r="B4242" s="89" t="s">
        <v>2588</v>
      </c>
      <c r="C4242" s="96" t="s">
        <v>975</v>
      </c>
    </row>
    <row r="4243" spans="1:3" ht="15">
      <c r="A4243" s="90" t="s">
        <v>349</v>
      </c>
      <c r="B4243" s="89" t="s">
        <v>2589</v>
      </c>
      <c r="C4243" s="96" t="s">
        <v>975</v>
      </c>
    </row>
    <row r="4244" spans="1:3" ht="15">
      <c r="A4244" s="90" t="s">
        <v>349</v>
      </c>
      <c r="B4244" s="89" t="s">
        <v>2369</v>
      </c>
      <c r="C4244" s="96" t="s">
        <v>975</v>
      </c>
    </row>
    <row r="4245" spans="1:3" ht="15">
      <c r="A4245" s="90" t="s">
        <v>349</v>
      </c>
      <c r="B4245" s="89" t="s">
        <v>2376</v>
      </c>
      <c r="C4245" s="96" t="s">
        <v>975</v>
      </c>
    </row>
    <row r="4246" spans="1:3" ht="15">
      <c r="A4246" s="90" t="s">
        <v>349</v>
      </c>
      <c r="B4246" s="89" t="s">
        <v>2590</v>
      </c>
      <c r="C4246" s="96" t="s">
        <v>975</v>
      </c>
    </row>
    <row r="4247" spans="1:3" ht="15">
      <c r="A4247" s="90" t="s">
        <v>349</v>
      </c>
      <c r="B4247" s="89" t="s">
        <v>2165</v>
      </c>
      <c r="C4247" s="96" t="s">
        <v>975</v>
      </c>
    </row>
    <row r="4248" spans="1:3" ht="15">
      <c r="A4248" s="90" t="s">
        <v>349</v>
      </c>
      <c r="B4248" s="89" t="s">
        <v>2591</v>
      </c>
      <c r="C4248" s="96" t="s">
        <v>975</v>
      </c>
    </row>
    <row r="4249" spans="1:3" ht="15">
      <c r="A4249" s="90" t="s">
        <v>349</v>
      </c>
      <c r="B4249" s="89" t="s">
        <v>2167</v>
      </c>
      <c r="C4249" s="96" t="s">
        <v>975</v>
      </c>
    </row>
    <row r="4250" spans="1:3" ht="15">
      <c r="A4250" s="90" t="s">
        <v>349</v>
      </c>
      <c r="B4250" s="89" t="s">
        <v>2168</v>
      </c>
      <c r="C4250" s="96" t="s">
        <v>975</v>
      </c>
    </row>
    <row r="4251" spans="1:3" ht="15">
      <c r="A4251" s="90" t="s">
        <v>349</v>
      </c>
      <c r="B4251" s="89" t="s">
        <v>2169</v>
      </c>
      <c r="C4251" s="96" t="s">
        <v>975</v>
      </c>
    </row>
    <row r="4252" spans="1:3" ht="15">
      <c r="A4252" s="90" t="s">
        <v>349</v>
      </c>
      <c r="B4252" s="89" t="s">
        <v>2170</v>
      </c>
      <c r="C4252" s="96" t="s">
        <v>975</v>
      </c>
    </row>
    <row r="4253" spans="1:3" ht="15">
      <c r="A4253" s="90" t="s">
        <v>349</v>
      </c>
      <c r="B4253" s="89" t="s">
        <v>2361</v>
      </c>
      <c r="C4253" s="96" t="s">
        <v>975</v>
      </c>
    </row>
    <row r="4254" spans="1:3" ht="15">
      <c r="A4254" s="90" t="s">
        <v>349</v>
      </c>
      <c r="B4254" s="89" t="s">
        <v>2171</v>
      </c>
      <c r="C4254" s="96" t="s">
        <v>975</v>
      </c>
    </row>
    <row r="4255" spans="1:3" ht="15">
      <c r="A4255" s="90" t="s">
        <v>349</v>
      </c>
      <c r="B4255" s="89" t="s">
        <v>2172</v>
      </c>
      <c r="C4255" s="96" t="s">
        <v>975</v>
      </c>
    </row>
    <row r="4256" spans="1:3" ht="15">
      <c r="A4256" s="90" t="s">
        <v>349</v>
      </c>
      <c r="B4256" s="89" t="s">
        <v>2173</v>
      </c>
      <c r="C4256" s="96" t="s">
        <v>975</v>
      </c>
    </row>
    <row r="4257" spans="1:3" ht="15">
      <c r="A4257" s="90" t="s">
        <v>349</v>
      </c>
      <c r="B4257" s="89" t="s">
        <v>2592</v>
      </c>
      <c r="C4257" s="96" t="s">
        <v>975</v>
      </c>
    </row>
    <row r="4258" spans="1:3" ht="15">
      <c r="A4258" s="90" t="s">
        <v>349</v>
      </c>
      <c r="B4258" s="89" t="s">
        <v>2174</v>
      </c>
      <c r="C4258" s="96" t="s">
        <v>975</v>
      </c>
    </row>
    <row r="4259" spans="1:3" ht="15">
      <c r="A4259" s="90" t="s">
        <v>405</v>
      </c>
      <c r="B4259" s="89" t="s">
        <v>2360</v>
      </c>
      <c r="C4259" s="96" t="s">
        <v>1053</v>
      </c>
    </row>
    <row r="4260" spans="1:3" ht="15">
      <c r="A4260" s="90" t="s">
        <v>405</v>
      </c>
      <c r="B4260" s="89" t="s">
        <v>2159</v>
      </c>
      <c r="C4260" s="96" t="s">
        <v>1053</v>
      </c>
    </row>
    <row r="4261" spans="1:3" ht="15">
      <c r="A4261" s="90" t="s">
        <v>405</v>
      </c>
      <c r="B4261" s="89" t="s">
        <v>2160</v>
      </c>
      <c r="C4261" s="96" t="s">
        <v>1053</v>
      </c>
    </row>
    <row r="4262" spans="1:3" ht="15">
      <c r="A4262" s="90" t="s">
        <v>405</v>
      </c>
      <c r="B4262" s="89" t="s">
        <v>2442</v>
      </c>
      <c r="C4262" s="96" t="s">
        <v>1053</v>
      </c>
    </row>
    <row r="4263" spans="1:3" ht="15">
      <c r="A4263" s="90" t="s">
        <v>405</v>
      </c>
      <c r="B4263" s="89" t="s">
        <v>2584</v>
      </c>
      <c r="C4263" s="96" t="s">
        <v>1053</v>
      </c>
    </row>
    <row r="4264" spans="1:3" ht="15">
      <c r="A4264" s="90" t="s">
        <v>405</v>
      </c>
      <c r="B4264" s="89" t="s">
        <v>2428</v>
      </c>
      <c r="C4264" s="96" t="s">
        <v>1053</v>
      </c>
    </row>
    <row r="4265" spans="1:3" ht="15">
      <c r="A4265" s="90" t="s">
        <v>405</v>
      </c>
      <c r="B4265" s="89" t="s">
        <v>2585</v>
      </c>
      <c r="C4265" s="96" t="s">
        <v>1053</v>
      </c>
    </row>
    <row r="4266" spans="1:3" ht="15">
      <c r="A4266" s="90" t="s">
        <v>405</v>
      </c>
      <c r="B4266" s="89" t="s">
        <v>2109</v>
      </c>
      <c r="C4266" s="96" t="s">
        <v>1053</v>
      </c>
    </row>
    <row r="4267" spans="1:3" ht="15">
      <c r="A4267" s="90" t="s">
        <v>405</v>
      </c>
      <c r="B4267" s="89" t="s">
        <v>2586</v>
      </c>
      <c r="C4267" s="96" t="s">
        <v>1053</v>
      </c>
    </row>
    <row r="4268" spans="1:3" ht="15">
      <c r="A4268" s="90" t="s">
        <v>405</v>
      </c>
      <c r="B4268" s="89" t="s">
        <v>2158</v>
      </c>
      <c r="C4268" s="96" t="s">
        <v>1053</v>
      </c>
    </row>
    <row r="4269" spans="1:3" ht="15">
      <c r="A4269" s="90" t="s">
        <v>405</v>
      </c>
      <c r="B4269" s="89" t="s">
        <v>2162</v>
      </c>
      <c r="C4269" s="96" t="s">
        <v>1053</v>
      </c>
    </row>
    <row r="4270" spans="1:3" ht="15">
      <c r="A4270" s="90" t="s">
        <v>405</v>
      </c>
      <c r="B4270" s="89" t="s">
        <v>2587</v>
      </c>
      <c r="C4270" s="96" t="s">
        <v>1053</v>
      </c>
    </row>
    <row r="4271" spans="1:3" ht="15">
      <c r="A4271" s="90" t="s">
        <v>405</v>
      </c>
      <c r="B4271" s="89" t="s">
        <v>2588</v>
      </c>
      <c r="C4271" s="96" t="s">
        <v>1053</v>
      </c>
    </row>
    <row r="4272" spans="1:3" ht="15">
      <c r="A4272" s="90" t="s">
        <v>405</v>
      </c>
      <c r="B4272" s="89" t="s">
        <v>2589</v>
      </c>
      <c r="C4272" s="96" t="s">
        <v>1053</v>
      </c>
    </row>
    <row r="4273" spans="1:3" ht="15">
      <c r="A4273" s="90" t="s">
        <v>405</v>
      </c>
      <c r="B4273" s="89" t="s">
        <v>2369</v>
      </c>
      <c r="C4273" s="96" t="s">
        <v>1053</v>
      </c>
    </row>
    <row r="4274" spans="1:3" ht="15">
      <c r="A4274" s="90" t="s">
        <v>405</v>
      </c>
      <c r="B4274" s="89" t="s">
        <v>2376</v>
      </c>
      <c r="C4274" s="96" t="s">
        <v>1053</v>
      </c>
    </row>
    <row r="4275" spans="1:3" ht="15">
      <c r="A4275" s="90" t="s">
        <v>405</v>
      </c>
      <c r="B4275" s="89" t="s">
        <v>2590</v>
      </c>
      <c r="C4275" s="96" t="s">
        <v>1053</v>
      </c>
    </row>
    <row r="4276" spans="1:3" ht="15">
      <c r="A4276" s="90" t="s">
        <v>405</v>
      </c>
      <c r="B4276" s="89" t="s">
        <v>2165</v>
      </c>
      <c r="C4276" s="96" t="s">
        <v>1053</v>
      </c>
    </row>
    <row r="4277" spans="1:3" ht="15">
      <c r="A4277" s="90" t="s">
        <v>405</v>
      </c>
      <c r="B4277" s="89" t="s">
        <v>2591</v>
      </c>
      <c r="C4277" s="96" t="s">
        <v>1053</v>
      </c>
    </row>
    <row r="4278" spans="1:3" ht="15">
      <c r="A4278" s="90" t="s">
        <v>405</v>
      </c>
      <c r="B4278" s="89" t="s">
        <v>2167</v>
      </c>
      <c r="C4278" s="96" t="s">
        <v>1053</v>
      </c>
    </row>
    <row r="4279" spans="1:3" ht="15">
      <c r="A4279" s="90" t="s">
        <v>405</v>
      </c>
      <c r="B4279" s="89" t="s">
        <v>2168</v>
      </c>
      <c r="C4279" s="96" t="s">
        <v>1053</v>
      </c>
    </row>
    <row r="4280" spans="1:3" ht="15">
      <c r="A4280" s="90" t="s">
        <v>405</v>
      </c>
      <c r="B4280" s="89" t="s">
        <v>2169</v>
      </c>
      <c r="C4280" s="96" t="s">
        <v>1053</v>
      </c>
    </row>
    <row r="4281" spans="1:3" ht="15">
      <c r="A4281" s="90" t="s">
        <v>405</v>
      </c>
      <c r="B4281" s="89" t="s">
        <v>2170</v>
      </c>
      <c r="C4281" s="96" t="s">
        <v>1053</v>
      </c>
    </row>
    <row r="4282" spans="1:3" ht="15">
      <c r="A4282" s="90" t="s">
        <v>405</v>
      </c>
      <c r="B4282" s="89" t="s">
        <v>2361</v>
      </c>
      <c r="C4282" s="96" t="s">
        <v>1053</v>
      </c>
    </row>
    <row r="4283" spans="1:3" ht="15">
      <c r="A4283" s="90" t="s">
        <v>405</v>
      </c>
      <c r="B4283" s="89" t="s">
        <v>2171</v>
      </c>
      <c r="C4283" s="96" t="s">
        <v>1053</v>
      </c>
    </row>
    <row r="4284" spans="1:3" ht="15">
      <c r="A4284" s="90" t="s">
        <v>405</v>
      </c>
      <c r="B4284" s="89" t="s">
        <v>2172</v>
      </c>
      <c r="C4284" s="96" t="s">
        <v>1053</v>
      </c>
    </row>
    <row r="4285" spans="1:3" ht="15">
      <c r="A4285" s="90" t="s">
        <v>405</v>
      </c>
      <c r="B4285" s="89" t="s">
        <v>2173</v>
      </c>
      <c r="C4285" s="96" t="s">
        <v>1053</v>
      </c>
    </row>
    <row r="4286" spans="1:3" ht="15">
      <c r="A4286" s="90" t="s">
        <v>405</v>
      </c>
      <c r="B4286" s="89" t="s">
        <v>2592</v>
      </c>
      <c r="C4286" s="96" t="s">
        <v>1053</v>
      </c>
    </row>
    <row r="4287" spans="1:3" ht="15">
      <c r="A4287" s="90" t="s">
        <v>405</v>
      </c>
      <c r="B4287" s="89" t="s">
        <v>2174</v>
      </c>
      <c r="C4287" s="96" t="s">
        <v>1053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8B5B-1109-4470-920F-F704E8EA60C8}">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2097</v>
      </c>
      <c r="B1" s="13" t="s">
        <v>3873</v>
      </c>
    </row>
    <row r="2" spans="1:2" ht="15">
      <c r="A2" s="89" t="s">
        <v>3300</v>
      </c>
      <c r="B2" s="89" t="s">
        <v>3874</v>
      </c>
    </row>
    <row r="3" spans="1:2" ht="15">
      <c r="A3" s="90" t="s">
        <v>2863</v>
      </c>
      <c r="B3" s="89" t="s">
        <v>3874</v>
      </c>
    </row>
    <row r="4" spans="1:2" ht="15">
      <c r="A4" s="90" t="s">
        <v>3027</v>
      </c>
      <c r="B4" s="89" t="s">
        <v>3874</v>
      </c>
    </row>
    <row r="5" spans="1:2" ht="15">
      <c r="A5" s="90" t="s">
        <v>2892</v>
      </c>
      <c r="B5" s="89" t="s">
        <v>3874</v>
      </c>
    </row>
    <row r="6" spans="1:2" ht="15">
      <c r="A6" s="90" t="s">
        <v>3301</v>
      </c>
      <c r="B6" s="89" t="s">
        <v>3874</v>
      </c>
    </row>
    <row r="7" spans="1:2" ht="15">
      <c r="A7" s="90" t="s">
        <v>3302</v>
      </c>
      <c r="B7" s="89" t="s">
        <v>3874</v>
      </c>
    </row>
    <row r="8" spans="1:2" ht="15">
      <c r="A8" s="90" t="s">
        <v>3303</v>
      </c>
      <c r="B8" s="89" t="s">
        <v>3874</v>
      </c>
    </row>
    <row r="9" spans="1:2" ht="15">
      <c r="A9" s="90" t="s">
        <v>2817</v>
      </c>
      <c r="B9" s="89" t="s">
        <v>3874</v>
      </c>
    </row>
    <row r="10" spans="1:2" ht="15">
      <c r="A10" s="90" t="s">
        <v>3304</v>
      </c>
      <c r="B10" s="89" t="s">
        <v>3874</v>
      </c>
    </row>
    <row r="11" spans="1:2" ht="15">
      <c r="A11" s="90" t="s">
        <v>3305</v>
      </c>
      <c r="B11" s="89" t="s">
        <v>3874</v>
      </c>
    </row>
    <row r="12" spans="1:2" ht="15">
      <c r="A12" s="90" t="s">
        <v>3306</v>
      </c>
      <c r="B12" s="89" t="s">
        <v>3874</v>
      </c>
    </row>
    <row r="13" spans="1:2" ht="15">
      <c r="A13" s="90" t="s">
        <v>2375</v>
      </c>
      <c r="B13" s="89" t="s">
        <v>3874</v>
      </c>
    </row>
    <row r="14" spans="1:2" ht="15">
      <c r="A14" s="90" t="s">
        <v>3307</v>
      </c>
      <c r="B14" s="89" t="s">
        <v>3874</v>
      </c>
    </row>
    <row r="15" spans="1:2" ht="15">
      <c r="A15" s="90" t="s">
        <v>3308</v>
      </c>
      <c r="B15" s="89" t="s">
        <v>3874</v>
      </c>
    </row>
    <row r="16" spans="1:2" ht="15">
      <c r="A16" s="90" t="s">
        <v>3309</v>
      </c>
      <c r="B16" s="89" t="s">
        <v>3874</v>
      </c>
    </row>
    <row r="17" spans="1:2" ht="15">
      <c r="A17" s="90" t="s">
        <v>3310</v>
      </c>
      <c r="B17" s="89" t="s">
        <v>3874</v>
      </c>
    </row>
    <row r="18" spans="1:2" ht="15">
      <c r="A18" s="90" t="s">
        <v>3311</v>
      </c>
      <c r="B18" s="89" t="s">
        <v>3874</v>
      </c>
    </row>
    <row r="19" spans="1:2" ht="15">
      <c r="A19" s="90" t="s">
        <v>3312</v>
      </c>
      <c r="B19" s="89" t="s">
        <v>3874</v>
      </c>
    </row>
    <row r="20" spans="1:2" ht="15">
      <c r="A20" s="90" t="s">
        <v>3313</v>
      </c>
      <c r="B20" s="89" t="s">
        <v>3874</v>
      </c>
    </row>
    <row r="21" spans="1:2" ht="15">
      <c r="A21" s="90" t="s">
        <v>3314</v>
      </c>
      <c r="B21" s="89" t="s">
        <v>3874</v>
      </c>
    </row>
    <row r="22" spans="1:2" ht="15">
      <c r="A22" s="90" t="s">
        <v>2514</v>
      </c>
      <c r="B22" s="89" t="s">
        <v>3874</v>
      </c>
    </row>
    <row r="23" spans="1:2" ht="15">
      <c r="A23" s="90" t="s">
        <v>3243</v>
      </c>
      <c r="B23" s="89" t="s">
        <v>3874</v>
      </c>
    </row>
    <row r="24" spans="1:2" ht="15">
      <c r="A24" s="90" t="s">
        <v>3315</v>
      </c>
      <c r="B24" s="89" t="s">
        <v>3874</v>
      </c>
    </row>
    <row r="25" spans="1:2" ht="15">
      <c r="A25" s="90" t="s">
        <v>3316</v>
      </c>
      <c r="B25" s="89" t="s">
        <v>3874</v>
      </c>
    </row>
    <row r="26" spans="1:2" ht="15">
      <c r="A26" s="90" t="s">
        <v>3317</v>
      </c>
      <c r="B26" s="89" t="s">
        <v>3874</v>
      </c>
    </row>
    <row r="27" spans="1:2" ht="15">
      <c r="A27" s="90" t="s">
        <v>3318</v>
      </c>
      <c r="B27" s="89" t="s">
        <v>3874</v>
      </c>
    </row>
    <row r="28" spans="1:2" ht="15">
      <c r="A28" s="90" t="s">
        <v>3319</v>
      </c>
      <c r="B28" s="89" t="s">
        <v>3874</v>
      </c>
    </row>
    <row r="29" spans="1:2" ht="15">
      <c r="A29" s="90" t="s">
        <v>3320</v>
      </c>
      <c r="B29" s="89" t="s">
        <v>3874</v>
      </c>
    </row>
    <row r="30" spans="1:2" ht="15">
      <c r="A30" s="90" t="s">
        <v>3321</v>
      </c>
      <c r="B30" s="89" t="s">
        <v>3874</v>
      </c>
    </row>
    <row r="31" spans="1:2" ht="15">
      <c r="A31" s="90" t="s">
        <v>3322</v>
      </c>
      <c r="B31" s="89" t="s">
        <v>3874</v>
      </c>
    </row>
    <row r="32" spans="1:2" ht="15">
      <c r="A32" s="90" t="s">
        <v>3323</v>
      </c>
      <c r="B32" s="89" t="s">
        <v>3874</v>
      </c>
    </row>
    <row r="33" spans="1:2" ht="15">
      <c r="A33" s="90" t="s">
        <v>3324</v>
      </c>
      <c r="B33" s="89" t="s">
        <v>3874</v>
      </c>
    </row>
    <row r="34" spans="1:2" ht="15">
      <c r="A34" s="90" t="s">
        <v>3325</v>
      </c>
      <c r="B34" s="89" t="s">
        <v>3874</v>
      </c>
    </row>
    <row r="35" spans="1:2" ht="15">
      <c r="A35" s="90" t="s">
        <v>3326</v>
      </c>
      <c r="B35" s="89" t="s">
        <v>3874</v>
      </c>
    </row>
    <row r="36" spans="1:2" ht="15">
      <c r="A36" s="90" t="s">
        <v>3327</v>
      </c>
      <c r="B36" s="89" t="s">
        <v>3874</v>
      </c>
    </row>
    <row r="37" spans="1:2" ht="15">
      <c r="A37" s="90" t="s">
        <v>3328</v>
      </c>
      <c r="B37" s="89" t="s">
        <v>3874</v>
      </c>
    </row>
    <row r="38" spans="1:2" ht="15">
      <c r="A38" s="90" t="s">
        <v>3329</v>
      </c>
      <c r="B38" s="89" t="s">
        <v>3874</v>
      </c>
    </row>
    <row r="39" spans="1:2" ht="15">
      <c r="A39" s="90" t="s">
        <v>3330</v>
      </c>
      <c r="B39" s="89" t="s">
        <v>3874</v>
      </c>
    </row>
    <row r="40" spans="1:2" ht="15">
      <c r="A40" s="90" t="s">
        <v>3331</v>
      </c>
      <c r="B40" s="89" t="s">
        <v>3874</v>
      </c>
    </row>
    <row r="41" spans="1:2" ht="15">
      <c r="A41" s="90" t="s">
        <v>3332</v>
      </c>
      <c r="B41" s="89" t="s">
        <v>3874</v>
      </c>
    </row>
    <row r="42" spans="1:2" ht="15">
      <c r="A42" s="90" t="s">
        <v>3333</v>
      </c>
      <c r="B42" s="89" t="s">
        <v>3874</v>
      </c>
    </row>
    <row r="43" spans="1:2" ht="15">
      <c r="A43" s="90" t="s">
        <v>3334</v>
      </c>
      <c r="B43" s="89" t="s">
        <v>3874</v>
      </c>
    </row>
    <row r="44" spans="1:2" ht="15">
      <c r="A44" s="90" t="s">
        <v>3335</v>
      </c>
      <c r="B44" s="89" t="s">
        <v>3874</v>
      </c>
    </row>
    <row r="45" spans="1:2" ht="15">
      <c r="A45" s="90" t="s">
        <v>3336</v>
      </c>
      <c r="B45" s="89" t="s">
        <v>3874</v>
      </c>
    </row>
    <row r="46" spans="1:2" ht="15">
      <c r="A46" s="90" t="s">
        <v>3337</v>
      </c>
      <c r="B46" s="89" t="s">
        <v>3874</v>
      </c>
    </row>
    <row r="47" spans="1:2" ht="15">
      <c r="A47" s="90" t="s">
        <v>3338</v>
      </c>
      <c r="B47" s="89" t="s">
        <v>3874</v>
      </c>
    </row>
    <row r="48" spans="1:2" ht="15">
      <c r="A48" s="90" t="s">
        <v>3339</v>
      </c>
      <c r="B48" s="89" t="s">
        <v>3874</v>
      </c>
    </row>
    <row r="49" spans="1:2" ht="15">
      <c r="A49" s="90" t="s">
        <v>3340</v>
      </c>
      <c r="B49" s="89" t="s">
        <v>3874</v>
      </c>
    </row>
    <row r="50" spans="1:2" ht="15">
      <c r="A50" s="90" t="s">
        <v>3341</v>
      </c>
      <c r="B50" s="89" t="s">
        <v>3874</v>
      </c>
    </row>
    <row r="51" spans="1:2" ht="15">
      <c r="A51" s="90" t="s">
        <v>3342</v>
      </c>
      <c r="B51" s="89" t="s">
        <v>3874</v>
      </c>
    </row>
    <row r="52" spans="1:2" ht="15">
      <c r="A52" s="90" t="s">
        <v>3343</v>
      </c>
      <c r="B52" s="89" t="s">
        <v>3874</v>
      </c>
    </row>
    <row r="53" spans="1:2" ht="15">
      <c r="A53" s="90" t="s">
        <v>3344</v>
      </c>
      <c r="B53" s="89" t="s">
        <v>3874</v>
      </c>
    </row>
    <row r="54" spans="1:2" ht="15">
      <c r="A54" s="90" t="s">
        <v>2549</v>
      </c>
      <c r="B54" s="89" t="s">
        <v>3874</v>
      </c>
    </row>
    <row r="55" spans="1:2" ht="15">
      <c r="A55" s="90" t="s">
        <v>3345</v>
      </c>
      <c r="B55" s="89" t="s">
        <v>3874</v>
      </c>
    </row>
    <row r="56" spans="1:2" ht="15">
      <c r="A56" s="90" t="s">
        <v>3346</v>
      </c>
      <c r="B56" s="89" t="s">
        <v>3874</v>
      </c>
    </row>
    <row r="57" spans="1:2" ht="15">
      <c r="A57" s="90" t="s">
        <v>3347</v>
      </c>
      <c r="B57" s="89" t="s">
        <v>3874</v>
      </c>
    </row>
    <row r="58" spans="1:2" ht="15">
      <c r="A58" s="90" t="s">
        <v>3348</v>
      </c>
      <c r="B58" s="89" t="s">
        <v>3874</v>
      </c>
    </row>
    <row r="59" spans="1:2" ht="15">
      <c r="A59" s="90" t="s">
        <v>3349</v>
      </c>
      <c r="B59" s="89" t="s">
        <v>3874</v>
      </c>
    </row>
    <row r="60" spans="1:2" ht="15">
      <c r="A60" s="90" t="s">
        <v>2478</v>
      </c>
      <c r="B60" s="89" t="s">
        <v>3874</v>
      </c>
    </row>
    <row r="61" spans="1:2" ht="15">
      <c r="A61" s="90" t="s">
        <v>3029</v>
      </c>
      <c r="B61" s="89" t="s">
        <v>3874</v>
      </c>
    </row>
    <row r="62" spans="1:2" ht="15">
      <c r="A62" s="90" t="s">
        <v>3350</v>
      </c>
      <c r="B62" s="89" t="s">
        <v>3874</v>
      </c>
    </row>
    <row r="63" spans="1:2" ht="15">
      <c r="A63" s="90" t="s">
        <v>3351</v>
      </c>
      <c r="B63" s="89" t="s">
        <v>3874</v>
      </c>
    </row>
    <row r="64" spans="1:2" ht="15">
      <c r="A64" s="90" t="s">
        <v>3352</v>
      </c>
      <c r="B64" s="89" t="s">
        <v>3874</v>
      </c>
    </row>
    <row r="65" spans="1:2" ht="15">
      <c r="A65" s="90" t="s">
        <v>2970</v>
      </c>
      <c r="B65" s="89" t="s">
        <v>3874</v>
      </c>
    </row>
    <row r="66" spans="1:2" ht="15">
      <c r="A66" s="90" t="s">
        <v>3353</v>
      </c>
      <c r="B66" s="89" t="s">
        <v>3874</v>
      </c>
    </row>
    <row r="67" spans="1:2" ht="15">
      <c r="A67" s="90" t="s">
        <v>2519</v>
      </c>
      <c r="B67" s="89" t="s">
        <v>3874</v>
      </c>
    </row>
    <row r="68" spans="1:2" ht="15">
      <c r="A68" s="90" t="s">
        <v>3354</v>
      </c>
      <c r="B68" s="89" t="s">
        <v>3874</v>
      </c>
    </row>
    <row r="69" spans="1:2" ht="15">
      <c r="A69" s="90" t="s">
        <v>3355</v>
      </c>
      <c r="B69" s="89" t="s">
        <v>3874</v>
      </c>
    </row>
    <row r="70" spans="1:2" ht="15">
      <c r="A70" s="90" t="s">
        <v>3356</v>
      </c>
      <c r="B70" s="89" t="s">
        <v>3874</v>
      </c>
    </row>
    <row r="71" spans="1:2" ht="15">
      <c r="A71" s="90" t="s">
        <v>3357</v>
      </c>
      <c r="B71" s="89" t="s">
        <v>3874</v>
      </c>
    </row>
    <row r="72" spans="1:2" ht="15">
      <c r="A72" s="90" t="s">
        <v>3358</v>
      </c>
      <c r="B72" s="89" t="s">
        <v>3874</v>
      </c>
    </row>
    <row r="73" spans="1:2" ht="15">
      <c r="A73" s="90" t="s">
        <v>3359</v>
      </c>
      <c r="B73" s="89" t="s">
        <v>3874</v>
      </c>
    </row>
    <row r="74" spans="1:2" ht="15">
      <c r="A74" s="90" t="s">
        <v>3360</v>
      </c>
      <c r="B74" s="89" t="s">
        <v>3874</v>
      </c>
    </row>
    <row r="75" spans="1:2" ht="15">
      <c r="A75" s="90" t="s">
        <v>2398</v>
      </c>
      <c r="B75" s="89" t="s">
        <v>3874</v>
      </c>
    </row>
    <row r="76" spans="1:2" ht="15">
      <c r="A76" s="90" t="s">
        <v>3361</v>
      </c>
      <c r="B76" s="89" t="s">
        <v>3874</v>
      </c>
    </row>
    <row r="77" spans="1:2" ht="15">
      <c r="A77" s="90" t="s">
        <v>3362</v>
      </c>
      <c r="B77" s="89" t="s">
        <v>3874</v>
      </c>
    </row>
    <row r="78" spans="1:2" ht="15">
      <c r="A78" s="90" t="s">
        <v>2418</v>
      </c>
      <c r="B78" s="89" t="s">
        <v>3874</v>
      </c>
    </row>
    <row r="79" spans="1:2" ht="15">
      <c r="A79" s="90" t="s">
        <v>3363</v>
      </c>
      <c r="B79" s="89" t="s">
        <v>3874</v>
      </c>
    </row>
    <row r="80" spans="1:2" ht="15">
      <c r="A80" s="90" t="s">
        <v>3364</v>
      </c>
      <c r="B80" s="89" t="s">
        <v>3874</v>
      </c>
    </row>
    <row r="81" spans="1:2" ht="15">
      <c r="A81" s="90" t="s">
        <v>2441</v>
      </c>
      <c r="B81" s="89" t="s">
        <v>3874</v>
      </c>
    </row>
    <row r="82" spans="1:2" ht="15">
      <c r="A82" s="90" t="s">
        <v>2382</v>
      </c>
      <c r="B82" s="89" t="s">
        <v>3874</v>
      </c>
    </row>
    <row r="83" spans="1:2" ht="15">
      <c r="A83" s="90" t="s">
        <v>2417</v>
      </c>
      <c r="B83" s="89" t="s">
        <v>3874</v>
      </c>
    </row>
    <row r="84" spans="1:2" ht="15">
      <c r="A84" s="90" t="s">
        <v>3365</v>
      </c>
      <c r="B84" s="89" t="s">
        <v>3874</v>
      </c>
    </row>
    <row r="85" spans="1:2" ht="15">
      <c r="A85" s="90" t="s">
        <v>2634</v>
      </c>
      <c r="B85" s="89" t="s">
        <v>3874</v>
      </c>
    </row>
    <row r="86" spans="1:2" ht="15">
      <c r="A86" s="90" t="s">
        <v>2579</v>
      </c>
      <c r="B86" s="89" t="s">
        <v>3874</v>
      </c>
    </row>
    <row r="87" spans="1:2" ht="15">
      <c r="A87" s="90" t="s">
        <v>3366</v>
      </c>
      <c r="B87" s="89" t="s">
        <v>3874</v>
      </c>
    </row>
    <row r="88" spans="1:2" ht="15">
      <c r="A88" s="90" t="s">
        <v>3367</v>
      </c>
      <c r="B88" s="89" t="s">
        <v>3874</v>
      </c>
    </row>
    <row r="89" spans="1:2" ht="15">
      <c r="A89" s="90" t="s">
        <v>3368</v>
      </c>
      <c r="B89" s="89" t="s">
        <v>3874</v>
      </c>
    </row>
    <row r="90" spans="1:2" ht="15">
      <c r="A90" s="90" t="s">
        <v>3369</v>
      </c>
      <c r="B90" s="89" t="s">
        <v>3874</v>
      </c>
    </row>
    <row r="91" spans="1:2" ht="15">
      <c r="A91" s="90" t="s">
        <v>3370</v>
      </c>
      <c r="B91" s="89" t="s">
        <v>3874</v>
      </c>
    </row>
    <row r="92" spans="1:2" ht="15">
      <c r="A92" s="90" t="s">
        <v>3371</v>
      </c>
      <c r="B92" s="89" t="s">
        <v>3874</v>
      </c>
    </row>
    <row r="93" spans="1:2" ht="15">
      <c r="A93" s="90" t="s">
        <v>2984</v>
      </c>
      <c r="B93" s="89" t="s">
        <v>3874</v>
      </c>
    </row>
    <row r="94" spans="1:2" ht="15">
      <c r="A94" s="90" t="s">
        <v>1130</v>
      </c>
      <c r="B94" s="89" t="s">
        <v>3874</v>
      </c>
    </row>
    <row r="95" spans="1:2" ht="15">
      <c r="A95" s="90" t="s">
        <v>2389</v>
      </c>
      <c r="B95" s="89" t="s">
        <v>3874</v>
      </c>
    </row>
    <row r="96" spans="1:2" ht="15">
      <c r="A96" s="90" t="s">
        <v>3372</v>
      </c>
      <c r="B96" s="89" t="s">
        <v>3874</v>
      </c>
    </row>
    <row r="97" spans="1:2" ht="15">
      <c r="A97" s="90" t="s">
        <v>3129</v>
      </c>
      <c r="B97" s="89" t="s">
        <v>3874</v>
      </c>
    </row>
    <row r="98" spans="1:2" ht="15">
      <c r="A98" s="90" t="s">
        <v>2643</v>
      </c>
      <c r="B98" s="89" t="s">
        <v>3874</v>
      </c>
    </row>
    <row r="99" spans="1:2" ht="15">
      <c r="A99" s="90" t="s">
        <v>3373</v>
      </c>
      <c r="B99" s="89" t="s">
        <v>3874</v>
      </c>
    </row>
    <row r="100" spans="1:2" ht="15">
      <c r="A100" s="90" t="s">
        <v>3374</v>
      </c>
      <c r="B100" s="89" t="s">
        <v>3874</v>
      </c>
    </row>
    <row r="101" spans="1:2" ht="15">
      <c r="A101" s="90" t="s">
        <v>3375</v>
      </c>
      <c r="B101" s="89" t="s">
        <v>3874</v>
      </c>
    </row>
    <row r="102" spans="1:2" ht="15">
      <c r="A102" s="90" t="s">
        <v>3376</v>
      </c>
      <c r="B102" s="89" t="s">
        <v>3874</v>
      </c>
    </row>
    <row r="103" spans="1:2" ht="15">
      <c r="A103" s="90" t="s">
        <v>3377</v>
      </c>
      <c r="B103" s="89" t="s">
        <v>3874</v>
      </c>
    </row>
    <row r="104" spans="1:2" ht="15">
      <c r="A104" s="90" t="s">
        <v>3378</v>
      </c>
      <c r="B104" s="89" t="s">
        <v>3874</v>
      </c>
    </row>
    <row r="105" spans="1:2" ht="15">
      <c r="A105" s="90" t="s">
        <v>3379</v>
      </c>
      <c r="B105" s="89" t="s">
        <v>3874</v>
      </c>
    </row>
    <row r="106" spans="1:2" ht="15">
      <c r="A106" s="90" t="s">
        <v>3380</v>
      </c>
      <c r="B106" s="89" t="s">
        <v>3874</v>
      </c>
    </row>
    <row r="107" spans="1:2" ht="15">
      <c r="A107" s="90" t="s">
        <v>3381</v>
      </c>
      <c r="B107" s="89" t="s">
        <v>3874</v>
      </c>
    </row>
    <row r="108" spans="1:2" ht="15">
      <c r="A108" s="90" t="s">
        <v>3382</v>
      </c>
      <c r="B108" s="89" t="s">
        <v>3874</v>
      </c>
    </row>
    <row r="109" spans="1:2" ht="15">
      <c r="A109" s="90" t="s">
        <v>3383</v>
      </c>
      <c r="B109" s="89" t="s">
        <v>3874</v>
      </c>
    </row>
    <row r="110" spans="1:2" ht="15">
      <c r="A110" s="90" t="s">
        <v>3384</v>
      </c>
      <c r="B110" s="89" t="s">
        <v>3874</v>
      </c>
    </row>
    <row r="111" spans="1:2" ht="15">
      <c r="A111" s="90" t="s">
        <v>3385</v>
      </c>
      <c r="B111" s="89" t="s">
        <v>3874</v>
      </c>
    </row>
    <row r="112" spans="1:2" ht="15">
      <c r="A112" s="90" t="s">
        <v>3386</v>
      </c>
      <c r="B112" s="89" t="s">
        <v>3874</v>
      </c>
    </row>
    <row r="113" spans="1:2" ht="15">
      <c r="A113" s="90" t="s">
        <v>3387</v>
      </c>
      <c r="B113" s="89" t="s">
        <v>3874</v>
      </c>
    </row>
    <row r="114" spans="1:2" ht="15">
      <c r="A114" s="90" t="s">
        <v>3388</v>
      </c>
      <c r="B114" s="89" t="s">
        <v>3874</v>
      </c>
    </row>
    <row r="115" spans="1:2" ht="15">
      <c r="A115" s="90" t="s">
        <v>3389</v>
      </c>
      <c r="B115" s="89" t="s">
        <v>3874</v>
      </c>
    </row>
    <row r="116" spans="1:2" ht="15">
      <c r="A116" s="90" t="s">
        <v>3390</v>
      </c>
      <c r="B116" s="89" t="s">
        <v>3874</v>
      </c>
    </row>
    <row r="117" spans="1:2" ht="15">
      <c r="A117" s="90" t="s">
        <v>3391</v>
      </c>
      <c r="B117" s="89" t="s">
        <v>3874</v>
      </c>
    </row>
    <row r="118" spans="1:2" ht="15">
      <c r="A118" s="90" t="s">
        <v>2520</v>
      </c>
      <c r="B118" s="89" t="s">
        <v>3874</v>
      </c>
    </row>
    <row r="119" spans="1:2" ht="15">
      <c r="A119" s="90" t="s">
        <v>2940</v>
      </c>
      <c r="B119" s="89" t="s">
        <v>3874</v>
      </c>
    </row>
    <row r="120" spans="1:2" ht="15">
      <c r="A120" s="90" t="s">
        <v>3392</v>
      </c>
      <c r="B120" s="89" t="s">
        <v>3874</v>
      </c>
    </row>
    <row r="121" spans="1:2" ht="15">
      <c r="A121" s="90" t="s">
        <v>3393</v>
      </c>
      <c r="B121" s="89" t="s">
        <v>3874</v>
      </c>
    </row>
    <row r="122" spans="1:2" ht="15">
      <c r="A122" s="90" t="s">
        <v>2819</v>
      </c>
      <c r="B122" s="89" t="s">
        <v>3874</v>
      </c>
    </row>
    <row r="123" spans="1:2" ht="15">
      <c r="A123" s="90" t="s">
        <v>3394</v>
      </c>
      <c r="B123" s="89" t="s">
        <v>3874</v>
      </c>
    </row>
    <row r="124" spans="1:2" ht="15">
      <c r="A124" s="90" t="s">
        <v>3395</v>
      </c>
      <c r="B124" s="89" t="s">
        <v>3874</v>
      </c>
    </row>
    <row r="125" spans="1:2" ht="15">
      <c r="A125" s="90" t="s">
        <v>1129</v>
      </c>
      <c r="B125" s="89" t="s">
        <v>3874</v>
      </c>
    </row>
    <row r="126" spans="1:2" ht="15">
      <c r="A126" s="90" t="s">
        <v>3396</v>
      </c>
      <c r="B126" s="89" t="s">
        <v>3874</v>
      </c>
    </row>
    <row r="127" spans="1:2" ht="15">
      <c r="A127" s="90" t="s">
        <v>3397</v>
      </c>
      <c r="B127" s="89" t="s">
        <v>3874</v>
      </c>
    </row>
    <row r="128" spans="1:2" ht="15">
      <c r="A128" s="90" t="s">
        <v>2364</v>
      </c>
      <c r="B128" s="89" t="s">
        <v>3874</v>
      </c>
    </row>
    <row r="129" spans="1:2" ht="15">
      <c r="A129" s="90" t="s">
        <v>3398</v>
      </c>
      <c r="B129" s="89" t="s">
        <v>3874</v>
      </c>
    </row>
    <row r="130" spans="1:2" ht="15">
      <c r="A130" s="90" t="s">
        <v>2616</v>
      </c>
      <c r="B130" s="89" t="s">
        <v>3874</v>
      </c>
    </row>
    <row r="131" spans="1:2" ht="15">
      <c r="A131" s="90" t="s">
        <v>2414</v>
      </c>
      <c r="B131" s="89" t="s">
        <v>3874</v>
      </c>
    </row>
    <row r="132" spans="1:2" ht="15">
      <c r="A132" s="90" t="s">
        <v>2771</v>
      </c>
      <c r="B132" s="89" t="s">
        <v>3874</v>
      </c>
    </row>
    <row r="133" spans="1:2" ht="15">
      <c r="A133" s="90" t="s">
        <v>3399</v>
      </c>
      <c r="B133" s="89" t="s">
        <v>3874</v>
      </c>
    </row>
    <row r="134" spans="1:2" ht="15">
      <c r="A134" s="90" t="s">
        <v>3400</v>
      </c>
      <c r="B134" s="89" t="s">
        <v>3874</v>
      </c>
    </row>
    <row r="135" spans="1:2" ht="15">
      <c r="A135" s="90" t="s">
        <v>3401</v>
      </c>
      <c r="B135" s="89" t="s">
        <v>3874</v>
      </c>
    </row>
    <row r="136" spans="1:2" ht="15">
      <c r="A136" s="90" t="s">
        <v>3402</v>
      </c>
      <c r="B136" s="89" t="s">
        <v>3874</v>
      </c>
    </row>
    <row r="137" spans="1:2" ht="15">
      <c r="A137" s="90" t="s">
        <v>3403</v>
      </c>
      <c r="B137" s="89" t="s">
        <v>3874</v>
      </c>
    </row>
    <row r="138" spans="1:2" ht="15">
      <c r="A138" s="90" t="s">
        <v>3404</v>
      </c>
      <c r="B138" s="89" t="s">
        <v>3874</v>
      </c>
    </row>
    <row r="139" spans="1:2" ht="15">
      <c r="A139" s="90" t="s">
        <v>3405</v>
      </c>
      <c r="B139" s="89" t="s">
        <v>3874</v>
      </c>
    </row>
    <row r="140" spans="1:2" ht="15">
      <c r="A140" s="90" t="s">
        <v>3406</v>
      </c>
      <c r="B140" s="89" t="s">
        <v>3874</v>
      </c>
    </row>
    <row r="141" spans="1:2" ht="15">
      <c r="A141" s="90" t="s">
        <v>3407</v>
      </c>
      <c r="B141" s="89" t="s">
        <v>3874</v>
      </c>
    </row>
    <row r="142" spans="1:2" ht="15">
      <c r="A142" s="90" t="s">
        <v>3408</v>
      </c>
      <c r="B142" s="89" t="s">
        <v>3874</v>
      </c>
    </row>
    <row r="143" spans="1:2" ht="15">
      <c r="A143" s="90" t="s">
        <v>3409</v>
      </c>
      <c r="B143" s="89" t="s">
        <v>3874</v>
      </c>
    </row>
    <row r="144" spans="1:2" ht="15">
      <c r="A144" s="90" t="s">
        <v>3410</v>
      </c>
      <c r="B144" s="89" t="s">
        <v>3874</v>
      </c>
    </row>
    <row r="145" spans="1:2" ht="15">
      <c r="A145" s="90" t="s">
        <v>3411</v>
      </c>
      <c r="B145" s="89" t="s">
        <v>3874</v>
      </c>
    </row>
    <row r="146" spans="1:2" ht="15">
      <c r="A146" s="90" t="s">
        <v>3412</v>
      </c>
      <c r="B146" s="89" t="s">
        <v>3874</v>
      </c>
    </row>
    <row r="147" spans="1:2" ht="15">
      <c r="A147" s="90" t="s">
        <v>3413</v>
      </c>
      <c r="B147" s="89" t="s">
        <v>3874</v>
      </c>
    </row>
    <row r="148" spans="1:2" ht="15">
      <c r="A148" s="90" t="s">
        <v>2394</v>
      </c>
      <c r="B148" s="89" t="s">
        <v>3874</v>
      </c>
    </row>
    <row r="149" spans="1:2" ht="15">
      <c r="A149" s="90" t="s">
        <v>3414</v>
      </c>
      <c r="B149" s="89" t="s">
        <v>3874</v>
      </c>
    </row>
    <row r="150" spans="1:2" ht="15">
      <c r="A150" s="90" t="s">
        <v>3415</v>
      </c>
      <c r="B150" s="89" t="s">
        <v>3874</v>
      </c>
    </row>
    <row r="151" spans="1:2" ht="15">
      <c r="A151" s="90" t="s">
        <v>3416</v>
      </c>
      <c r="B151" s="89" t="s">
        <v>3874</v>
      </c>
    </row>
    <row r="152" spans="1:2" ht="15">
      <c r="A152" s="90" t="s">
        <v>3417</v>
      </c>
      <c r="B152" s="89" t="s">
        <v>3874</v>
      </c>
    </row>
    <row r="153" spans="1:2" ht="15">
      <c r="A153" s="90" t="s">
        <v>2557</v>
      </c>
      <c r="B153" s="89" t="s">
        <v>3874</v>
      </c>
    </row>
    <row r="154" spans="1:2" ht="15">
      <c r="A154" s="90" t="s">
        <v>3418</v>
      </c>
      <c r="B154" s="89" t="s">
        <v>3874</v>
      </c>
    </row>
    <row r="155" spans="1:2" ht="15">
      <c r="A155" s="90" t="s">
        <v>3419</v>
      </c>
      <c r="B155" s="89" t="s">
        <v>3874</v>
      </c>
    </row>
    <row r="156" spans="1:2" ht="15">
      <c r="A156" s="90" t="s">
        <v>3420</v>
      </c>
      <c r="B156" s="89" t="s">
        <v>3874</v>
      </c>
    </row>
    <row r="157" spans="1:2" ht="15">
      <c r="A157" s="90" t="s">
        <v>2500</v>
      </c>
      <c r="B157" s="89" t="s">
        <v>3874</v>
      </c>
    </row>
    <row r="158" spans="1:2" ht="15">
      <c r="A158" s="90" t="s">
        <v>3421</v>
      </c>
      <c r="B158" s="89" t="s">
        <v>3874</v>
      </c>
    </row>
    <row r="159" spans="1:2" ht="15">
      <c r="A159" s="90" t="s">
        <v>3422</v>
      </c>
      <c r="B159" s="89" t="s">
        <v>3874</v>
      </c>
    </row>
    <row r="160" spans="1:2" ht="15">
      <c r="A160" s="90" t="s">
        <v>3423</v>
      </c>
      <c r="B160" s="89" t="s">
        <v>3874</v>
      </c>
    </row>
    <row r="161" spans="1:2" ht="15">
      <c r="A161" s="90" t="s">
        <v>2362</v>
      </c>
      <c r="B161" s="89" t="s">
        <v>3874</v>
      </c>
    </row>
    <row r="162" spans="1:2" ht="15">
      <c r="A162" s="90" t="s">
        <v>3424</v>
      </c>
      <c r="B162" s="89" t="s">
        <v>3874</v>
      </c>
    </row>
    <row r="163" spans="1:2" ht="15">
      <c r="A163" s="90" t="s">
        <v>3425</v>
      </c>
      <c r="B163" s="89" t="s">
        <v>3874</v>
      </c>
    </row>
    <row r="164" spans="1:2" ht="15">
      <c r="A164" s="90" t="s">
        <v>3426</v>
      </c>
      <c r="B164" s="89" t="s">
        <v>3874</v>
      </c>
    </row>
    <row r="165" spans="1:2" ht="15">
      <c r="A165" s="90" t="s">
        <v>3427</v>
      </c>
      <c r="B165" s="89" t="s">
        <v>3874</v>
      </c>
    </row>
    <row r="166" spans="1:2" ht="15">
      <c r="A166" s="90" t="s">
        <v>3428</v>
      </c>
      <c r="B166" s="89" t="s">
        <v>3874</v>
      </c>
    </row>
    <row r="167" spans="1:2" ht="15">
      <c r="A167" s="90" t="s">
        <v>3429</v>
      </c>
      <c r="B167" s="89" t="s">
        <v>3874</v>
      </c>
    </row>
    <row r="168" spans="1:2" ht="15">
      <c r="A168" s="90" t="s">
        <v>3430</v>
      </c>
      <c r="B168" s="89" t="s">
        <v>3874</v>
      </c>
    </row>
    <row r="169" spans="1:2" ht="15">
      <c r="A169" s="90" t="s">
        <v>3431</v>
      </c>
      <c r="B169" s="89" t="s">
        <v>3874</v>
      </c>
    </row>
    <row r="170" spans="1:2" ht="15">
      <c r="A170" s="90" t="s">
        <v>2365</v>
      </c>
      <c r="B170" s="89" t="s">
        <v>3874</v>
      </c>
    </row>
    <row r="171" spans="1:2" ht="15">
      <c r="A171" s="90" t="s">
        <v>3432</v>
      </c>
      <c r="B171" s="89" t="s">
        <v>3874</v>
      </c>
    </row>
    <row r="172" spans="1:2" ht="15">
      <c r="A172" s="90" t="s">
        <v>3433</v>
      </c>
      <c r="B172" s="89" t="s">
        <v>3874</v>
      </c>
    </row>
    <row r="173" spans="1:2" ht="15">
      <c r="A173" s="90" t="s">
        <v>2648</v>
      </c>
      <c r="B173" s="89" t="s">
        <v>3874</v>
      </c>
    </row>
    <row r="174" spans="1:2" ht="15">
      <c r="A174" s="90" t="s">
        <v>3434</v>
      </c>
      <c r="B174" s="89" t="s">
        <v>3874</v>
      </c>
    </row>
    <row r="175" spans="1:2" ht="15">
      <c r="A175" s="90" t="s">
        <v>2641</v>
      </c>
      <c r="B175" s="89" t="s">
        <v>3874</v>
      </c>
    </row>
    <row r="176" spans="1:2" ht="15">
      <c r="A176" s="90" t="s">
        <v>3435</v>
      </c>
      <c r="B176" s="89" t="s">
        <v>3874</v>
      </c>
    </row>
    <row r="177" spans="1:2" ht="15">
      <c r="A177" s="90" t="s">
        <v>3436</v>
      </c>
      <c r="B177" s="89" t="s">
        <v>3874</v>
      </c>
    </row>
    <row r="178" spans="1:2" ht="15">
      <c r="A178" s="90" t="s">
        <v>3437</v>
      </c>
      <c r="B178" s="89" t="s">
        <v>3874</v>
      </c>
    </row>
    <row r="179" spans="1:2" ht="15">
      <c r="A179" s="90" t="s">
        <v>3438</v>
      </c>
      <c r="B179" s="89" t="s">
        <v>3874</v>
      </c>
    </row>
    <row r="180" spans="1:2" ht="15">
      <c r="A180" s="90" t="s">
        <v>3439</v>
      </c>
      <c r="B180" s="89" t="s">
        <v>3874</v>
      </c>
    </row>
    <row r="181" spans="1:2" ht="15">
      <c r="A181" s="90" t="s">
        <v>3192</v>
      </c>
      <c r="B181" s="89" t="s">
        <v>3874</v>
      </c>
    </row>
    <row r="182" spans="1:2" ht="15">
      <c r="A182" s="90" t="s">
        <v>3440</v>
      </c>
      <c r="B182" s="89" t="s">
        <v>3874</v>
      </c>
    </row>
    <row r="183" spans="1:2" ht="15">
      <c r="A183" s="90" t="s">
        <v>3441</v>
      </c>
      <c r="B183" s="89" t="s">
        <v>3874</v>
      </c>
    </row>
    <row r="184" spans="1:2" ht="15">
      <c r="A184" s="90" t="s">
        <v>3442</v>
      </c>
      <c r="B184" s="89" t="s">
        <v>3874</v>
      </c>
    </row>
    <row r="185" spans="1:2" ht="15">
      <c r="A185" s="90" t="s">
        <v>2428</v>
      </c>
      <c r="B185" s="89" t="s">
        <v>3874</v>
      </c>
    </row>
    <row r="186" spans="1:2" ht="15">
      <c r="A186" s="90" t="s">
        <v>3443</v>
      </c>
      <c r="B186" s="89" t="s">
        <v>3874</v>
      </c>
    </row>
    <row r="187" spans="1:2" ht="15">
      <c r="A187" s="90" t="s">
        <v>2590</v>
      </c>
      <c r="B187" s="89" t="s">
        <v>3874</v>
      </c>
    </row>
    <row r="188" spans="1:2" ht="15">
      <c r="A188" s="90" t="s">
        <v>2454</v>
      </c>
      <c r="B188" s="89" t="s">
        <v>3874</v>
      </c>
    </row>
    <row r="189" spans="1:2" ht="15">
      <c r="A189" s="90" t="s">
        <v>3444</v>
      </c>
      <c r="B189" s="89" t="s">
        <v>3874</v>
      </c>
    </row>
    <row r="190" spans="1:2" ht="15">
      <c r="A190" s="90" t="s">
        <v>3445</v>
      </c>
      <c r="B190" s="89" t="s">
        <v>3874</v>
      </c>
    </row>
    <row r="191" spans="1:2" ht="15">
      <c r="A191" s="90" t="s">
        <v>2361</v>
      </c>
      <c r="B191" s="89" t="s">
        <v>3874</v>
      </c>
    </row>
    <row r="192" spans="1:2" ht="15">
      <c r="A192" s="90" t="s">
        <v>3446</v>
      </c>
      <c r="B192" s="89" t="s">
        <v>3874</v>
      </c>
    </row>
    <row r="193" spans="1:2" ht="15">
      <c r="A193" s="90" t="s">
        <v>3447</v>
      </c>
      <c r="B193" s="89" t="s">
        <v>3874</v>
      </c>
    </row>
    <row r="194" spans="1:2" ht="15">
      <c r="A194" s="90" t="s">
        <v>3448</v>
      </c>
      <c r="B194" s="89" t="s">
        <v>3874</v>
      </c>
    </row>
    <row r="195" spans="1:2" ht="15">
      <c r="A195" s="90" t="s">
        <v>2756</v>
      </c>
      <c r="B195" s="89" t="s">
        <v>3874</v>
      </c>
    </row>
    <row r="196" spans="1:2" ht="15">
      <c r="A196" s="90" t="s">
        <v>3449</v>
      </c>
      <c r="B196" s="89" t="s">
        <v>3874</v>
      </c>
    </row>
    <row r="197" spans="1:2" ht="15">
      <c r="A197" s="90" t="s">
        <v>2495</v>
      </c>
      <c r="B197" s="89" t="s">
        <v>3874</v>
      </c>
    </row>
    <row r="198" spans="1:2" ht="15">
      <c r="A198" s="90" t="s">
        <v>3450</v>
      </c>
      <c r="B198" s="89" t="s">
        <v>3874</v>
      </c>
    </row>
    <row r="199" spans="1:2" ht="15">
      <c r="A199" s="90" t="s">
        <v>3451</v>
      </c>
      <c r="B199" s="89" t="s">
        <v>3874</v>
      </c>
    </row>
    <row r="200" spans="1:2" ht="15">
      <c r="A200" s="90" t="s">
        <v>3452</v>
      </c>
      <c r="B200" s="89" t="s">
        <v>3874</v>
      </c>
    </row>
    <row r="201" spans="1:2" ht="15">
      <c r="A201" s="90" t="s">
        <v>2525</v>
      </c>
      <c r="B201" s="89" t="s">
        <v>3874</v>
      </c>
    </row>
    <row r="202" spans="1:2" ht="15">
      <c r="A202" s="90" t="s">
        <v>3453</v>
      </c>
      <c r="B202" s="89" t="s">
        <v>3874</v>
      </c>
    </row>
    <row r="203" spans="1:2" ht="15">
      <c r="A203" s="90" t="s">
        <v>3454</v>
      </c>
      <c r="B203" s="89" t="s">
        <v>3874</v>
      </c>
    </row>
    <row r="204" spans="1:2" ht="15">
      <c r="A204" s="90" t="s">
        <v>3455</v>
      </c>
      <c r="B204" s="89" t="s">
        <v>3874</v>
      </c>
    </row>
    <row r="205" spans="1:2" ht="15">
      <c r="A205" s="90" t="s">
        <v>3456</v>
      </c>
      <c r="B205" s="89" t="s">
        <v>3874</v>
      </c>
    </row>
    <row r="206" spans="1:2" ht="15">
      <c r="A206" s="90" t="s">
        <v>2581</v>
      </c>
      <c r="B206" s="89" t="s">
        <v>3874</v>
      </c>
    </row>
    <row r="207" spans="1:2" ht="15">
      <c r="A207" s="90" t="s">
        <v>3457</v>
      </c>
      <c r="B207" s="89" t="s">
        <v>3874</v>
      </c>
    </row>
    <row r="208" spans="1:2" ht="15">
      <c r="A208" s="90" t="s">
        <v>3458</v>
      </c>
      <c r="B208" s="89" t="s">
        <v>3874</v>
      </c>
    </row>
    <row r="209" spans="1:2" ht="15">
      <c r="A209" s="90" t="s">
        <v>3459</v>
      </c>
      <c r="B209" s="89" t="s">
        <v>3874</v>
      </c>
    </row>
    <row r="210" spans="1:2" ht="15">
      <c r="A210" s="90" t="s">
        <v>2617</v>
      </c>
      <c r="B210" s="89" t="s">
        <v>3874</v>
      </c>
    </row>
    <row r="211" spans="1:2" ht="15">
      <c r="A211" s="90" t="s">
        <v>3460</v>
      </c>
      <c r="B211" s="89" t="s">
        <v>3874</v>
      </c>
    </row>
    <row r="212" spans="1:2" ht="15">
      <c r="A212" s="90" t="s">
        <v>3461</v>
      </c>
      <c r="B212" s="89" t="s">
        <v>3874</v>
      </c>
    </row>
    <row r="213" spans="1:2" ht="15">
      <c r="A213" s="90" t="s">
        <v>3462</v>
      </c>
      <c r="B213" s="89" t="s">
        <v>3874</v>
      </c>
    </row>
    <row r="214" spans="1:2" ht="15">
      <c r="A214" s="90" t="s">
        <v>3463</v>
      </c>
      <c r="B214" s="89" t="s">
        <v>3874</v>
      </c>
    </row>
    <row r="215" spans="1:2" ht="15">
      <c r="A215" s="90" t="s">
        <v>3464</v>
      </c>
      <c r="B215" s="89" t="s">
        <v>3874</v>
      </c>
    </row>
    <row r="216" spans="1:2" ht="15">
      <c r="A216" s="90" t="s">
        <v>3107</v>
      </c>
      <c r="B216" s="89" t="s">
        <v>3874</v>
      </c>
    </row>
    <row r="217" spans="1:2" ht="15">
      <c r="A217" s="90" t="s">
        <v>3465</v>
      </c>
      <c r="B217" s="89" t="s">
        <v>3874</v>
      </c>
    </row>
    <row r="218" spans="1:2" ht="15">
      <c r="A218" s="90" t="s">
        <v>3466</v>
      </c>
      <c r="B218" s="89" t="s">
        <v>3874</v>
      </c>
    </row>
    <row r="219" spans="1:2" ht="15">
      <c r="A219" s="90" t="s">
        <v>3019</v>
      </c>
      <c r="B219" s="89" t="s">
        <v>3874</v>
      </c>
    </row>
    <row r="220" spans="1:2" ht="15">
      <c r="A220" s="90" t="s">
        <v>2542</v>
      </c>
      <c r="B220" s="89" t="s">
        <v>3874</v>
      </c>
    </row>
    <row r="221" spans="1:2" ht="15">
      <c r="A221" s="90" t="s">
        <v>2735</v>
      </c>
      <c r="B221" s="89" t="s">
        <v>3874</v>
      </c>
    </row>
    <row r="222" spans="1:2" ht="15">
      <c r="A222" s="90" t="s">
        <v>3467</v>
      </c>
      <c r="B222" s="89" t="s">
        <v>3874</v>
      </c>
    </row>
    <row r="223" spans="1:2" ht="15">
      <c r="A223" s="90" t="s">
        <v>3468</v>
      </c>
      <c r="B223" s="89" t="s">
        <v>3874</v>
      </c>
    </row>
    <row r="224" spans="1:2" ht="15">
      <c r="A224" s="90" t="s">
        <v>3469</v>
      </c>
      <c r="B224" s="89" t="s">
        <v>3874</v>
      </c>
    </row>
    <row r="225" spans="1:2" ht="15">
      <c r="A225" s="90" t="s">
        <v>2413</v>
      </c>
      <c r="B225" s="89" t="s">
        <v>3874</v>
      </c>
    </row>
    <row r="226" spans="1:2" ht="15">
      <c r="A226" s="90" t="s">
        <v>2412</v>
      </c>
      <c r="B226" s="89" t="s">
        <v>3874</v>
      </c>
    </row>
    <row r="227" spans="1:2" ht="15">
      <c r="A227" s="90" t="s">
        <v>3470</v>
      </c>
      <c r="B227" s="89" t="s">
        <v>3874</v>
      </c>
    </row>
    <row r="228" spans="1:2" ht="15">
      <c r="A228" s="90" t="s">
        <v>3168</v>
      </c>
      <c r="B228" s="89" t="s">
        <v>3874</v>
      </c>
    </row>
    <row r="229" spans="1:2" ht="15">
      <c r="A229" s="90" t="s">
        <v>3471</v>
      </c>
      <c r="B229" s="89" t="s">
        <v>3874</v>
      </c>
    </row>
    <row r="230" spans="1:2" ht="15">
      <c r="A230" s="90" t="s">
        <v>3472</v>
      </c>
      <c r="B230" s="89" t="s">
        <v>3874</v>
      </c>
    </row>
    <row r="231" spans="1:2" ht="15">
      <c r="A231" s="90" t="s">
        <v>3056</v>
      </c>
      <c r="B231" s="89" t="s">
        <v>3874</v>
      </c>
    </row>
    <row r="232" spans="1:2" ht="15">
      <c r="A232" s="90" t="s">
        <v>3473</v>
      </c>
      <c r="B232" s="89" t="s">
        <v>3874</v>
      </c>
    </row>
    <row r="233" spans="1:2" ht="15">
      <c r="A233" s="90" t="s">
        <v>3474</v>
      </c>
      <c r="B233" s="89" t="s">
        <v>3874</v>
      </c>
    </row>
    <row r="234" spans="1:2" ht="15">
      <c r="A234" s="90" t="s">
        <v>3475</v>
      </c>
      <c r="B234" s="89" t="s">
        <v>3874</v>
      </c>
    </row>
    <row r="235" spans="1:2" ht="15">
      <c r="A235" s="90" t="s">
        <v>3476</v>
      </c>
      <c r="B235" s="89" t="s">
        <v>3874</v>
      </c>
    </row>
    <row r="236" spans="1:2" ht="15">
      <c r="A236" s="90" t="s">
        <v>3477</v>
      </c>
      <c r="B236" s="89" t="s">
        <v>3874</v>
      </c>
    </row>
    <row r="237" spans="1:2" ht="15">
      <c r="A237" s="90" t="s">
        <v>3478</v>
      </c>
      <c r="B237" s="89" t="s">
        <v>3874</v>
      </c>
    </row>
    <row r="238" spans="1:2" ht="15">
      <c r="A238" s="90" t="s">
        <v>3479</v>
      </c>
      <c r="B238" s="89" t="s">
        <v>3874</v>
      </c>
    </row>
    <row r="239" spans="1:2" ht="15">
      <c r="A239" s="90" t="s">
        <v>3480</v>
      </c>
      <c r="B239" s="89" t="s">
        <v>3874</v>
      </c>
    </row>
    <row r="240" spans="1:2" ht="15">
      <c r="A240" s="90" t="s">
        <v>3481</v>
      </c>
      <c r="B240" s="89" t="s">
        <v>3874</v>
      </c>
    </row>
    <row r="241" spans="1:2" ht="15">
      <c r="A241" s="90" t="s">
        <v>3482</v>
      </c>
      <c r="B241" s="89" t="s">
        <v>3874</v>
      </c>
    </row>
    <row r="242" spans="1:2" ht="15">
      <c r="A242" s="90" t="s">
        <v>3483</v>
      </c>
      <c r="B242" s="89" t="s">
        <v>3874</v>
      </c>
    </row>
    <row r="243" spans="1:2" ht="15">
      <c r="A243" s="90" t="s">
        <v>3484</v>
      </c>
      <c r="B243" s="89" t="s">
        <v>3874</v>
      </c>
    </row>
    <row r="244" spans="1:2" ht="15">
      <c r="A244" s="90" t="s">
        <v>3485</v>
      </c>
      <c r="B244" s="89" t="s">
        <v>3874</v>
      </c>
    </row>
    <row r="245" spans="1:2" ht="15">
      <c r="A245" s="90" t="s">
        <v>3486</v>
      </c>
      <c r="B245" s="89" t="s">
        <v>3874</v>
      </c>
    </row>
    <row r="246" spans="1:2" ht="15">
      <c r="A246" s="90" t="s">
        <v>3487</v>
      </c>
      <c r="B246" s="89" t="s">
        <v>3874</v>
      </c>
    </row>
    <row r="247" spans="1:2" ht="15">
      <c r="A247" s="90" t="s">
        <v>3488</v>
      </c>
      <c r="B247" s="89" t="s">
        <v>3874</v>
      </c>
    </row>
    <row r="248" spans="1:2" ht="15">
      <c r="A248" s="90" t="s">
        <v>3489</v>
      </c>
      <c r="B248" s="89" t="s">
        <v>3874</v>
      </c>
    </row>
    <row r="249" spans="1:2" ht="15">
      <c r="A249" s="90" t="s">
        <v>3490</v>
      </c>
      <c r="B249" s="89" t="s">
        <v>3874</v>
      </c>
    </row>
    <row r="250" spans="1:2" ht="15">
      <c r="A250" s="90" t="s">
        <v>3491</v>
      </c>
      <c r="B250" s="89" t="s">
        <v>3874</v>
      </c>
    </row>
    <row r="251" spans="1:2" ht="15">
      <c r="A251" s="90" t="s">
        <v>3492</v>
      </c>
      <c r="B251" s="89" t="s">
        <v>3874</v>
      </c>
    </row>
    <row r="252" spans="1:2" ht="15">
      <c r="A252" s="90" t="s">
        <v>3493</v>
      </c>
      <c r="B252" s="89" t="s">
        <v>3874</v>
      </c>
    </row>
    <row r="253" spans="1:2" ht="15">
      <c r="A253" s="90" t="s">
        <v>3494</v>
      </c>
      <c r="B253" s="89" t="s">
        <v>3874</v>
      </c>
    </row>
    <row r="254" spans="1:2" ht="15">
      <c r="A254" s="90" t="s">
        <v>3134</v>
      </c>
      <c r="B254" s="89" t="s">
        <v>3874</v>
      </c>
    </row>
    <row r="255" spans="1:2" ht="15">
      <c r="A255" s="90" t="s">
        <v>3495</v>
      </c>
      <c r="B255" s="89" t="s">
        <v>3874</v>
      </c>
    </row>
    <row r="256" spans="1:2" ht="15">
      <c r="A256" s="90" t="s">
        <v>3496</v>
      </c>
      <c r="B256" s="89" t="s">
        <v>3874</v>
      </c>
    </row>
    <row r="257" spans="1:2" ht="15">
      <c r="A257" s="90" t="s">
        <v>3497</v>
      </c>
      <c r="B257" s="89" t="s">
        <v>3874</v>
      </c>
    </row>
    <row r="258" spans="1:2" ht="15">
      <c r="A258" s="90" t="s">
        <v>3498</v>
      </c>
      <c r="B258" s="89" t="s">
        <v>3874</v>
      </c>
    </row>
    <row r="259" spans="1:2" ht="15">
      <c r="A259" s="90" t="s">
        <v>3499</v>
      </c>
      <c r="B259" s="89" t="s">
        <v>3874</v>
      </c>
    </row>
    <row r="260" spans="1:2" ht="15">
      <c r="A260" s="90" t="s">
        <v>3500</v>
      </c>
      <c r="B260" s="89" t="s">
        <v>3874</v>
      </c>
    </row>
    <row r="261" spans="1:2" ht="15">
      <c r="A261" s="90" t="s">
        <v>2772</v>
      </c>
      <c r="B261" s="89" t="s">
        <v>3874</v>
      </c>
    </row>
    <row r="262" spans="1:2" ht="15">
      <c r="A262" s="90" t="s">
        <v>3501</v>
      </c>
      <c r="B262" s="89" t="s">
        <v>3874</v>
      </c>
    </row>
    <row r="263" spans="1:2" ht="15">
      <c r="A263" s="90" t="s">
        <v>3502</v>
      </c>
      <c r="B263" s="89" t="s">
        <v>3874</v>
      </c>
    </row>
    <row r="264" spans="1:2" ht="15">
      <c r="A264" s="90" t="s">
        <v>2442</v>
      </c>
      <c r="B264" s="89" t="s">
        <v>3874</v>
      </c>
    </row>
    <row r="265" spans="1:2" ht="15">
      <c r="A265" s="90" t="s">
        <v>3503</v>
      </c>
      <c r="B265" s="89" t="s">
        <v>3874</v>
      </c>
    </row>
    <row r="266" spans="1:2" ht="15">
      <c r="A266" s="90" t="s">
        <v>3504</v>
      </c>
      <c r="B266" s="89" t="s">
        <v>3874</v>
      </c>
    </row>
    <row r="267" spans="1:2" ht="15">
      <c r="A267" s="90" t="s">
        <v>2391</v>
      </c>
      <c r="B267" s="89" t="s">
        <v>3874</v>
      </c>
    </row>
    <row r="268" spans="1:2" ht="15">
      <c r="A268" s="90" t="s">
        <v>3505</v>
      </c>
      <c r="B268" s="89" t="s">
        <v>3874</v>
      </c>
    </row>
    <row r="269" spans="1:2" ht="15">
      <c r="A269" s="90" t="s">
        <v>3506</v>
      </c>
      <c r="B269" s="89" t="s">
        <v>3874</v>
      </c>
    </row>
    <row r="270" spans="1:2" ht="15">
      <c r="A270" s="90" t="s">
        <v>3507</v>
      </c>
      <c r="B270" s="89" t="s">
        <v>3874</v>
      </c>
    </row>
    <row r="271" spans="1:2" ht="15">
      <c r="A271" s="90" t="s">
        <v>3508</v>
      </c>
      <c r="B271" s="89" t="s">
        <v>3874</v>
      </c>
    </row>
    <row r="272" spans="1:2" ht="15">
      <c r="A272" s="90" t="s">
        <v>3509</v>
      </c>
      <c r="B272" s="89" t="s">
        <v>3874</v>
      </c>
    </row>
    <row r="273" spans="1:2" ht="15">
      <c r="A273" s="90" t="s">
        <v>3510</v>
      </c>
      <c r="B273" s="89" t="s">
        <v>3874</v>
      </c>
    </row>
    <row r="274" spans="1:2" ht="15">
      <c r="A274" s="90" t="s">
        <v>3511</v>
      </c>
      <c r="B274" s="89" t="s">
        <v>3874</v>
      </c>
    </row>
    <row r="275" spans="1:2" ht="15">
      <c r="A275" s="90" t="s">
        <v>2499</v>
      </c>
      <c r="B275" s="89" t="s">
        <v>3874</v>
      </c>
    </row>
    <row r="276" spans="1:2" ht="15">
      <c r="A276" s="90" t="s">
        <v>3512</v>
      </c>
      <c r="B276" s="89" t="s">
        <v>3874</v>
      </c>
    </row>
    <row r="277" spans="1:2" ht="15">
      <c r="A277" s="90" t="s">
        <v>3513</v>
      </c>
      <c r="B277" s="89" t="s">
        <v>3874</v>
      </c>
    </row>
    <row r="278" spans="1:2" ht="15">
      <c r="A278" s="90" t="s">
        <v>3514</v>
      </c>
      <c r="B278" s="89" t="s">
        <v>3874</v>
      </c>
    </row>
    <row r="279" spans="1:2" ht="15">
      <c r="A279" s="90" t="s">
        <v>3515</v>
      </c>
      <c r="B279" s="89" t="s">
        <v>3874</v>
      </c>
    </row>
    <row r="280" spans="1:2" ht="15">
      <c r="A280" s="90" t="s">
        <v>3516</v>
      </c>
      <c r="B280" s="89" t="s">
        <v>3874</v>
      </c>
    </row>
    <row r="281" spans="1:2" ht="15">
      <c r="A281" s="90" t="s">
        <v>3517</v>
      </c>
      <c r="B281" s="89" t="s">
        <v>3874</v>
      </c>
    </row>
    <row r="282" spans="1:2" ht="15">
      <c r="A282" s="90" t="s">
        <v>3518</v>
      </c>
      <c r="B282" s="89" t="s">
        <v>3874</v>
      </c>
    </row>
    <row r="283" spans="1:2" ht="15">
      <c r="A283" s="90" t="s">
        <v>3519</v>
      </c>
      <c r="B283" s="89" t="s">
        <v>3874</v>
      </c>
    </row>
    <row r="284" spans="1:2" ht="15">
      <c r="A284" s="90" t="s">
        <v>3520</v>
      </c>
      <c r="B284" s="89" t="s">
        <v>3874</v>
      </c>
    </row>
    <row r="285" spans="1:2" ht="15">
      <c r="A285" s="90" t="s">
        <v>3521</v>
      </c>
      <c r="B285" s="89" t="s">
        <v>3874</v>
      </c>
    </row>
    <row r="286" spans="1:2" ht="15">
      <c r="A286" s="90" t="s">
        <v>3522</v>
      </c>
      <c r="B286" s="89" t="s">
        <v>3874</v>
      </c>
    </row>
    <row r="287" spans="1:2" ht="15">
      <c r="A287" s="90" t="s">
        <v>3523</v>
      </c>
      <c r="B287" s="89" t="s">
        <v>3874</v>
      </c>
    </row>
    <row r="288" spans="1:2" ht="15">
      <c r="A288" s="90" t="s">
        <v>3524</v>
      </c>
      <c r="B288" s="89" t="s">
        <v>3874</v>
      </c>
    </row>
    <row r="289" spans="1:2" ht="15">
      <c r="A289" s="90" t="s">
        <v>3525</v>
      </c>
      <c r="B289" s="89" t="s">
        <v>3874</v>
      </c>
    </row>
    <row r="290" spans="1:2" ht="15">
      <c r="A290" s="90" t="s">
        <v>3526</v>
      </c>
      <c r="B290" s="89" t="s">
        <v>3874</v>
      </c>
    </row>
    <row r="291" spans="1:2" ht="15">
      <c r="A291" s="90" t="s">
        <v>3527</v>
      </c>
      <c r="B291" s="89" t="s">
        <v>3874</v>
      </c>
    </row>
    <row r="292" spans="1:2" ht="15">
      <c r="A292" s="90" t="s">
        <v>3528</v>
      </c>
      <c r="B292" s="89" t="s">
        <v>3874</v>
      </c>
    </row>
    <row r="293" spans="1:2" ht="15">
      <c r="A293" s="90" t="s">
        <v>3529</v>
      </c>
      <c r="B293" s="89" t="s">
        <v>3874</v>
      </c>
    </row>
    <row r="294" spans="1:2" ht="15">
      <c r="A294" s="90" t="s">
        <v>3530</v>
      </c>
      <c r="B294" s="89" t="s">
        <v>3874</v>
      </c>
    </row>
    <row r="295" spans="1:2" ht="15">
      <c r="A295" s="90" t="s">
        <v>3531</v>
      </c>
      <c r="B295" s="89" t="s">
        <v>3874</v>
      </c>
    </row>
    <row r="296" spans="1:2" ht="15">
      <c r="A296" s="90" t="s">
        <v>3532</v>
      </c>
      <c r="B296" s="89" t="s">
        <v>3874</v>
      </c>
    </row>
    <row r="297" spans="1:2" ht="15">
      <c r="A297" s="90" t="s">
        <v>3533</v>
      </c>
      <c r="B297" s="89" t="s">
        <v>3874</v>
      </c>
    </row>
    <row r="298" spans="1:2" ht="15">
      <c r="A298" s="90" t="s">
        <v>3534</v>
      </c>
      <c r="B298" s="89" t="s">
        <v>3874</v>
      </c>
    </row>
    <row r="299" spans="1:2" ht="15">
      <c r="A299" s="90" t="s">
        <v>3535</v>
      </c>
      <c r="B299" s="89" t="s">
        <v>3874</v>
      </c>
    </row>
    <row r="300" spans="1:2" ht="15">
      <c r="A300" s="90" t="s">
        <v>3536</v>
      </c>
      <c r="B300" s="89" t="s">
        <v>3874</v>
      </c>
    </row>
    <row r="301" spans="1:2" ht="15">
      <c r="A301" s="90" t="s">
        <v>3537</v>
      </c>
      <c r="B301" s="89" t="s">
        <v>3874</v>
      </c>
    </row>
    <row r="302" spans="1:2" ht="15">
      <c r="A302" s="90" t="s">
        <v>2879</v>
      </c>
      <c r="B302" s="89" t="s">
        <v>3874</v>
      </c>
    </row>
    <row r="303" spans="1:2" ht="15">
      <c r="A303" s="90" t="s">
        <v>3538</v>
      </c>
      <c r="B303" s="89" t="s">
        <v>3874</v>
      </c>
    </row>
    <row r="304" spans="1:2" ht="15">
      <c r="A304" s="90" t="s">
        <v>3539</v>
      </c>
      <c r="B304" s="89" t="s">
        <v>3874</v>
      </c>
    </row>
    <row r="305" spans="1:2" ht="15">
      <c r="A305" s="90" t="s">
        <v>3540</v>
      </c>
      <c r="B305" s="89" t="s">
        <v>3874</v>
      </c>
    </row>
    <row r="306" spans="1:2" ht="15">
      <c r="A306" s="90" t="s">
        <v>3541</v>
      </c>
      <c r="B306" s="89" t="s">
        <v>3874</v>
      </c>
    </row>
    <row r="307" spans="1:2" ht="15">
      <c r="A307" s="90" t="s">
        <v>3542</v>
      </c>
      <c r="B307" s="89" t="s">
        <v>3874</v>
      </c>
    </row>
    <row r="308" spans="1:2" ht="15">
      <c r="A308" s="90" t="s">
        <v>3543</v>
      </c>
      <c r="B308" s="89" t="s">
        <v>3874</v>
      </c>
    </row>
    <row r="309" spans="1:2" ht="15">
      <c r="A309" s="90" t="s">
        <v>3544</v>
      </c>
      <c r="B309" s="89" t="s">
        <v>3874</v>
      </c>
    </row>
    <row r="310" spans="1:2" ht="15">
      <c r="A310" s="90" t="s">
        <v>3545</v>
      </c>
      <c r="B310" s="89" t="s">
        <v>3874</v>
      </c>
    </row>
    <row r="311" spans="1:2" ht="15">
      <c r="A311" s="90" t="s">
        <v>2878</v>
      </c>
      <c r="B311" s="89" t="s">
        <v>3874</v>
      </c>
    </row>
    <row r="312" spans="1:2" ht="15">
      <c r="A312" s="90" t="s">
        <v>3546</v>
      </c>
      <c r="B312" s="89" t="s">
        <v>3874</v>
      </c>
    </row>
    <row r="313" spans="1:2" ht="15">
      <c r="A313" s="90" t="s">
        <v>3547</v>
      </c>
      <c r="B313" s="89" t="s">
        <v>3874</v>
      </c>
    </row>
    <row r="314" spans="1:2" ht="15">
      <c r="A314" s="90" t="s">
        <v>3548</v>
      </c>
      <c r="B314" s="89" t="s">
        <v>3874</v>
      </c>
    </row>
    <row r="315" spans="1:2" ht="15">
      <c r="A315" s="90" t="s">
        <v>3549</v>
      </c>
      <c r="B315" s="89" t="s">
        <v>3874</v>
      </c>
    </row>
    <row r="316" spans="1:2" ht="15">
      <c r="A316" s="90" t="s">
        <v>3550</v>
      </c>
      <c r="B316" s="89" t="s">
        <v>3874</v>
      </c>
    </row>
    <row r="317" spans="1:2" ht="15">
      <c r="A317" s="90" t="s">
        <v>3551</v>
      </c>
      <c r="B317" s="89" t="s">
        <v>3874</v>
      </c>
    </row>
    <row r="318" spans="1:2" ht="15">
      <c r="A318" s="90" t="s">
        <v>2585</v>
      </c>
      <c r="B318" s="89" t="s">
        <v>3874</v>
      </c>
    </row>
    <row r="319" spans="1:2" ht="15">
      <c r="A319" s="90" t="s">
        <v>3552</v>
      </c>
      <c r="B319" s="89" t="s">
        <v>3874</v>
      </c>
    </row>
    <row r="320" spans="1:2" ht="15">
      <c r="A320" s="90" t="s">
        <v>3553</v>
      </c>
      <c r="B320" s="89" t="s">
        <v>3874</v>
      </c>
    </row>
    <row r="321" spans="1:2" ht="15">
      <c r="A321" s="90" t="s">
        <v>2810</v>
      </c>
      <c r="B321" s="89" t="s">
        <v>3874</v>
      </c>
    </row>
    <row r="322" spans="1:2" ht="15">
      <c r="A322" s="90" t="s">
        <v>3554</v>
      </c>
      <c r="B322" s="89" t="s">
        <v>3874</v>
      </c>
    </row>
    <row r="323" spans="1:2" ht="15">
      <c r="A323" s="90" t="s">
        <v>3555</v>
      </c>
      <c r="B323" s="89" t="s">
        <v>3874</v>
      </c>
    </row>
    <row r="324" spans="1:2" ht="15">
      <c r="A324" s="90" t="s">
        <v>2558</v>
      </c>
      <c r="B324" s="89" t="s">
        <v>3874</v>
      </c>
    </row>
    <row r="325" spans="1:2" ht="15">
      <c r="A325" s="90" t="s">
        <v>2635</v>
      </c>
      <c r="B325" s="89" t="s">
        <v>3874</v>
      </c>
    </row>
    <row r="326" spans="1:2" ht="15">
      <c r="A326" s="90" t="s">
        <v>3556</v>
      </c>
      <c r="B326" s="89" t="s">
        <v>3874</v>
      </c>
    </row>
    <row r="327" spans="1:2" ht="15">
      <c r="A327" s="90" t="s">
        <v>2642</v>
      </c>
      <c r="B327" s="89" t="s">
        <v>3874</v>
      </c>
    </row>
    <row r="328" spans="1:2" ht="15">
      <c r="A328" s="90" t="s">
        <v>2509</v>
      </c>
      <c r="B328" s="89" t="s">
        <v>3874</v>
      </c>
    </row>
    <row r="329" spans="1:2" ht="15">
      <c r="A329" s="90" t="s">
        <v>3557</v>
      </c>
      <c r="B329" s="89" t="s">
        <v>3874</v>
      </c>
    </row>
    <row r="330" spans="1:2" ht="15">
      <c r="A330" s="90" t="s">
        <v>3558</v>
      </c>
      <c r="B330" s="89" t="s">
        <v>3874</v>
      </c>
    </row>
    <row r="331" spans="1:2" ht="15">
      <c r="A331" s="90" t="s">
        <v>3559</v>
      </c>
      <c r="B331" s="89" t="s">
        <v>3874</v>
      </c>
    </row>
    <row r="332" spans="1:2" ht="15">
      <c r="A332" s="90" t="s">
        <v>3560</v>
      </c>
      <c r="B332" s="89" t="s">
        <v>3874</v>
      </c>
    </row>
    <row r="333" spans="1:2" ht="15">
      <c r="A333" s="90" t="s">
        <v>3561</v>
      </c>
      <c r="B333" s="89" t="s">
        <v>3874</v>
      </c>
    </row>
    <row r="334" spans="1:2" ht="15">
      <c r="A334" s="90" t="s">
        <v>3562</v>
      </c>
      <c r="B334" s="89" t="s">
        <v>3874</v>
      </c>
    </row>
    <row r="335" spans="1:2" ht="15">
      <c r="A335" s="90" t="s">
        <v>3563</v>
      </c>
      <c r="B335" s="89" t="s">
        <v>3874</v>
      </c>
    </row>
    <row r="336" spans="1:2" ht="15">
      <c r="A336" s="90" t="s">
        <v>3564</v>
      </c>
      <c r="B336" s="89" t="s">
        <v>3874</v>
      </c>
    </row>
    <row r="337" spans="1:2" ht="15">
      <c r="A337" s="90" t="s">
        <v>3565</v>
      </c>
      <c r="B337" s="89" t="s">
        <v>3874</v>
      </c>
    </row>
    <row r="338" spans="1:2" ht="15">
      <c r="A338" s="90" t="s">
        <v>3566</v>
      </c>
      <c r="B338" s="89" t="s">
        <v>3874</v>
      </c>
    </row>
    <row r="339" spans="1:2" ht="15">
      <c r="A339" s="90" t="s">
        <v>2381</v>
      </c>
      <c r="B339" s="89" t="s">
        <v>3874</v>
      </c>
    </row>
    <row r="340" spans="1:2" ht="15">
      <c r="A340" s="90" t="s">
        <v>3567</v>
      </c>
      <c r="B340" s="89" t="s">
        <v>3874</v>
      </c>
    </row>
    <row r="341" spans="1:2" ht="15">
      <c r="A341" s="90" t="s">
        <v>3568</v>
      </c>
      <c r="B341" s="89" t="s">
        <v>3874</v>
      </c>
    </row>
    <row r="342" spans="1:2" ht="15">
      <c r="A342" s="90" t="s">
        <v>3569</v>
      </c>
      <c r="B342" s="89" t="s">
        <v>3874</v>
      </c>
    </row>
    <row r="343" spans="1:2" ht="15">
      <c r="A343" s="90" t="s">
        <v>3570</v>
      </c>
      <c r="B343" s="89" t="s">
        <v>3874</v>
      </c>
    </row>
    <row r="344" spans="1:2" ht="15">
      <c r="A344" s="90" t="s">
        <v>2566</v>
      </c>
      <c r="B344" s="89" t="s">
        <v>3874</v>
      </c>
    </row>
    <row r="345" spans="1:2" ht="15">
      <c r="A345" s="90" t="s">
        <v>3571</v>
      </c>
      <c r="B345" s="89" t="s">
        <v>3874</v>
      </c>
    </row>
    <row r="346" spans="1:2" ht="15">
      <c r="A346" s="90" t="s">
        <v>2497</v>
      </c>
      <c r="B346" s="89" t="s">
        <v>3874</v>
      </c>
    </row>
    <row r="347" spans="1:2" ht="15">
      <c r="A347" s="90" t="s">
        <v>3572</v>
      </c>
      <c r="B347" s="89" t="s">
        <v>3874</v>
      </c>
    </row>
    <row r="348" spans="1:2" ht="15">
      <c r="A348" s="90" t="s">
        <v>2824</v>
      </c>
      <c r="B348" s="89" t="s">
        <v>3874</v>
      </c>
    </row>
    <row r="349" spans="1:2" ht="15">
      <c r="A349" s="90" t="s">
        <v>3573</v>
      </c>
      <c r="B349" s="89" t="s">
        <v>3874</v>
      </c>
    </row>
    <row r="350" spans="1:2" ht="15">
      <c r="A350" s="90" t="s">
        <v>2402</v>
      </c>
      <c r="B350" s="89" t="s">
        <v>3874</v>
      </c>
    </row>
    <row r="351" spans="1:2" ht="15">
      <c r="A351" s="90" t="s">
        <v>3574</v>
      </c>
      <c r="B351" s="89" t="s">
        <v>3874</v>
      </c>
    </row>
    <row r="352" spans="1:2" ht="15">
      <c r="A352" s="90" t="s">
        <v>3575</v>
      </c>
      <c r="B352" s="89" t="s">
        <v>3874</v>
      </c>
    </row>
    <row r="353" spans="1:2" ht="15">
      <c r="A353" s="90" t="s">
        <v>3576</v>
      </c>
      <c r="B353" s="89" t="s">
        <v>3874</v>
      </c>
    </row>
    <row r="354" spans="1:2" ht="15">
      <c r="A354" s="90" t="s">
        <v>3577</v>
      </c>
      <c r="B354" s="89" t="s">
        <v>3874</v>
      </c>
    </row>
    <row r="355" spans="1:2" ht="15">
      <c r="A355" s="90" t="s">
        <v>3578</v>
      </c>
      <c r="B355" s="89" t="s">
        <v>3874</v>
      </c>
    </row>
    <row r="356" spans="1:2" ht="15">
      <c r="A356" s="90" t="s">
        <v>3579</v>
      </c>
      <c r="B356" s="89" t="s">
        <v>3874</v>
      </c>
    </row>
    <row r="357" spans="1:2" ht="15">
      <c r="A357" s="90" t="s">
        <v>3580</v>
      </c>
      <c r="B357" s="89" t="s">
        <v>3874</v>
      </c>
    </row>
    <row r="358" spans="1:2" ht="15">
      <c r="A358" s="90" t="s">
        <v>3581</v>
      </c>
      <c r="B358" s="89" t="s">
        <v>3874</v>
      </c>
    </row>
    <row r="359" spans="1:2" ht="15">
      <c r="A359" s="90" t="s">
        <v>2573</v>
      </c>
      <c r="B359" s="89" t="s">
        <v>3874</v>
      </c>
    </row>
    <row r="360" spans="1:2" ht="15">
      <c r="A360" s="90" t="s">
        <v>3582</v>
      </c>
      <c r="B360" s="89" t="s">
        <v>3874</v>
      </c>
    </row>
    <row r="361" spans="1:2" ht="15">
      <c r="A361" s="90" t="s">
        <v>2401</v>
      </c>
      <c r="B361" s="89" t="s">
        <v>3874</v>
      </c>
    </row>
    <row r="362" spans="1:2" ht="15">
      <c r="A362" s="90" t="s">
        <v>3583</v>
      </c>
      <c r="B362" s="89" t="s">
        <v>3874</v>
      </c>
    </row>
    <row r="363" spans="1:2" ht="15">
      <c r="A363" s="90" t="s">
        <v>2565</v>
      </c>
      <c r="B363" s="89" t="s">
        <v>3874</v>
      </c>
    </row>
    <row r="364" spans="1:2" ht="15">
      <c r="A364" s="90" t="s">
        <v>3584</v>
      </c>
      <c r="B364" s="89" t="s">
        <v>3874</v>
      </c>
    </row>
    <row r="365" spans="1:2" ht="15">
      <c r="A365" s="90" t="s">
        <v>3585</v>
      </c>
      <c r="B365" s="89" t="s">
        <v>3874</v>
      </c>
    </row>
    <row r="366" spans="1:2" ht="15">
      <c r="A366" s="90" t="s">
        <v>3586</v>
      </c>
      <c r="B366" s="89" t="s">
        <v>3874</v>
      </c>
    </row>
    <row r="367" spans="1:2" ht="15">
      <c r="A367" s="90" t="s">
        <v>3587</v>
      </c>
      <c r="B367" s="89" t="s">
        <v>3874</v>
      </c>
    </row>
    <row r="368" spans="1:2" ht="15">
      <c r="A368" s="90" t="s">
        <v>3588</v>
      </c>
      <c r="B368" s="89" t="s">
        <v>3874</v>
      </c>
    </row>
    <row r="369" spans="1:2" ht="15">
      <c r="A369" s="90" t="s">
        <v>3589</v>
      </c>
      <c r="B369" s="89" t="s">
        <v>3874</v>
      </c>
    </row>
    <row r="370" spans="1:2" ht="15">
      <c r="A370" s="90" t="s">
        <v>3590</v>
      </c>
      <c r="B370" s="89" t="s">
        <v>3874</v>
      </c>
    </row>
    <row r="371" spans="1:2" ht="15">
      <c r="A371" s="90" t="s">
        <v>3591</v>
      </c>
      <c r="B371" s="89" t="s">
        <v>3874</v>
      </c>
    </row>
    <row r="372" spans="1:2" ht="15">
      <c r="A372" s="90" t="s">
        <v>3592</v>
      </c>
      <c r="B372" s="89" t="s">
        <v>3874</v>
      </c>
    </row>
    <row r="373" spans="1:2" ht="15">
      <c r="A373" s="90" t="s">
        <v>3593</v>
      </c>
      <c r="B373" s="89" t="s">
        <v>3874</v>
      </c>
    </row>
    <row r="374" spans="1:2" ht="15">
      <c r="A374" s="90" t="s">
        <v>3594</v>
      </c>
      <c r="B374" s="89" t="s">
        <v>3874</v>
      </c>
    </row>
    <row r="375" spans="1:2" ht="15">
      <c r="A375" s="90" t="s">
        <v>3595</v>
      </c>
      <c r="B375" s="89" t="s">
        <v>3874</v>
      </c>
    </row>
    <row r="376" spans="1:2" ht="15">
      <c r="A376" s="90" t="s">
        <v>3596</v>
      </c>
      <c r="B376" s="89" t="s">
        <v>3874</v>
      </c>
    </row>
    <row r="377" spans="1:2" ht="15">
      <c r="A377" s="90" t="s">
        <v>3597</v>
      </c>
      <c r="B377" s="89" t="s">
        <v>3874</v>
      </c>
    </row>
    <row r="378" spans="1:2" ht="15">
      <c r="A378" s="90" t="s">
        <v>3598</v>
      </c>
      <c r="B378" s="89" t="s">
        <v>3874</v>
      </c>
    </row>
    <row r="379" spans="1:2" ht="15">
      <c r="A379" s="90" t="s">
        <v>3599</v>
      </c>
      <c r="B379" s="89" t="s">
        <v>3874</v>
      </c>
    </row>
    <row r="380" spans="1:2" ht="15">
      <c r="A380" s="90" t="s">
        <v>3600</v>
      </c>
      <c r="B380" s="89" t="s">
        <v>3874</v>
      </c>
    </row>
    <row r="381" spans="1:2" ht="15">
      <c r="A381" s="90" t="s">
        <v>3601</v>
      </c>
      <c r="B381" s="89" t="s">
        <v>3874</v>
      </c>
    </row>
    <row r="382" spans="1:2" ht="15">
      <c r="A382" s="90" t="s">
        <v>2384</v>
      </c>
      <c r="B382" s="89" t="s">
        <v>3874</v>
      </c>
    </row>
    <row r="383" spans="1:2" ht="15">
      <c r="A383" s="90" t="s">
        <v>3602</v>
      </c>
      <c r="B383" s="89" t="s">
        <v>3874</v>
      </c>
    </row>
    <row r="384" spans="1:2" ht="15">
      <c r="A384" s="90" t="s">
        <v>2904</v>
      </c>
      <c r="B384" s="89" t="s">
        <v>3874</v>
      </c>
    </row>
    <row r="385" spans="1:2" ht="15">
      <c r="A385" s="90" t="s">
        <v>2883</v>
      </c>
      <c r="B385" s="89" t="s">
        <v>3874</v>
      </c>
    </row>
    <row r="386" spans="1:2" ht="15">
      <c r="A386" s="90" t="s">
        <v>3113</v>
      </c>
      <c r="B386" s="89" t="s">
        <v>3874</v>
      </c>
    </row>
    <row r="387" spans="1:2" ht="15">
      <c r="A387" s="90" t="s">
        <v>3223</v>
      </c>
      <c r="B387" s="89" t="s">
        <v>3874</v>
      </c>
    </row>
    <row r="388" spans="1:2" ht="15">
      <c r="A388" s="90" t="s">
        <v>3603</v>
      </c>
      <c r="B388" s="89" t="s">
        <v>3874</v>
      </c>
    </row>
    <row r="389" spans="1:2" ht="15">
      <c r="A389" s="90" t="s">
        <v>2938</v>
      </c>
      <c r="B389" s="89" t="s">
        <v>3874</v>
      </c>
    </row>
    <row r="390" spans="1:2" ht="15">
      <c r="A390" s="90" t="s">
        <v>2709</v>
      </c>
      <c r="B390" s="89" t="s">
        <v>3874</v>
      </c>
    </row>
    <row r="391" spans="1:2" ht="15">
      <c r="A391" s="90" t="s">
        <v>3604</v>
      </c>
      <c r="B391" s="89" t="s">
        <v>3874</v>
      </c>
    </row>
    <row r="392" spans="1:2" ht="15">
      <c r="A392" s="90" t="s">
        <v>3605</v>
      </c>
      <c r="B392" s="89" t="s">
        <v>3874</v>
      </c>
    </row>
    <row r="393" spans="1:2" ht="15">
      <c r="A393" s="90" t="s">
        <v>3606</v>
      </c>
      <c r="B393" s="89" t="s">
        <v>3874</v>
      </c>
    </row>
    <row r="394" spans="1:2" ht="15">
      <c r="A394" s="90" t="s">
        <v>3607</v>
      </c>
      <c r="B394" s="89" t="s">
        <v>3874</v>
      </c>
    </row>
    <row r="395" spans="1:2" ht="15">
      <c r="A395" s="90" t="s">
        <v>2613</v>
      </c>
      <c r="B395" s="89" t="s">
        <v>3874</v>
      </c>
    </row>
    <row r="396" spans="1:2" ht="15">
      <c r="A396" s="90" t="s">
        <v>2569</v>
      </c>
      <c r="B396" s="89" t="s">
        <v>3874</v>
      </c>
    </row>
    <row r="397" spans="1:2" ht="15">
      <c r="A397" s="90" t="s">
        <v>2410</v>
      </c>
      <c r="B397" s="89" t="s">
        <v>3874</v>
      </c>
    </row>
    <row r="398" spans="1:2" ht="15">
      <c r="A398" s="90" t="s">
        <v>2555</v>
      </c>
      <c r="B398" s="89" t="s">
        <v>3874</v>
      </c>
    </row>
    <row r="399" spans="1:2" ht="15">
      <c r="A399" s="90" t="s">
        <v>2653</v>
      </c>
      <c r="B399" s="89" t="s">
        <v>3874</v>
      </c>
    </row>
    <row r="400" spans="1:2" ht="15">
      <c r="A400" s="90" t="s">
        <v>3608</v>
      </c>
      <c r="B400" s="89" t="s">
        <v>3874</v>
      </c>
    </row>
    <row r="401" spans="1:2" ht="15">
      <c r="A401" s="90" t="s">
        <v>3609</v>
      </c>
      <c r="B401" s="89" t="s">
        <v>3874</v>
      </c>
    </row>
    <row r="402" spans="1:2" ht="15">
      <c r="A402" s="90" t="s">
        <v>3610</v>
      </c>
      <c r="B402" s="89" t="s">
        <v>3874</v>
      </c>
    </row>
    <row r="403" spans="1:2" ht="15">
      <c r="A403" s="90" t="s">
        <v>3611</v>
      </c>
      <c r="B403" s="89" t="s">
        <v>3874</v>
      </c>
    </row>
    <row r="404" spans="1:2" ht="15">
      <c r="A404" s="90" t="s">
        <v>3612</v>
      </c>
      <c r="B404" s="89" t="s">
        <v>3874</v>
      </c>
    </row>
    <row r="405" spans="1:2" ht="15">
      <c r="A405" s="90" t="s">
        <v>3613</v>
      </c>
      <c r="B405" s="89" t="s">
        <v>3874</v>
      </c>
    </row>
    <row r="406" spans="1:2" ht="15">
      <c r="A406" s="90" t="s">
        <v>3614</v>
      </c>
      <c r="B406" s="89" t="s">
        <v>3874</v>
      </c>
    </row>
    <row r="407" spans="1:2" ht="15">
      <c r="A407" s="90" t="s">
        <v>3615</v>
      </c>
      <c r="B407" s="89" t="s">
        <v>3874</v>
      </c>
    </row>
    <row r="408" spans="1:2" ht="15">
      <c r="A408" s="90" t="s">
        <v>3616</v>
      </c>
      <c r="B408" s="89" t="s">
        <v>3874</v>
      </c>
    </row>
    <row r="409" spans="1:2" ht="15">
      <c r="A409" s="90" t="s">
        <v>3617</v>
      </c>
      <c r="B409" s="89" t="s">
        <v>3874</v>
      </c>
    </row>
    <row r="410" spans="1:2" ht="15">
      <c r="A410" s="90" t="s">
        <v>3618</v>
      </c>
      <c r="B410" s="89" t="s">
        <v>3874</v>
      </c>
    </row>
    <row r="411" spans="1:2" ht="15">
      <c r="A411" s="90" t="s">
        <v>3619</v>
      </c>
      <c r="B411" s="89" t="s">
        <v>3874</v>
      </c>
    </row>
    <row r="412" spans="1:2" ht="15">
      <c r="A412" s="90" t="s">
        <v>2813</v>
      </c>
      <c r="B412" s="89" t="s">
        <v>3874</v>
      </c>
    </row>
    <row r="413" spans="1:2" ht="15">
      <c r="A413" s="90" t="s">
        <v>3620</v>
      </c>
      <c r="B413" s="89" t="s">
        <v>3874</v>
      </c>
    </row>
    <row r="414" spans="1:2" ht="15">
      <c r="A414" s="90" t="s">
        <v>3069</v>
      </c>
      <c r="B414" s="89" t="s">
        <v>3874</v>
      </c>
    </row>
    <row r="415" spans="1:2" ht="15">
      <c r="A415" s="90" t="s">
        <v>3621</v>
      </c>
      <c r="B415" s="89" t="s">
        <v>3874</v>
      </c>
    </row>
    <row r="416" spans="1:2" ht="15">
      <c r="A416" s="90" t="s">
        <v>3622</v>
      </c>
      <c r="B416" s="89" t="s">
        <v>3874</v>
      </c>
    </row>
    <row r="417" spans="1:2" ht="15">
      <c r="A417" s="90" t="s">
        <v>2481</v>
      </c>
      <c r="B417" s="89" t="s">
        <v>3874</v>
      </c>
    </row>
    <row r="418" spans="1:2" ht="15">
      <c r="A418" s="90" t="s">
        <v>3623</v>
      </c>
      <c r="B418" s="89" t="s">
        <v>3874</v>
      </c>
    </row>
    <row r="419" spans="1:2" ht="15">
      <c r="A419" s="90" t="s">
        <v>3624</v>
      </c>
      <c r="B419" s="89" t="s">
        <v>3874</v>
      </c>
    </row>
    <row r="420" spans="1:2" ht="15">
      <c r="A420" s="90" t="s">
        <v>3625</v>
      </c>
      <c r="B420" s="89" t="s">
        <v>3874</v>
      </c>
    </row>
    <row r="421" spans="1:2" ht="15">
      <c r="A421" s="90" t="s">
        <v>3626</v>
      </c>
      <c r="B421" s="89" t="s">
        <v>3874</v>
      </c>
    </row>
    <row r="422" spans="1:2" ht="15">
      <c r="A422" s="90" t="s">
        <v>3627</v>
      </c>
      <c r="B422" s="89" t="s">
        <v>3874</v>
      </c>
    </row>
    <row r="423" spans="1:2" ht="15">
      <c r="A423" s="90" t="s">
        <v>3628</v>
      </c>
      <c r="B423" s="89" t="s">
        <v>3874</v>
      </c>
    </row>
    <row r="424" spans="1:2" ht="15">
      <c r="A424" s="90" t="s">
        <v>3629</v>
      </c>
      <c r="B424" s="89" t="s">
        <v>3874</v>
      </c>
    </row>
    <row r="425" spans="1:2" ht="15">
      <c r="A425" s="90" t="s">
        <v>2443</v>
      </c>
      <c r="B425" s="89" t="s">
        <v>3874</v>
      </c>
    </row>
    <row r="426" spans="1:2" ht="15">
      <c r="A426" s="90" t="s">
        <v>3014</v>
      </c>
      <c r="B426" s="89" t="s">
        <v>3874</v>
      </c>
    </row>
    <row r="427" spans="1:2" ht="15">
      <c r="A427" s="90" t="s">
        <v>3630</v>
      </c>
      <c r="B427" s="89" t="s">
        <v>3874</v>
      </c>
    </row>
    <row r="428" spans="1:2" ht="15">
      <c r="A428" s="90" t="s">
        <v>3631</v>
      </c>
      <c r="B428" s="89" t="s">
        <v>3874</v>
      </c>
    </row>
    <row r="429" spans="1:2" ht="15">
      <c r="A429" s="90" t="s">
        <v>3632</v>
      </c>
      <c r="B429" s="89" t="s">
        <v>3874</v>
      </c>
    </row>
    <row r="430" spans="1:2" ht="15">
      <c r="A430" s="90" t="s">
        <v>3633</v>
      </c>
      <c r="B430" s="89" t="s">
        <v>3874</v>
      </c>
    </row>
    <row r="431" spans="1:2" ht="15">
      <c r="A431" s="90" t="s">
        <v>2773</v>
      </c>
      <c r="B431" s="89" t="s">
        <v>3874</v>
      </c>
    </row>
    <row r="432" spans="1:2" ht="15">
      <c r="A432" s="90" t="s">
        <v>3634</v>
      </c>
      <c r="B432" s="89" t="s">
        <v>3874</v>
      </c>
    </row>
    <row r="433" spans="1:2" ht="15">
      <c r="A433" s="90" t="s">
        <v>3635</v>
      </c>
      <c r="B433" s="89" t="s">
        <v>3874</v>
      </c>
    </row>
    <row r="434" spans="1:2" ht="15">
      <c r="A434" s="90" t="s">
        <v>3636</v>
      </c>
      <c r="B434" s="89" t="s">
        <v>3874</v>
      </c>
    </row>
    <row r="435" spans="1:2" ht="15">
      <c r="A435" s="90" t="s">
        <v>3637</v>
      </c>
      <c r="B435" s="89" t="s">
        <v>3874</v>
      </c>
    </row>
    <row r="436" spans="1:2" ht="15">
      <c r="A436" s="90" t="s">
        <v>3063</v>
      </c>
      <c r="B436" s="89" t="s">
        <v>3874</v>
      </c>
    </row>
    <row r="437" spans="1:2" ht="15">
      <c r="A437" s="90" t="s">
        <v>3638</v>
      </c>
      <c r="B437" s="89" t="s">
        <v>3874</v>
      </c>
    </row>
    <row r="438" spans="1:2" ht="15">
      <c r="A438" s="90" t="s">
        <v>3639</v>
      </c>
      <c r="B438" s="89" t="s">
        <v>3874</v>
      </c>
    </row>
    <row r="439" spans="1:2" ht="15">
      <c r="A439" s="90" t="s">
        <v>3640</v>
      </c>
      <c r="B439" s="89" t="s">
        <v>3874</v>
      </c>
    </row>
    <row r="440" spans="1:2" ht="15">
      <c r="A440" s="90" t="s">
        <v>3641</v>
      </c>
      <c r="B440" s="89" t="s">
        <v>3874</v>
      </c>
    </row>
    <row r="441" spans="1:2" ht="15">
      <c r="A441" s="90" t="s">
        <v>3642</v>
      </c>
      <c r="B441" s="89" t="s">
        <v>3874</v>
      </c>
    </row>
    <row r="442" spans="1:2" ht="15">
      <c r="A442" s="90" t="s">
        <v>2869</v>
      </c>
      <c r="B442" s="89" t="s">
        <v>3874</v>
      </c>
    </row>
    <row r="443" spans="1:2" ht="15">
      <c r="A443" s="90" t="s">
        <v>2630</v>
      </c>
      <c r="B443" s="89" t="s">
        <v>3874</v>
      </c>
    </row>
    <row r="444" spans="1:2" ht="15">
      <c r="A444" s="90" t="s">
        <v>2574</v>
      </c>
      <c r="B444" s="89" t="s">
        <v>3874</v>
      </c>
    </row>
    <row r="445" spans="1:2" ht="15">
      <c r="A445" s="90" t="s">
        <v>3643</v>
      </c>
      <c r="B445" s="89" t="s">
        <v>3874</v>
      </c>
    </row>
    <row r="446" spans="1:2" ht="15">
      <c r="A446" s="90" t="s">
        <v>3644</v>
      </c>
      <c r="B446" s="89" t="s">
        <v>3874</v>
      </c>
    </row>
    <row r="447" spans="1:2" ht="15">
      <c r="A447" s="90" t="s">
        <v>3645</v>
      </c>
      <c r="B447" s="89" t="s">
        <v>3874</v>
      </c>
    </row>
    <row r="448" spans="1:2" ht="15">
      <c r="A448" s="90" t="s">
        <v>2747</v>
      </c>
      <c r="B448" s="89" t="s">
        <v>3874</v>
      </c>
    </row>
    <row r="449" spans="1:2" ht="15">
      <c r="A449" s="90" t="s">
        <v>2715</v>
      </c>
      <c r="B449" s="89" t="s">
        <v>3874</v>
      </c>
    </row>
    <row r="450" spans="1:2" ht="15">
      <c r="A450" s="90" t="s">
        <v>3646</v>
      </c>
      <c r="B450" s="89" t="s">
        <v>3874</v>
      </c>
    </row>
    <row r="451" spans="1:2" ht="15">
      <c r="A451" s="90" t="s">
        <v>3647</v>
      </c>
      <c r="B451" s="89" t="s">
        <v>3874</v>
      </c>
    </row>
    <row r="452" spans="1:2" ht="15">
      <c r="A452" s="90" t="s">
        <v>3227</v>
      </c>
      <c r="B452" s="89" t="s">
        <v>3874</v>
      </c>
    </row>
    <row r="453" spans="1:2" ht="15">
      <c r="A453" s="90" t="s">
        <v>3648</v>
      </c>
      <c r="B453" s="89" t="s">
        <v>3874</v>
      </c>
    </row>
    <row r="454" spans="1:2" ht="15">
      <c r="A454" s="90" t="s">
        <v>3010</v>
      </c>
      <c r="B454" s="89" t="s">
        <v>3874</v>
      </c>
    </row>
    <row r="455" spans="1:2" ht="15">
      <c r="A455" s="90" t="s">
        <v>3649</v>
      </c>
      <c r="B455" s="89" t="s">
        <v>3874</v>
      </c>
    </row>
    <row r="456" spans="1:2" ht="15">
      <c r="A456" s="90" t="s">
        <v>3650</v>
      </c>
      <c r="B456" s="89" t="s">
        <v>3874</v>
      </c>
    </row>
    <row r="457" spans="1:2" ht="15">
      <c r="A457" s="90" t="s">
        <v>3651</v>
      </c>
      <c r="B457" s="89" t="s">
        <v>3874</v>
      </c>
    </row>
    <row r="458" spans="1:2" ht="15">
      <c r="A458" s="90" t="s">
        <v>2392</v>
      </c>
      <c r="B458" s="89" t="s">
        <v>3874</v>
      </c>
    </row>
    <row r="459" spans="1:2" ht="15">
      <c r="A459" s="90" t="s">
        <v>3652</v>
      </c>
      <c r="B459" s="89" t="s">
        <v>3874</v>
      </c>
    </row>
    <row r="460" spans="1:2" ht="15">
      <c r="A460" s="90" t="s">
        <v>2871</v>
      </c>
      <c r="B460" s="89" t="s">
        <v>3874</v>
      </c>
    </row>
    <row r="461" spans="1:2" ht="15">
      <c r="A461" s="90" t="s">
        <v>2383</v>
      </c>
      <c r="B461" s="89" t="s">
        <v>3874</v>
      </c>
    </row>
    <row r="462" spans="1:2" ht="15">
      <c r="A462" s="90" t="s">
        <v>2823</v>
      </c>
      <c r="B462" s="89" t="s">
        <v>3874</v>
      </c>
    </row>
    <row r="463" spans="1:2" ht="15">
      <c r="A463" s="90" t="s">
        <v>2601</v>
      </c>
      <c r="B463" s="89" t="s">
        <v>3874</v>
      </c>
    </row>
    <row r="464" spans="1:2" ht="15">
      <c r="A464" s="90" t="s">
        <v>2853</v>
      </c>
      <c r="B464" s="89" t="s">
        <v>3874</v>
      </c>
    </row>
    <row r="465" spans="1:2" ht="15">
      <c r="A465" s="90" t="s">
        <v>3653</v>
      </c>
      <c r="B465" s="89" t="s">
        <v>3874</v>
      </c>
    </row>
    <row r="466" spans="1:2" ht="15">
      <c r="A466" s="90" t="s">
        <v>3654</v>
      </c>
      <c r="B466" s="89" t="s">
        <v>3874</v>
      </c>
    </row>
    <row r="467" spans="1:2" ht="15">
      <c r="A467" s="90" t="s">
        <v>2782</v>
      </c>
      <c r="B467" s="89" t="s">
        <v>3874</v>
      </c>
    </row>
    <row r="468" spans="1:2" ht="15">
      <c r="A468" s="90" t="s">
        <v>3655</v>
      </c>
      <c r="B468" s="89" t="s">
        <v>3874</v>
      </c>
    </row>
    <row r="469" spans="1:2" ht="15">
      <c r="A469" s="90" t="s">
        <v>2371</v>
      </c>
      <c r="B469" s="89" t="s">
        <v>3874</v>
      </c>
    </row>
    <row r="470" spans="1:2" ht="15">
      <c r="A470" s="90" t="s">
        <v>3656</v>
      </c>
      <c r="B470" s="89" t="s">
        <v>3874</v>
      </c>
    </row>
    <row r="471" spans="1:2" ht="15">
      <c r="A471" s="90" t="s">
        <v>3657</v>
      </c>
      <c r="B471" s="89" t="s">
        <v>3874</v>
      </c>
    </row>
    <row r="472" spans="1:2" ht="15">
      <c r="A472" s="90" t="s">
        <v>2472</v>
      </c>
      <c r="B472" s="89" t="s">
        <v>3874</v>
      </c>
    </row>
    <row r="473" spans="1:2" ht="15">
      <c r="A473" s="90" t="s">
        <v>3658</v>
      </c>
      <c r="B473" s="89" t="s">
        <v>3874</v>
      </c>
    </row>
    <row r="474" spans="1:2" ht="15">
      <c r="A474" s="90" t="s">
        <v>3659</v>
      </c>
      <c r="B474" s="89" t="s">
        <v>3874</v>
      </c>
    </row>
    <row r="475" spans="1:2" ht="15">
      <c r="A475" s="90" t="s">
        <v>3660</v>
      </c>
      <c r="B475" s="89" t="s">
        <v>3874</v>
      </c>
    </row>
    <row r="476" spans="1:2" ht="15">
      <c r="A476" s="90" t="s">
        <v>3661</v>
      </c>
      <c r="B476" s="89" t="s">
        <v>3874</v>
      </c>
    </row>
    <row r="477" spans="1:2" ht="15">
      <c r="A477" s="90" t="s">
        <v>3662</v>
      </c>
      <c r="B477" s="89" t="s">
        <v>3874</v>
      </c>
    </row>
    <row r="478" spans="1:2" ht="15">
      <c r="A478" s="90" t="s">
        <v>3663</v>
      </c>
      <c r="B478" s="89" t="s">
        <v>3874</v>
      </c>
    </row>
    <row r="479" spans="1:2" ht="15">
      <c r="A479" s="90" t="s">
        <v>3664</v>
      </c>
      <c r="B479" s="89" t="s">
        <v>3874</v>
      </c>
    </row>
    <row r="480" spans="1:2" ht="15">
      <c r="A480" s="90" t="s">
        <v>3665</v>
      </c>
      <c r="B480" s="89" t="s">
        <v>3874</v>
      </c>
    </row>
    <row r="481" spans="1:2" ht="15">
      <c r="A481" s="90" t="s">
        <v>2501</v>
      </c>
      <c r="B481" s="89" t="s">
        <v>3874</v>
      </c>
    </row>
    <row r="482" spans="1:2" ht="15">
      <c r="A482" s="90" t="s">
        <v>3666</v>
      </c>
      <c r="B482" s="89" t="s">
        <v>3874</v>
      </c>
    </row>
    <row r="483" spans="1:2" ht="15">
      <c r="A483" s="90" t="s">
        <v>3667</v>
      </c>
      <c r="B483" s="89" t="s">
        <v>3874</v>
      </c>
    </row>
    <row r="484" spans="1:2" ht="15">
      <c r="A484" s="90" t="s">
        <v>2545</v>
      </c>
      <c r="B484" s="89" t="s">
        <v>3874</v>
      </c>
    </row>
    <row r="485" spans="1:2" ht="15">
      <c r="A485" s="90" t="s">
        <v>2645</v>
      </c>
      <c r="B485" s="89" t="s">
        <v>3874</v>
      </c>
    </row>
    <row r="486" spans="1:2" ht="15">
      <c r="A486" s="90" t="s">
        <v>3054</v>
      </c>
      <c r="B486" s="89" t="s">
        <v>3874</v>
      </c>
    </row>
    <row r="487" spans="1:2" ht="15">
      <c r="A487" s="90" t="s">
        <v>3668</v>
      </c>
      <c r="B487" s="89" t="s">
        <v>3874</v>
      </c>
    </row>
    <row r="488" spans="1:2" ht="15">
      <c r="A488" s="90" t="s">
        <v>3669</v>
      </c>
      <c r="B488" s="89" t="s">
        <v>3874</v>
      </c>
    </row>
    <row r="489" spans="1:2" ht="15">
      <c r="A489" s="90" t="s">
        <v>3670</v>
      </c>
      <c r="B489" s="89" t="s">
        <v>3874</v>
      </c>
    </row>
    <row r="490" spans="1:2" ht="15">
      <c r="A490" s="90" t="s">
        <v>3671</v>
      </c>
      <c r="B490" s="89" t="s">
        <v>3874</v>
      </c>
    </row>
    <row r="491" spans="1:2" ht="15">
      <c r="A491" s="90" t="s">
        <v>2784</v>
      </c>
      <c r="B491" s="89" t="s">
        <v>3874</v>
      </c>
    </row>
    <row r="492" spans="1:2" ht="15">
      <c r="A492" s="90" t="s">
        <v>3672</v>
      </c>
      <c r="B492" s="89" t="s">
        <v>3874</v>
      </c>
    </row>
    <row r="493" spans="1:2" ht="15">
      <c r="A493" s="90" t="s">
        <v>2393</v>
      </c>
      <c r="B493" s="89" t="s">
        <v>3874</v>
      </c>
    </row>
    <row r="494" spans="1:2" ht="15">
      <c r="A494" s="90" t="s">
        <v>2787</v>
      </c>
      <c r="B494" s="89" t="s">
        <v>3874</v>
      </c>
    </row>
    <row r="495" spans="1:2" ht="15">
      <c r="A495" s="90" t="s">
        <v>3673</v>
      </c>
      <c r="B495" s="89" t="s">
        <v>3874</v>
      </c>
    </row>
    <row r="496" spans="1:2" ht="15">
      <c r="A496" s="90" t="s">
        <v>3674</v>
      </c>
      <c r="B496" s="89" t="s">
        <v>3874</v>
      </c>
    </row>
    <row r="497" spans="1:2" ht="15">
      <c r="A497" s="90" t="s">
        <v>3675</v>
      </c>
      <c r="B497" s="89" t="s">
        <v>3874</v>
      </c>
    </row>
    <row r="498" spans="1:2" ht="15">
      <c r="A498" s="90" t="s">
        <v>3676</v>
      </c>
      <c r="B498" s="89" t="s">
        <v>3874</v>
      </c>
    </row>
    <row r="499" spans="1:2" ht="15">
      <c r="A499" s="90" t="s">
        <v>3677</v>
      </c>
      <c r="B499" s="89" t="s">
        <v>3874</v>
      </c>
    </row>
    <row r="500" spans="1:2" ht="15">
      <c r="A500" s="90" t="s">
        <v>3678</v>
      </c>
      <c r="B500" s="89" t="s">
        <v>3874</v>
      </c>
    </row>
    <row r="501" spans="1:2" ht="15">
      <c r="A501" s="90" t="s">
        <v>3679</v>
      </c>
      <c r="B501" s="89" t="s">
        <v>3874</v>
      </c>
    </row>
    <row r="502" spans="1:2" ht="15">
      <c r="A502" s="90" t="s">
        <v>2376</v>
      </c>
      <c r="B502" s="89" t="s">
        <v>3874</v>
      </c>
    </row>
    <row r="503" spans="1:2" ht="15">
      <c r="A503" s="90" t="s">
        <v>3680</v>
      </c>
      <c r="B503" s="89" t="s">
        <v>3874</v>
      </c>
    </row>
    <row r="504" spans="1:2" ht="15">
      <c r="A504" s="90" t="s">
        <v>3681</v>
      </c>
      <c r="B504" s="89" t="s">
        <v>3874</v>
      </c>
    </row>
    <row r="505" spans="1:2" ht="15">
      <c r="A505" s="90" t="s">
        <v>2524</v>
      </c>
      <c r="B505" s="89" t="s">
        <v>3874</v>
      </c>
    </row>
    <row r="506" spans="1:2" ht="15">
      <c r="A506" s="90" t="s">
        <v>3682</v>
      </c>
      <c r="B506" s="89" t="s">
        <v>3874</v>
      </c>
    </row>
    <row r="507" spans="1:2" ht="15">
      <c r="A507" s="90" t="s">
        <v>3683</v>
      </c>
      <c r="B507" s="89" t="s">
        <v>3874</v>
      </c>
    </row>
    <row r="508" spans="1:2" ht="15">
      <c r="A508" s="90" t="s">
        <v>3684</v>
      </c>
      <c r="B508" s="89" t="s">
        <v>3874</v>
      </c>
    </row>
    <row r="509" spans="1:2" ht="15">
      <c r="A509" s="90" t="s">
        <v>3685</v>
      </c>
      <c r="B509" s="89" t="s">
        <v>3874</v>
      </c>
    </row>
    <row r="510" spans="1:2" ht="15">
      <c r="A510" s="90" t="s">
        <v>2488</v>
      </c>
      <c r="B510" s="89" t="s">
        <v>3874</v>
      </c>
    </row>
    <row r="511" spans="1:2" ht="15">
      <c r="A511" s="90" t="s">
        <v>3686</v>
      </c>
      <c r="B511" s="89" t="s">
        <v>3874</v>
      </c>
    </row>
    <row r="512" spans="1:2" ht="15">
      <c r="A512" s="90" t="s">
        <v>2905</v>
      </c>
      <c r="B512" s="89" t="s">
        <v>3874</v>
      </c>
    </row>
    <row r="513" spans="1:2" ht="15">
      <c r="A513" s="90" t="s">
        <v>3687</v>
      </c>
      <c r="B513" s="89" t="s">
        <v>3874</v>
      </c>
    </row>
    <row r="514" spans="1:2" ht="15">
      <c r="A514" s="90" t="s">
        <v>3688</v>
      </c>
      <c r="B514" s="89" t="s">
        <v>3874</v>
      </c>
    </row>
    <row r="515" spans="1:2" ht="15">
      <c r="A515" s="90" t="s">
        <v>3689</v>
      </c>
      <c r="B515" s="89" t="s">
        <v>3874</v>
      </c>
    </row>
    <row r="516" spans="1:2" ht="15">
      <c r="A516" s="90" t="s">
        <v>3690</v>
      </c>
      <c r="B516" s="89" t="s">
        <v>3874</v>
      </c>
    </row>
    <row r="517" spans="1:2" ht="15">
      <c r="A517" s="90" t="s">
        <v>3180</v>
      </c>
      <c r="B517" s="89" t="s">
        <v>3874</v>
      </c>
    </row>
    <row r="518" spans="1:2" ht="15">
      <c r="A518" s="90" t="s">
        <v>3691</v>
      </c>
      <c r="B518" s="89" t="s">
        <v>3874</v>
      </c>
    </row>
    <row r="519" spans="1:2" ht="15">
      <c r="A519" s="90" t="s">
        <v>3692</v>
      </c>
      <c r="B519" s="89" t="s">
        <v>3874</v>
      </c>
    </row>
    <row r="520" spans="1:2" ht="15">
      <c r="A520" s="90" t="s">
        <v>3693</v>
      </c>
      <c r="B520" s="89" t="s">
        <v>3874</v>
      </c>
    </row>
    <row r="521" spans="1:2" ht="15">
      <c r="A521" s="90" t="s">
        <v>3694</v>
      </c>
      <c r="B521" s="89" t="s">
        <v>3874</v>
      </c>
    </row>
    <row r="522" spans="1:2" ht="15">
      <c r="A522" s="90" t="s">
        <v>3695</v>
      </c>
      <c r="B522" s="89" t="s">
        <v>3874</v>
      </c>
    </row>
    <row r="523" spans="1:2" ht="15">
      <c r="A523" s="90" t="s">
        <v>3696</v>
      </c>
      <c r="B523" s="89" t="s">
        <v>3874</v>
      </c>
    </row>
    <row r="524" spans="1:2" ht="15">
      <c r="A524" s="90" t="s">
        <v>3697</v>
      </c>
      <c r="B524" s="89" t="s">
        <v>3874</v>
      </c>
    </row>
    <row r="525" spans="1:2" ht="15">
      <c r="A525" s="90" t="s">
        <v>2989</v>
      </c>
      <c r="B525" s="89" t="s">
        <v>3874</v>
      </c>
    </row>
    <row r="526" spans="1:2" ht="15">
      <c r="A526" s="90" t="s">
        <v>3698</v>
      </c>
      <c r="B526" s="89" t="s">
        <v>3874</v>
      </c>
    </row>
    <row r="527" spans="1:2" ht="15">
      <c r="A527" s="90" t="s">
        <v>2698</v>
      </c>
      <c r="B527" s="89" t="s">
        <v>3874</v>
      </c>
    </row>
    <row r="528" spans="1:2" ht="15">
      <c r="A528" s="90" t="s">
        <v>3699</v>
      </c>
      <c r="B528" s="89" t="s">
        <v>3874</v>
      </c>
    </row>
    <row r="529" spans="1:2" ht="15">
      <c r="A529" s="90" t="s">
        <v>3700</v>
      </c>
      <c r="B529" s="89" t="s">
        <v>3874</v>
      </c>
    </row>
    <row r="530" spans="1:2" ht="15">
      <c r="A530" s="90" t="s">
        <v>3701</v>
      </c>
      <c r="B530" s="89" t="s">
        <v>3874</v>
      </c>
    </row>
    <row r="531" spans="1:2" ht="15">
      <c r="A531" s="90" t="s">
        <v>3702</v>
      </c>
      <c r="B531" s="89" t="s">
        <v>3874</v>
      </c>
    </row>
    <row r="532" spans="1:2" ht="15">
      <c r="A532" s="90" t="s">
        <v>3703</v>
      </c>
      <c r="B532" s="89" t="s">
        <v>3874</v>
      </c>
    </row>
    <row r="533" spans="1:2" ht="15">
      <c r="A533" s="90" t="s">
        <v>3704</v>
      </c>
      <c r="B533" s="89" t="s">
        <v>3874</v>
      </c>
    </row>
    <row r="534" spans="1:2" ht="15">
      <c r="A534" s="90" t="s">
        <v>3705</v>
      </c>
      <c r="B534" s="89" t="s">
        <v>3874</v>
      </c>
    </row>
    <row r="535" spans="1:2" ht="15">
      <c r="A535" s="90" t="s">
        <v>3706</v>
      </c>
      <c r="B535" s="89" t="s">
        <v>3874</v>
      </c>
    </row>
    <row r="536" spans="1:2" ht="15">
      <c r="A536" s="90" t="s">
        <v>3707</v>
      </c>
      <c r="B536" s="89" t="s">
        <v>3874</v>
      </c>
    </row>
    <row r="537" spans="1:2" ht="15">
      <c r="A537" s="90" t="s">
        <v>3708</v>
      </c>
      <c r="B537" s="89" t="s">
        <v>3874</v>
      </c>
    </row>
    <row r="538" spans="1:2" ht="15">
      <c r="A538" s="90" t="s">
        <v>3709</v>
      </c>
      <c r="B538" s="89" t="s">
        <v>3874</v>
      </c>
    </row>
    <row r="539" spans="1:2" ht="15">
      <c r="A539" s="90" t="s">
        <v>3071</v>
      </c>
      <c r="B539" s="89" t="s">
        <v>3874</v>
      </c>
    </row>
    <row r="540" spans="1:2" ht="15">
      <c r="A540" s="90" t="s">
        <v>3710</v>
      </c>
      <c r="B540" s="89" t="s">
        <v>3874</v>
      </c>
    </row>
    <row r="541" spans="1:2" ht="15">
      <c r="A541" s="90" t="s">
        <v>3711</v>
      </c>
      <c r="B541" s="89" t="s">
        <v>3874</v>
      </c>
    </row>
    <row r="542" spans="1:2" ht="15">
      <c r="A542" s="90" t="s">
        <v>3712</v>
      </c>
      <c r="B542" s="89" t="s">
        <v>3874</v>
      </c>
    </row>
    <row r="543" spans="1:2" ht="15">
      <c r="A543" s="90" t="s">
        <v>3713</v>
      </c>
      <c r="B543" s="89" t="s">
        <v>3874</v>
      </c>
    </row>
    <row r="544" spans="1:2" ht="15">
      <c r="A544" s="90" t="s">
        <v>3714</v>
      </c>
      <c r="B544" s="89" t="s">
        <v>3874</v>
      </c>
    </row>
    <row r="545" spans="1:2" ht="15">
      <c r="A545" s="90" t="s">
        <v>2385</v>
      </c>
      <c r="B545" s="89" t="s">
        <v>3874</v>
      </c>
    </row>
    <row r="546" spans="1:2" ht="15">
      <c r="A546" s="90" t="s">
        <v>2386</v>
      </c>
      <c r="B546" s="89" t="s">
        <v>3874</v>
      </c>
    </row>
    <row r="547" spans="1:2" ht="15">
      <c r="A547" s="90" t="s">
        <v>2363</v>
      </c>
      <c r="B547" s="89" t="s">
        <v>3874</v>
      </c>
    </row>
    <row r="548" spans="1:2" ht="15">
      <c r="A548" s="90" t="s">
        <v>2762</v>
      </c>
      <c r="B548" s="89" t="s">
        <v>3874</v>
      </c>
    </row>
    <row r="549" spans="1:2" ht="15">
      <c r="A549" s="90" t="s">
        <v>3715</v>
      </c>
      <c r="B549" s="89" t="s">
        <v>3874</v>
      </c>
    </row>
    <row r="550" spans="1:2" ht="15">
      <c r="A550" s="90" t="s">
        <v>2492</v>
      </c>
      <c r="B550" s="89" t="s">
        <v>3874</v>
      </c>
    </row>
    <row r="551" spans="1:2" ht="15">
      <c r="A551" s="90" t="s">
        <v>3716</v>
      </c>
      <c r="B551" s="89" t="s">
        <v>3874</v>
      </c>
    </row>
    <row r="552" spans="1:2" ht="15">
      <c r="A552" s="90" t="s">
        <v>2945</v>
      </c>
      <c r="B552" s="89" t="s">
        <v>3874</v>
      </c>
    </row>
    <row r="553" spans="1:2" ht="15">
      <c r="A553" s="90" t="s">
        <v>2537</v>
      </c>
      <c r="B553" s="89" t="s">
        <v>3874</v>
      </c>
    </row>
    <row r="554" spans="1:2" ht="15">
      <c r="A554" s="90" t="s">
        <v>2584</v>
      </c>
      <c r="B554" s="89" t="s">
        <v>3874</v>
      </c>
    </row>
    <row r="555" spans="1:2" ht="15">
      <c r="A555" s="90" t="s">
        <v>2652</v>
      </c>
      <c r="B555" s="89" t="s">
        <v>3874</v>
      </c>
    </row>
    <row r="556" spans="1:2" ht="15">
      <c r="A556" s="90" t="s">
        <v>3717</v>
      </c>
      <c r="B556" s="89" t="s">
        <v>3874</v>
      </c>
    </row>
    <row r="557" spans="1:2" ht="15">
      <c r="A557" s="90" t="s">
        <v>3718</v>
      </c>
      <c r="B557" s="89" t="s">
        <v>3874</v>
      </c>
    </row>
    <row r="558" spans="1:2" ht="15">
      <c r="A558" s="90" t="s">
        <v>3719</v>
      </c>
      <c r="B558" s="89" t="s">
        <v>3874</v>
      </c>
    </row>
    <row r="559" spans="1:2" ht="15">
      <c r="A559" s="90" t="s">
        <v>3720</v>
      </c>
      <c r="B559" s="89" t="s">
        <v>3874</v>
      </c>
    </row>
    <row r="560" spans="1:2" ht="15">
      <c r="A560" s="90" t="s">
        <v>2981</v>
      </c>
      <c r="B560" s="89" t="s">
        <v>3874</v>
      </c>
    </row>
    <row r="561" spans="1:2" ht="15">
      <c r="A561" s="90" t="s">
        <v>3721</v>
      </c>
      <c r="B561" s="89" t="s">
        <v>3874</v>
      </c>
    </row>
    <row r="562" spans="1:2" ht="15">
      <c r="A562" s="90" t="s">
        <v>2739</v>
      </c>
      <c r="B562" s="89" t="s">
        <v>3874</v>
      </c>
    </row>
    <row r="563" spans="1:2" ht="15">
      <c r="A563" s="90" t="s">
        <v>3722</v>
      </c>
      <c r="B563" s="89" t="s">
        <v>3874</v>
      </c>
    </row>
    <row r="564" spans="1:2" ht="15">
      <c r="A564" s="90" t="s">
        <v>2918</v>
      </c>
      <c r="B564" s="89" t="s">
        <v>3874</v>
      </c>
    </row>
    <row r="565" spans="1:2" ht="15">
      <c r="A565" s="90" t="s">
        <v>3723</v>
      </c>
      <c r="B565" s="89" t="s">
        <v>3874</v>
      </c>
    </row>
    <row r="566" spans="1:2" ht="15">
      <c r="A566" s="90" t="s">
        <v>3724</v>
      </c>
      <c r="B566" s="89" t="s">
        <v>3874</v>
      </c>
    </row>
    <row r="567" spans="1:2" ht="15">
      <c r="A567" s="90" t="s">
        <v>3725</v>
      </c>
      <c r="B567" s="89" t="s">
        <v>3874</v>
      </c>
    </row>
    <row r="568" spans="1:2" ht="15">
      <c r="A568" s="90" t="s">
        <v>3726</v>
      </c>
      <c r="B568" s="89" t="s">
        <v>3874</v>
      </c>
    </row>
    <row r="569" spans="1:2" ht="15">
      <c r="A569" s="90" t="s">
        <v>3727</v>
      </c>
      <c r="B569" s="89" t="s">
        <v>3874</v>
      </c>
    </row>
    <row r="570" spans="1:2" ht="15">
      <c r="A570" s="90" t="s">
        <v>3728</v>
      </c>
      <c r="B570" s="89" t="s">
        <v>3874</v>
      </c>
    </row>
    <row r="571" spans="1:2" ht="15">
      <c r="A571" s="90" t="s">
        <v>3729</v>
      </c>
      <c r="B571" s="89" t="s">
        <v>3874</v>
      </c>
    </row>
    <row r="572" spans="1:2" ht="15">
      <c r="A572" s="90" t="s">
        <v>2522</v>
      </c>
      <c r="B572" s="89" t="s">
        <v>3874</v>
      </c>
    </row>
    <row r="573" spans="1:2" ht="15">
      <c r="A573" s="90" t="s">
        <v>3730</v>
      </c>
      <c r="B573" s="89" t="s">
        <v>3874</v>
      </c>
    </row>
    <row r="574" spans="1:2" ht="15">
      <c r="A574" s="90" t="s">
        <v>2372</v>
      </c>
      <c r="B574" s="89" t="s">
        <v>3874</v>
      </c>
    </row>
    <row r="575" spans="1:2" ht="15">
      <c r="A575" s="90" t="s">
        <v>3731</v>
      </c>
      <c r="B575" s="89" t="s">
        <v>3874</v>
      </c>
    </row>
    <row r="576" spans="1:2" ht="15">
      <c r="A576" s="90" t="s">
        <v>2946</v>
      </c>
      <c r="B576" s="89" t="s">
        <v>3874</v>
      </c>
    </row>
    <row r="577" spans="1:2" ht="15">
      <c r="A577" s="90" t="s">
        <v>3732</v>
      </c>
      <c r="B577" s="89" t="s">
        <v>3874</v>
      </c>
    </row>
    <row r="578" spans="1:2" ht="15">
      <c r="A578" s="90" t="s">
        <v>3733</v>
      </c>
      <c r="B578" s="89" t="s">
        <v>3874</v>
      </c>
    </row>
    <row r="579" spans="1:2" ht="15">
      <c r="A579" s="90" t="s">
        <v>3734</v>
      </c>
      <c r="B579" s="89" t="s">
        <v>3874</v>
      </c>
    </row>
    <row r="580" spans="1:2" ht="15">
      <c r="A580" s="90" t="s">
        <v>3735</v>
      </c>
      <c r="B580" s="89" t="s">
        <v>3874</v>
      </c>
    </row>
    <row r="581" spans="1:2" ht="15">
      <c r="A581" s="90" t="s">
        <v>3736</v>
      </c>
      <c r="B581" s="89" t="s">
        <v>3874</v>
      </c>
    </row>
    <row r="582" spans="1:2" ht="15">
      <c r="A582" s="90" t="s">
        <v>3737</v>
      </c>
      <c r="B582" s="89" t="s">
        <v>3874</v>
      </c>
    </row>
    <row r="583" spans="1:2" ht="15">
      <c r="A583" s="90" t="s">
        <v>3738</v>
      </c>
      <c r="B583" s="89" t="s">
        <v>3874</v>
      </c>
    </row>
    <row r="584" spans="1:2" ht="15">
      <c r="A584" s="90" t="s">
        <v>2933</v>
      </c>
      <c r="B584" s="89" t="s">
        <v>3874</v>
      </c>
    </row>
    <row r="585" spans="1:2" ht="15">
      <c r="A585" s="90" t="s">
        <v>3739</v>
      </c>
      <c r="B585" s="89" t="s">
        <v>3874</v>
      </c>
    </row>
    <row r="586" spans="1:2" ht="15">
      <c r="A586" s="90" t="s">
        <v>2513</v>
      </c>
      <c r="B586" s="89" t="s">
        <v>3874</v>
      </c>
    </row>
    <row r="587" spans="1:2" ht="15">
      <c r="A587" s="90" t="s">
        <v>3740</v>
      </c>
      <c r="B587" s="89" t="s">
        <v>3874</v>
      </c>
    </row>
    <row r="588" spans="1:2" ht="15">
      <c r="A588" s="90" t="s">
        <v>3741</v>
      </c>
      <c r="B588" s="89" t="s">
        <v>3874</v>
      </c>
    </row>
    <row r="589" spans="1:2" ht="15">
      <c r="A589" s="90" t="s">
        <v>3742</v>
      </c>
      <c r="B589" s="89" t="s">
        <v>3874</v>
      </c>
    </row>
    <row r="590" spans="1:2" ht="15">
      <c r="A590" s="90" t="s">
        <v>2541</v>
      </c>
      <c r="B590" s="89" t="s">
        <v>3874</v>
      </c>
    </row>
    <row r="591" spans="1:2" ht="15">
      <c r="A591" s="90" t="s">
        <v>3743</v>
      </c>
      <c r="B591" s="89" t="s">
        <v>3874</v>
      </c>
    </row>
    <row r="592" spans="1:2" ht="15">
      <c r="A592" s="90" t="s">
        <v>2461</v>
      </c>
      <c r="B592" s="89" t="s">
        <v>3874</v>
      </c>
    </row>
    <row r="593" spans="1:2" ht="15">
      <c r="A593" s="90" t="s">
        <v>3744</v>
      </c>
      <c r="B593" s="89" t="s">
        <v>3874</v>
      </c>
    </row>
    <row r="594" spans="1:2" ht="15">
      <c r="A594" s="90" t="s">
        <v>2668</v>
      </c>
      <c r="B594" s="89" t="s">
        <v>3874</v>
      </c>
    </row>
    <row r="595" spans="1:2" ht="15">
      <c r="A595" s="90" t="s">
        <v>3745</v>
      </c>
      <c r="B595" s="89" t="s">
        <v>3874</v>
      </c>
    </row>
    <row r="596" spans="1:2" ht="15">
      <c r="A596" s="90" t="s">
        <v>3746</v>
      </c>
      <c r="B596" s="89" t="s">
        <v>3874</v>
      </c>
    </row>
    <row r="597" spans="1:2" ht="15">
      <c r="A597" s="90" t="s">
        <v>2939</v>
      </c>
      <c r="B597" s="89" t="s">
        <v>3874</v>
      </c>
    </row>
    <row r="598" spans="1:2" ht="15">
      <c r="A598" s="90" t="s">
        <v>3178</v>
      </c>
      <c r="B598" s="89" t="s">
        <v>3874</v>
      </c>
    </row>
    <row r="599" spans="1:2" ht="15">
      <c r="A599" s="90" t="s">
        <v>2816</v>
      </c>
      <c r="B599" s="89" t="s">
        <v>3874</v>
      </c>
    </row>
    <row r="600" spans="1:2" ht="15">
      <c r="A600" s="90" t="s">
        <v>3747</v>
      </c>
      <c r="B600" s="89" t="s">
        <v>3874</v>
      </c>
    </row>
    <row r="601" spans="1:2" ht="15">
      <c r="A601" s="90" t="s">
        <v>3748</v>
      </c>
      <c r="B601" s="89" t="s">
        <v>3874</v>
      </c>
    </row>
    <row r="602" spans="1:2" ht="15">
      <c r="A602" s="90" t="s">
        <v>2407</v>
      </c>
      <c r="B602" s="89" t="s">
        <v>3874</v>
      </c>
    </row>
    <row r="603" spans="1:2" ht="15">
      <c r="A603" s="90" t="s">
        <v>2406</v>
      </c>
      <c r="B603" s="89" t="s">
        <v>3874</v>
      </c>
    </row>
    <row r="604" spans="1:2" ht="15">
      <c r="A604" s="90" t="s">
        <v>2975</v>
      </c>
      <c r="B604" s="89" t="s">
        <v>3874</v>
      </c>
    </row>
    <row r="605" spans="1:2" ht="15">
      <c r="A605" s="90" t="s">
        <v>2395</v>
      </c>
      <c r="B605" s="89" t="s">
        <v>3874</v>
      </c>
    </row>
    <row r="606" spans="1:2" ht="15">
      <c r="A606" s="90" t="s">
        <v>3749</v>
      </c>
      <c r="B606" s="89" t="s">
        <v>3874</v>
      </c>
    </row>
    <row r="607" spans="1:2" ht="15">
      <c r="A607" s="90" t="s">
        <v>3750</v>
      </c>
      <c r="B607" s="89" t="s">
        <v>3874</v>
      </c>
    </row>
    <row r="608" spans="1:2" ht="15">
      <c r="A608" s="90" t="s">
        <v>3751</v>
      </c>
      <c r="B608" s="89" t="s">
        <v>3874</v>
      </c>
    </row>
    <row r="609" spans="1:2" ht="15">
      <c r="A609" s="90" t="s">
        <v>2552</v>
      </c>
      <c r="B609" s="89" t="s">
        <v>3874</v>
      </c>
    </row>
    <row r="610" spans="1:2" ht="15">
      <c r="A610" s="90" t="s">
        <v>3752</v>
      </c>
      <c r="B610" s="89" t="s">
        <v>3874</v>
      </c>
    </row>
    <row r="611" spans="1:2" ht="15">
      <c r="A611" s="90" t="s">
        <v>3753</v>
      </c>
      <c r="B611" s="89" t="s">
        <v>3874</v>
      </c>
    </row>
    <row r="612" spans="1:2" ht="15">
      <c r="A612" s="90" t="s">
        <v>3004</v>
      </c>
      <c r="B612" s="89" t="s">
        <v>3874</v>
      </c>
    </row>
    <row r="613" spans="1:2" ht="15">
      <c r="A613" s="90" t="s">
        <v>3754</v>
      </c>
      <c r="B613" s="89" t="s">
        <v>3874</v>
      </c>
    </row>
    <row r="614" spans="1:2" ht="15">
      <c r="A614" s="90" t="s">
        <v>3061</v>
      </c>
      <c r="B614" s="89" t="s">
        <v>3874</v>
      </c>
    </row>
    <row r="615" spans="1:2" ht="15">
      <c r="A615" s="90" t="s">
        <v>3755</v>
      </c>
      <c r="B615" s="89" t="s">
        <v>3874</v>
      </c>
    </row>
    <row r="616" spans="1:2" ht="15">
      <c r="A616" s="90" t="s">
        <v>3756</v>
      </c>
      <c r="B616" s="89" t="s">
        <v>3874</v>
      </c>
    </row>
    <row r="617" spans="1:2" ht="15">
      <c r="A617" s="90" t="s">
        <v>3757</v>
      </c>
      <c r="B617" s="89" t="s">
        <v>3874</v>
      </c>
    </row>
    <row r="618" spans="1:2" ht="15">
      <c r="A618" s="90" t="s">
        <v>3758</v>
      </c>
      <c r="B618" s="89" t="s">
        <v>3874</v>
      </c>
    </row>
    <row r="619" spans="1:2" ht="15">
      <c r="A619" s="90" t="s">
        <v>3126</v>
      </c>
      <c r="B619" s="89" t="s">
        <v>3874</v>
      </c>
    </row>
    <row r="620" spans="1:2" ht="15">
      <c r="A620" s="90" t="s">
        <v>3759</v>
      </c>
      <c r="B620" s="89" t="s">
        <v>3874</v>
      </c>
    </row>
    <row r="621" spans="1:2" ht="15">
      <c r="A621" s="90" t="s">
        <v>3760</v>
      </c>
      <c r="B621" s="89" t="s">
        <v>3874</v>
      </c>
    </row>
    <row r="622" spans="1:2" ht="15">
      <c r="A622" s="90" t="s">
        <v>3761</v>
      </c>
      <c r="B622" s="89" t="s">
        <v>3874</v>
      </c>
    </row>
    <row r="623" spans="1:2" ht="15">
      <c r="A623" s="90" t="s">
        <v>3762</v>
      </c>
      <c r="B623" s="89" t="s">
        <v>3874</v>
      </c>
    </row>
    <row r="624" spans="1:2" ht="15">
      <c r="A624" s="90" t="s">
        <v>3763</v>
      </c>
      <c r="B624" s="89" t="s">
        <v>3874</v>
      </c>
    </row>
    <row r="625" spans="1:2" ht="15">
      <c r="A625" s="90" t="s">
        <v>3764</v>
      </c>
      <c r="B625" s="89" t="s">
        <v>3874</v>
      </c>
    </row>
    <row r="626" spans="1:2" ht="15">
      <c r="A626" s="90" t="s">
        <v>3765</v>
      </c>
      <c r="B626" s="89" t="s">
        <v>3874</v>
      </c>
    </row>
    <row r="627" spans="1:2" ht="15">
      <c r="A627" s="90" t="s">
        <v>3766</v>
      </c>
      <c r="B627" s="89" t="s">
        <v>3874</v>
      </c>
    </row>
    <row r="628" spans="1:2" ht="15">
      <c r="A628" s="90" t="s">
        <v>3767</v>
      </c>
      <c r="B628" s="89" t="s">
        <v>3874</v>
      </c>
    </row>
    <row r="629" spans="1:2" ht="15">
      <c r="A629" s="90" t="s">
        <v>3768</v>
      </c>
      <c r="B629" s="89" t="s">
        <v>3874</v>
      </c>
    </row>
    <row r="630" spans="1:2" ht="15">
      <c r="A630" s="90" t="s">
        <v>3769</v>
      </c>
      <c r="B630" s="89" t="s">
        <v>3874</v>
      </c>
    </row>
    <row r="631" spans="1:2" ht="15">
      <c r="A631" s="90" t="s">
        <v>3770</v>
      </c>
      <c r="B631" s="89" t="s">
        <v>3874</v>
      </c>
    </row>
    <row r="632" spans="1:2" ht="15">
      <c r="A632" s="90" t="s">
        <v>3771</v>
      </c>
      <c r="B632" s="89" t="s">
        <v>3874</v>
      </c>
    </row>
    <row r="633" spans="1:2" ht="15">
      <c r="A633" s="90" t="s">
        <v>3772</v>
      </c>
      <c r="B633" s="89" t="s">
        <v>3874</v>
      </c>
    </row>
    <row r="634" spans="1:2" ht="15">
      <c r="A634" s="90" t="s">
        <v>3773</v>
      </c>
      <c r="B634" s="89" t="s">
        <v>3874</v>
      </c>
    </row>
    <row r="635" spans="1:2" ht="15">
      <c r="A635" s="90" t="s">
        <v>3774</v>
      </c>
      <c r="B635" s="89" t="s">
        <v>3874</v>
      </c>
    </row>
    <row r="636" spans="1:2" ht="15">
      <c r="A636" s="90" t="s">
        <v>3775</v>
      </c>
      <c r="B636" s="89" t="s">
        <v>3874</v>
      </c>
    </row>
    <row r="637" spans="1:2" ht="15">
      <c r="A637" s="90" t="s">
        <v>3776</v>
      </c>
      <c r="B637" s="89" t="s">
        <v>3874</v>
      </c>
    </row>
    <row r="638" spans="1:2" ht="15">
      <c r="A638" s="90" t="s">
        <v>3777</v>
      </c>
      <c r="B638" s="89" t="s">
        <v>3874</v>
      </c>
    </row>
    <row r="639" spans="1:2" ht="15">
      <c r="A639" s="90" t="s">
        <v>3778</v>
      </c>
      <c r="B639" s="89" t="s">
        <v>3874</v>
      </c>
    </row>
    <row r="640" spans="1:2" ht="15">
      <c r="A640" s="90" t="s">
        <v>3779</v>
      </c>
      <c r="B640" s="89" t="s">
        <v>3874</v>
      </c>
    </row>
    <row r="641" spans="1:2" ht="15">
      <c r="A641" s="90" t="s">
        <v>3780</v>
      </c>
      <c r="B641" s="89" t="s">
        <v>3874</v>
      </c>
    </row>
    <row r="642" spans="1:2" ht="15">
      <c r="A642" s="90" t="s">
        <v>3781</v>
      </c>
      <c r="B642" s="89" t="s">
        <v>3874</v>
      </c>
    </row>
    <row r="643" spans="1:2" ht="15">
      <c r="A643" s="90" t="s">
        <v>3782</v>
      </c>
      <c r="B643" s="89" t="s">
        <v>3874</v>
      </c>
    </row>
    <row r="644" spans="1:2" ht="15">
      <c r="A644" s="90" t="s">
        <v>3783</v>
      </c>
      <c r="B644" s="89" t="s">
        <v>3874</v>
      </c>
    </row>
    <row r="645" spans="1:2" ht="15">
      <c r="A645" s="90" t="s">
        <v>3784</v>
      </c>
      <c r="B645" s="89" t="s">
        <v>3874</v>
      </c>
    </row>
    <row r="646" spans="1:2" ht="15">
      <c r="A646" s="90" t="s">
        <v>3785</v>
      </c>
      <c r="B646" s="89" t="s">
        <v>3874</v>
      </c>
    </row>
    <row r="647" spans="1:2" ht="15">
      <c r="A647" s="90" t="s">
        <v>3786</v>
      </c>
      <c r="B647" s="89" t="s">
        <v>3874</v>
      </c>
    </row>
    <row r="648" spans="1:2" ht="15">
      <c r="A648" s="90" t="s">
        <v>3787</v>
      </c>
      <c r="B648" s="89" t="s">
        <v>3874</v>
      </c>
    </row>
    <row r="649" spans="1:2" ht="15">
      <c r="A649" s="90" t="s">
        <v>3788</v>
      </c>
      <c r="B649" s="89" t="s">
        <v>3874</v>
      </c>
    </row>
    <row r="650" spans="1:2" ht="15">
      <c r="A650" s="90" t="s">
        <v>3789</v>
      </c>
      <c r="B650" s="89" t="s">
        <v>3874</v>
      </c>
    </row>
    <row r="651" spans="1:2" ht="15">
      <c r="A651" s="90" t="s">
        <v>3790</v>
      </c>
      <c r="B651" s="89" t="s">
        <v>3874</v>
      </c>
    </row>
    <row r="652" spans="1:2" ht="15">
      <c r="A652" s="90" t="s">
        <v>3791</v>
      </c>
      <c r="B652" s="89" t="s">
        <v>3874</v>
      </c>
    </row>
    <row r="653" spans="1:2" ht="15">
      <c r="A653" s="90" t="s">
        <v>2678</v>
      </c>
      <c r="B653" s="89" t="s">
        <v>3874</v>
      </c>
    </row>
    <row r="654" spans="1:2" ht="15">
      <c r="A654" s="90" t="s">
        <v>3792</v>
      </c>
      <c r="B654" s="89" t="s">
        <v>3874</v>
      </c>
    </row>
    <row r="655" spans="1:2" ht="15">
      <c r="A655" s="90" t="s">
        <v>3793</v>
      </c>
      <c r="B655" s="89" t="s">
        <v>3874</v>
      </c>
    </row>
    <row r="656" spans="1:2" ht="15">
      <c r="A656" s="90" t="s">
        <v>3794</v>
      </c>
      <c r="B656" s="89" t="s">
        <v>3874</v>
      </c>
    </row>
    <row r="657" spans="1:2" ht="15">
      <c r="A657" s="90" t="s">
        <v>2988</v>
      </c>
      <c r="B657" s="89" t="s">
        <v>3874</v>
      </c>
    </row>
    <row r="658" spans="1:2" ht="15">
      <c r="A658" s="90" t="s">
        <v>3795</v>
      </c>
      <c r="B658" s="89" t="s">
        <v>3874</v>
      </c>
    </row>
    <row r="659" spans="1:2" ht="15">
      <c r="A659" s="90" t="s">
        <v>3796</v>
      </c>
      <c r="B659" s="89" t="s">
        <v>3874</v>
      </c>
    </row>
    <row r="660" spans="1:2" ht="15">
      <c r="A660" s="90" t="s">
        <v>3797</v>
      </c>
      <c r="B660" s="89" t="s">
        <v>3874</v>
      </c>
    </row>
    <row r="661" spans="1:2" ht="15">
      <c r="A661" s="90" t="s">
        <v>3798</v>
      </c>
      <c r="B661" s="89" t="s">
        <v>3874</v>
      </c>
    </row>
    <row r="662" spans="1:2" ht="15">
      <c r="A662" s="90" t="s">
        <v>2766</v>
      </c>
      <c r="B662" s="89" t="s">
        <v>3874</v>
      </c>
    </row>
    <row r="663" spans="1:2" ht="15">
      <c r="A663" s="90" t="s">
        <v>3799</v>
      </c>
      <c r="B663" s="89" t="s">
        <v>3874</v>
      </c>
    </row>
    <row r="664" spans="1:2" ht="15">
      <c r="A664" s="90" t="s">
        <v>3800</v>
      </c>
      <c r="B664" s="89" t="s">
        <v>3874</v>
      </c>
    </row>
    <row r="665" spans="1:2" ht="15">
      <c r="A665" s="90" t="s">
        <v>3801</v>
      </c>
      <c r="B665" s="89" t="s">
        <v>3874</v>
      </c>
    </row>
    <row r="666" spans="1:2" ht="15">
      <c r="A666" s="90" t="s">
        <v>3802</v>
      </c>
      <c r="B666" s="89" t="s">
        <v>3874</v>
      </c>
    </row>
    <row r="667" spans="1:2" ht="15">
      <c r="A667" s="90" t="s">
        <v>3803</v>
      </c>
      <c r="B667" s="89" t="s">
        <v>3874</v>
      </c>
    </row>
    <row r="668" spans="1:2" ht="15">
      <c r="A668" s="90" t="s">
        <v>3804</v>
      </c>
      <c r="B668" s="89" t="s">
        <v>3874</v>
      </c>
    </row>
    <row r="669" spans="1:2" ht="15">
      <c r="A669" s="90" t="s">
        <v>3805</v>
      </c>
      <c r="B669" s="89" t="s">
        <v>3874</v>
      </c>
    </row>
    <row r="670" spans="1:2" ht="15">
      <c r="A670" s="90" t="s">
        <v>3806</v>
      </c>
      <c r="B670" s="89" t="s">
        <v>3874</v>
      </c>
    </row>
    <row r="671" spans="1:2" ht="15">
      <c r="A671" s="90" t="s">
        <v>2515</v>
      </c>
      <c r="B671" s="89" t="s">
        <v>3874</v>
      </c>
    </row>
    <row r="672" spans="1:2" ht="15">
      <c r="A672" s="90" t="s">
        <v>3807</v>
      </c>
      <c r="B672" s="89" t="s">
        <v>3874</v>
      </c>
    </row>
    <row r="673" spans="1:2" ht="15">
      <c r="A673" s="90" t="s">
        <v>3808</v>
      </c>
      <c r="B673" s="89" t="s">
        <v>3874</v>
      </c>
    </row>
    <row r="674" spans="1:2" ht="15">
      <c r="A674" s="90" t="s">
        <v>3041</v>
      </c>
      <c r="B674" s="89" t="s">
        <v>3874</v>
      </c>
    </row>
    <row r="675" spans="1:2" ht="15">
      <c r="A675" s="90" t="s">
        <v>3809</v>
      </c>
      <c r="B675" s="89" t="s">
        <v>3874</v>
      </c>
    </row>
    <row r="676" spans="1:2" ht="15">
      <c r="A676" s="90" t="s">
        <v>3810</v>
      </c>
      <c r="B676" s="89" t="s">
        <v>3874</v>
      </c>
    </row>
    <row r="677" spans="1:2" ht="15">
      <c r="A677" s="90" t="s">
        <v>3811</v>
      </c>
      <c r="B677" s="89" t="s">
        <v>3874</v>
      </c>
    </row>
    <row r="678" spans="1:2" ht="15">
      <c r="A678" s="90" t="s">
        <v>3812</v>
      </c>
      <c r="B678" s="89" t="s">
        <v>3874</v>
      </c>
    </row>
    <row r="679" spans="1:2" ht="15">
      <c r="A679" s="90" t="s">
        <v>2697</v>
      </c>
      <c r="B679" s="89" t="s">
        <v>3874</v>
      </c>
    </row>
    <row r="680" spans="1:2" ht="15">
      <c r="A680" s="90" t="s">
        <v>2380</v>
      </c>
      <c r="B680" s="89" t="s">
        <v>3874</v>
      </c>
    </row>
    <row r="681" spans="1:2" ht="15">
      <c r="A681" s="90" t="s">
        <v>2464</v>
      </c>
      <c r="B681" s="89" t="s">
        <v>3874</v>
      </c>
    </row>
    <row r="682" spans="1:2" ht="15">
      <c r="A682" s="90" t="s">
        <v>3813</v>
      </c>
      <c r="B682" s="89" t="s">
        <v>3874</v>
      </c>
    </row>
    <row r="683" spans="1:2" ht="15">
      <c r="A683" s="90" t="s">
        <v>3814</v>
      </c>
      <c r="B683" s="89" t="s">
        <v>3874</v>
      </c>
    </row>
    <row r="684" spans="1:2" ht="15">
      <c r="A684" s="90" t="s">
        <v>2764</v>
      </c>
      <c r="B684" s="89" t="s">
        <v>3874</v>
      </c>
    </row>
    <row r="685" spans="1:2" ht="15">
      <c r="A685" s="90" t="s">
        <v>3815</v>
      </c>
      <c r="B685" s="89" t="s">
        <v>3874</v>
      </c>
    </row>
    <row r="686" spans="1:2" ht="15">
      <c r="A686" s="90" t="s">
        <v>3816</v>
      </c>
      <c r="B686" s="89" t="s">
        <v>3874</v>
      </c>
    </row>
    <row r="687" spans="1:2" ht="15">
      <c r="A687" s="90" t="s">
        <v>3817</v>
      </c>
      <c r="B687" s="89" t="s">
        <v>3874</v>
      </c>
    </row>
    <row r="688" spans="1:2" ht="15">
      <c r="A688" s="90" t="s">
        <v>3818</v>
      </c>
      <c r="B688" s="89" t="s">
        <v>3874</v>
      </c>
    </row>
    <row r="689" spans="1:2" ht="15">
      <c r="A689" s="90" t="s">
        <v>3819</v>
      </c>
      <c r="B689" s="89" t="s">
        <v>3874</v>
      </c>
    </row>
    <row r="690" spans="1:2" ht="15">
      <c r="A690" s="90" t="s">
        <v>3820</v>
      </c>
      <c r="B690" s="89" t="s">
        <v>3874</v>
      </c>
    </row>
    <row r="691" spans="1:2" ht="15">
      <c r="A691" s="90" t="s">
        <v>3821</v>
      </c>
      <c r="B691" s="89" t="s">
        <v>3874</v>
      </c>
    </row>
    <row r="692" spans="1:2" ht="15">
      <c r="A692" s="90" t="s">
        <v>3822</v>
      </c>
      <c r="B692" s="89" t="s">
        <v>3874</v>
      </c>
    </row>
    <row r="693" spans="1:2" ht="15">
      <c r="A693" s="90" t="s">
        <v>3823</v>
      </c>
      <c r="B693" s="89" t="s">
        <v>3874</v>
      </c>
    </row>
    <row r="694" spans="1:2" ht="15">
      <c r="A694" s="90" t="s">
        <v>2431</v>
      </c>
      <c r="B694" s="89" t="s">
        <v>3874</v>
      </c>
    </row>
    <row r="695" spans="1:2" ht="15">
      <c r="A695" s="90" t="s">
        <v>2609</v>
      </c>
      <c r="B695" s="89" t="s">
        <v>3874</v>
      </c>
    </row>
    <row r="696" spans="1:2" ht="15">
      <c r="A696" s="90" t="s">
        <v>3824</v>
      </c>
      <c r="B696" s="89" t="s">
        <v>3874</v>
      </c>
    </row>
    <row r="697" spans="1:2" ht="15">
      <c r="A697" s="90" t="s">
        <v>3825</v>
      </c>
      <c r="B697" s="89" t="s">
        <v>3874</v>
      </c>
    </row>
    <row r="698" spans="1:2" ht="15">
      <c r="A698" s="90" t="s">
        <v>3826</v>
      </c>
      <c r="B698" s="89" t="s">
        <v>3874</v>
      </c>
    </row>
    <row r="699" spans="1:2" ht="15">
      <c r="A699" s="90" t="s">
        <v>3827</v>
      </c>
      <c r="B699" s="89" t="s">
        <v>3874</v>
      </c>
    </row>
    <row r="700" spans="1:2" ht="15">
      <c r="A700" s="90" t="s">
        <v>3828</v>
      </c>
      <c r="B700" s="89" t="s">
        <v>3874</v>
      </c>
    </row>
    <row r="701" spans="1:2" ht="15">
      <c r="A701" s="90" t="s">
        <v>3829</v>
      </c>
      <c r="B701" s="89" t="s">
        <v>3874</v>
      </c>
    </row>
    <row r="702" spans="1:2" ht="15">
      <c r="A702" s="90" t="s">
        <v>3158</v>
      </c>
      <c r="B702" s="89" t="s">
        <v>3874</v>
      </c>
    </row>
    <row r="703" spans="1:2" ht="15">
      <c r="A703" s="90" t="s">
        <v>3830</v>
      </c>
      <c r="B703" s="89" t="s">
        <v>3874</v>
      </c>
    </row>
    <row r="704" spans="1:2" ht="15">
      <c r="A704" s="90" t="s">
        <v>3831</v>
      </c>
      <c r="B704" s="89" t="s">
        <v>3874</v>
      </c>
    </row>
    <row r="705" spans="1:2" ht="15">
      <c r="A705" s="90" t="s">
        <v>2986</v>
      </c>
      <c r="B705" s="89" t="s">
        <v>3874</v>
      </c>
    </row>
    <row r="706" spans="1:2" ht="15">
      <c r="A706" s="90" t="s">
        <v>3832</v>
      </c>
      <c r="B706" s="89" t="s">
        <v>3874</v>
      </c>
    </row>
    <row r="707" spans="1:2" ht="15">
      <c r="A707" s="90" t="s">
        <v>3833</v>
      </c>
      <c r="B707" s="89" t="s">
        <v>3874</v>
      </c>
    </row>
    <row r="708" spans="1:2" ht="15">
      <c r="A708" s="90" t="s">
        <v>2673</v>
      </c>
      <c r="B708" s="89" t="s">
        <v>3874</v>
      </c>
    </row>
    <row r="709" spans="1:2" ht="15">
      <c r="A709" s="90" t="s">
        <v>3834</v>
      </c>
      <c r="B709" s="89" t="s">
        <v>3874</v>
      </c>
    </row>
    <row r="710" spans="1:2" ht="15">
      <c r="A710" s="90" t="s">
        <v>3835</v>
      </c>
      <c r="B710" s="89" t="s">
        <v>3874</v>
      </c>
    </row>
    <row r="711" spans="1:2" ht="15">
      <c r="A711" s="90" t="s">
        <v>3836</v>
      </c>
      <c r="B711" s="89" t="s">
        <v>3874</v>
      </c>
    </row>
    <row r="712" spans="1:2" ht="15">
      <c r="A712" s="90" t="s">
        <v>3837</v>
      </c>
      <c r="B712" s="89" t="s">
        <v>3874</v>
      </c>
    </row>
    <row r="713" spans="1:2" ht="15">
      <c r="A713" s="90" t="s">
        <v>3838</v>
      </c>
      <c r="B713" s="89" t="s">
        <v>3874</v>
      </c>
    </row>
    <row r="714" spans="1:2" ht="15">
      <c r="A714" s="90" t="s">
        <v>2554</v>
      </c>
      <c r="B714" s="89" t="s">
        <v>3874</v>
      </c>
    </row>
    <row r="715" spans="1:2" ht="15">
      <c r="A715" s="90" t="s">
        <v>3198</v>
      </c>
      <c r="B715" s="89" t="s">
        <v>3874</v>
      </c>
    </row>
    <row r="716" spans="1:2" ht="15">
      <c r="A716" s="90" t="s">
        <v>3839</v>
      </c>
      <c r="B716" s="89" t="s">
        <v>3874</v>
      </c>
    </row>
    <row r="717" spans="1:2" ht="15">
      <c r="A717" s="90" t="s">
        <v>3840</v>
      </c>
      <c r="B717" s="89" t="s">
        <v>3874</v>
      </c>
    </row>
    <row r="718" spans="1:2" ht="15">
      <c r="A718" s="90" t="s">
        <v>3841</v>
      </c>
      <c r="B718" s="89" t="s">
        <v>3874</v>
      </c>
    </row>
    <row r="719" spans="1:2" ht="15">
      <c r="A719" s="90" t="s">
        <v>2807</v>
      </c>
      <c r="B719" s="89" t="s">
        <v>3874</v>
      </c>
    </row>
    <row r="720" spans="1:2" ht="15">
      <c r="A720" s="90" t="s">
        <v>3842</v>
      </c>
      <c r="B720" s="89" t="s">
        <v>3874</v>
      </c>
    </row>
    <row r="721" spans="1:2" ht="15">
      <c r="A721" s="90" t="s">
        <v>2948</v>
      </c>
      <c r="B721" s="89" t="s">
        <v>3874</v>
      </c>
    </row>
    <row r="722" spans="1:2" ht="15">
      <c r="A722" s="90" t="s">
        <v>2433</v>
      </c>
      <c r="B722" s="89" t="s">
        <v>3874</v>
      </c>
    </row>
    <row r="723" spans="1:2" ht="15">
      <c r="A723" s="90" t="s">
        <v>3843</v>
      </c>
      <c r="B723" s="89" t="s">
        <v>3874</v>
      </c>
    </row>
    <row r="724" spans="1:2" ht="15">
      <c r="A724" s="90" t="s">
        <v>3844</v>
      </c>
      <c r="B724" s="89" t="s">
        <v>3874</v>
      </c>
    </row>
    <row r="725" spans="1:2" ht="15">
      <c r="A725" s="90" t="s">
        <v>3845</v>
      </c>
      <c r="B725" s="89" t="s">
        <v>3874</v>
      </c>
    </row>
    <row r="726" spans="1:2" ht="15">
      <c r="A726" s="90" t="s">
        <v>3846</v>
      </c>
      <c r="B726" s="89" t="s">
        <v>3874</v>
      </c>
    </row>
    <row r="727" spans="1:2" ht="15">
      <c r="A727" s="90" t="s">
        <v>3847</v>
      </c>
      <c r="B727" s="89" t="s">
        <v>3874</v>
      </c>
    </row>
    <row r="728" spans="1:2" ht="15">
      <c r="A728" s="90" t="s">
        <v>3848</v>
      </c>
      <c r="B728" s="89" t="s">
        <v>3874</v>
      </c>
    </row>
    <row r="729" spans="1:2" ht="15">
      <c r="A729" s="90" t="s">
        <v>3849</v>
      </c>
      <c r="B729" s="89" t="s">
        <v>3874</v>
      </c>
    </row>
    <row r="730" spans="1:2" ht="15">
      <c r="A730" s="90" t="s">
        <v>3850</v>
      </c>
      <c r="B730" s="89" t="s">
        <v>3874</v>
      </c>
    </row>
    <row r="731" spans="1:2" ht="15">
      <c r="A731" s="90" t="s">
        <v>2798</v>
      </c>
      <c r="B731" s="89" t="s">
        <v>3874</v>
      </c>
    </row>
    <row r="732" spans="1:2" ht="15">
      <c r="A732" s="90" t="s">
        <v>2640</v>
      </c>
      <c r="B732" s="89" t="s">
        <v>3874</v>
      </c>
    </row>
    <row r="733" spans="1:2" ht="15">
      <c r="A733" s="90" t="s">
        <v>3851</v>
      </c>
      <c r="B733" s="89" t="s">
        <v>3874</v>
      </c>
    </row>
    <row r="734" spans="1:2" ht="15">
      <c r="A734" s="90" t="s">
        <v>3852</v>
      </c>
      <c r="B734" s="89" t="s">
        <v>3874</v>
      </c>
    </row>
    <row r="735" spans="1:2" ht="15">
      <c r="A735" s="90" t="s">
        <v>3853</v>
      </c>
      <c r="B735" s="89" t="s">
        <v>3874</v>
      </c>
    </row>
    <row r="736" spans="1:2" ht="15">
      <c r="A736" s="90" t="s">
        <v>3059</v>
      </c>
      <c r="B736" s="89" t="s">
        <v>3874</v>
      </c>
    </row>
    <row r="737" spans="1:2" ht="15">
      <c r="A737" s="90" t="s">
        <v>3854</v>
      </c>
      <c r="B737" s="89" t="s">
        <v>3874</v>
      </c>
    </row>
    <row r="738" spans="1:2" ht="15">
      <c r="A738" s="90" t="s">
        <v>3855</v>
      </c>
      <c r="B738" s="89" t="s">
        <v>3874</v>
      </c>
    </row>
    <row r="739" spans="1:2" ht="15">
      <c r="A739" s="90" t="s">
        <v>3856</v>
      </c>
      <c r="B739" s="89" t="s">
        <v>3874</v>
      </c>
    </row>
    <row r="740" spans="1:2" ht="15">
      <c r="A740" s="90" t="s">
        <v>3857</v>
      </c>
      <c r="B740" s="89" t="s">
        <v>3874</v>
      </c>
    </row>
    <row r="741" spans="1:2" ht="15">
      <c r="A741" s="90" t="s">
        <v>2730</v>
      </c>
      <c r="B741" s="89" t="s">
        <v>3874</v>
      </c>
    </row>
    <row r="742" spans="1:2" ht="15">
      <c r="A742" s="90" t="s">
        <v>3858</v>
      </c>
      <c r="B742" s="89" t="s">
        <v>3874</v>
      </c>
    </row>
    <row r="743" spans="1:2" ht="15">
      <c r="A743" s="90" t="s">
        <v>3859</v>
      </c>
      <c r="B743" s="89" t="s">
        <v>3874</v>
      </c>
    </row>
    <row r="744" spans="1:2" ht="15">
      <c r="A744" s="90" t="s">
        <v>3860</v>
      </c>
      <c r="B744" s="89" t="s">
        <v>3874</v>
      </c>
    </row>
    <row r="745" spans="1:2" ht="15">
      <c r="A745" s="90" t="s">
        <v>3861</v>
      </c>
      <c r="B745" s="89" t="s">
        <v>3874</v>
      </c>
    </row>
    <row r="746" spans="1:2" ht="15">
      <c r="A746" s="90" t="s">
        <v>3862</v>
      </c>
      <c r="B746" s="89" t="s">
        <v>3874</v>
      </c>
    </row>
    <row r="747" spans="1:2" ht="15">
      <c r="A747" s="90" t="s">
        <v>3863</v>
      </c>
      <c r="B747" s="89" t="s">
        <v>3874</v>
      </c>
    </row>
    <row r="748" spans="1:2" ht="15">
      <c r="A748" s="90" t="s">
        <v>3864</v>
      </c>
      <c r="B748" s="89" t="s">
        <v>3874</v>
      </c>
    </row>
    <row r="749" spans="1:2" ht="15">
      <c r="A749" s="90" t="s">
        <v>3865</v>
      </c>
      <c r="B749" s="89" t="s">
        <v>3875</v>
      </c>
    </row>
    <row r="750" spans="1:2" ht="15">
      <c r="A750" s="90" t="s">
        <v>3866</v>
      </c>
      <c r="B750" s="89" t="s">
        <v>3875</v>
      </c>
    </row>
    <row r="751" spans="1:2" ht="15">
      <c r="A751" s="90" t="s">
        <v>3867</v>
      </c>
      <c r="B751" s="89" t="s">
        <v>3876</v>
      </c>
    </row>
    <row r="752" spans="1:2" ht="15">
      <c r="A752" s="90" t="s">
        <v>3868</v>
      </c>
      <c r="B752" s="89" t="s">
        <v>3876</v>
      </c>
    </row>
    <row r="753" spans="1:2" ht="15">
      <c r="A753" s="90" t="s">
        <v>3869</v>
      </c>
      <c r="B753" s="89" t="s">
        <v>3876</v>
      </c>
    </row>
    <row r="754" spans="1:2" ht="15">
      <c r="A754" s="90" t="s">
        <v>3870</v>
      </c>
      <c r="B754" s="89" t="s">
        <v>3877</v>
      </c>
    </row>
    <row r="755" spans="1:2" ht="15">
      <c r="A755" s="90" t="s">
        <v>3871</v>
      </c>
      <c r="B755" s="89" t="s">
        <v>3877</v>
      </c>
    </row>
    <row r="756" spans="1:2" ht="15">
      <c r="A756" s="90" t="s">
        <v>3872</v>
      </c>
      <c r="B756" s="89" t="s">
        <v>3877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FB66-A9F7-4B1F-A84C-FBDA77D02F61}">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3878</v>
      </c>
      <c r="B2" s="121" t="s">
        <v>3879</v>
      </c>
      <c r="C2" s="54" t="s">
        <v>3880</v>
      </c>
    </row>
    <row r="3" spans="1:3" ht="15">
      <c r="A3" s="120" t="s">
        <v>2061</v>
      </c>
      <c r="B3" s="120" t="s">
        <v>2061</v>
      </c>
      <c r="C3" s="35">
        <v>47</v>
      </c>
    </row>
    <row r="4" spans="1:3" ht="15">
      <c r="A4" s="120" t="s">
        <v>2062</v>
      </c>
      <c r="B4" s="120" t="s">
        <v>2061</v>
      </c>
      <c r="C4" s="35">
        <v>1</v>
      </c>
    </row>
    <row r="5" spans="1:3" ht="15">
      <c r="A5" s="120" t="s">
        <v>2062</v>
      </c>
      <c r="B5" s="120" t="s">
        <v>2062</v>
      </c>
      <c r="C5" s="35">
        <v>48</v>
      </c>
    </row>
    <row r="6" spans="1:3" ht="15">
      <c r="A6" s="120" t="s">
        <v>2062</v>
      </c>
      <c r="B6" s="120" t="s">
        <v>2063</v>
      </c>
      <c r="C6" s="35">
        <v>1</v>
      </c>
    </row>
    <row r="7" spans="1:3" ht="15">
      <c r="A7" s="120" t="s">
        <v>2062</v>
      </c>
      <c r="B7" s="120" t="s">
        <v>2066</v>
      </c>
      <c r="C7" s="35">
        <v>1</v>
      </c>
    </row>
    <row r="8" spans="1:3" ht="15">
      <c r="A8" s="120" t="s">
        <v>2063</v>
      </c>
      <c r="B8" s="120" t="s">
        <v>2062</v>
      </c>
      <c r="C8" s="35">
        <v>1</v>
      </c>
    </row>
    <row r="9" spans="1:3" ht="15">
      <c r="A9" s="120" t="s">
        <v>2063</v>
      </c>
      <c r="B9" s="120" t="s">
        <v>2063</v>
      </c>
      <c r="C9" s="35">
        <v>47</v>
      </c>
    </row>
    <row r="10" spans="1:3" ht="15">
      <c r="A10" s="120" t="s">
        <v>2064</v>
      </c>
      <c r="B10" s="120" t="s">
        <v>2061</v>
      </c>
      <c r="C10" s="35">
        <v>5</v>
      </c>
    </row>
    <row r="11" spans="1:3" ht="15">
      <c r="A11" s="120" t="s">
        <v>2064</v>
      </c>
      <c r="B11" s="120" t="s">
        <v>2062</v>
      </c>
      <c r="C11" s="35">
        <v>3</v>
      </c>
    </row>
    <row r="12" spans="1:3" ht="15">
      <c r="A12" s="120" t="s">
        <v>2064</v>
      </c>
      <c r="B12" s="120" t="s">
        <v>2063</v>
      </c>
      <c r="C12" s="35">
        <v>1</v>
      </c>
    </row>
    <row r="13" spans="1:3" ht="15">
      <c r="A13" s="120" t="s">
        <v>2064</v>
      </c>
      <c r="B13" s="120" t="s">
        <v>2064</v>
      </c>
      <c r="C13" s="35">
        <v>33</v>
      </c>
    </row>
    <row r="14" spans="1:3" ht="15">
      <c r="A14" s="120" t="s">
        <v>2065</v>
      </c>
      <c r="B14" s="120" t="s">
        <v>2061</v>
      </c>
      <c r="C14" s="35">
        <v>4</v>
      </c>
    </row>
    <row r="15" spans="1:3" ht="15">
      <c r="A15" s="120" t="s">
        <v>2065</v>
      </c>
      <c r="B15" s="120" t="s">
        <v>2063</v>
      </c>
      <c r="C15" s="35">
        <v>6</v>
      </c>
    </row>
    <row r="16" spans="1:3" ht="15">
      <c r="A16" s="120" t="s">
        <v>2065</v>
      </c>
      <c r="B16" s="120" t="s">
        <v>2064</v>
      </c>
      <c r="C16" s="35">
        <v>2</v>
      </c>
    </row>
    <row r="17" spans="1:3" ht="15">
      <c r="A17" s="120" t="s">
        <v>2065</v>
      </c>
      <c r="B17" s="120" t="s">
        <v>2065</v>
      </c>
      <c r="C17" s="35">
        <v>26</v>
      </c>
    </row>
    <row r="18" spans="1:3" ht="15">
      <c r="A18" s="120" t="s">
        <v>2066</v>
      </c>
      <c r="B18" s="120" t="s">
        <v>2061</v>
      </c>
      <c r="C18" s="35">
        <v>3</v>
      </c>
    </row>
    <row r="19" spans="1:3" ht="15">
      <c r="A19" s="120" t="s">
        <v>2066</v>
      </c>
      <c r="B19" s="120" t="s">
        <v>2062</v>
      </c>
      <c r="C19" s="35">
        <v>4</v>
      </c>
    </row>
    <row r="20" spans="1:3" ht="15">
      <c r="A20" s="120" t="s">
        <v>2066</v>
      </c>
      <c r="B20" s="120" t="s">
        <v>2066</v>
      </c>
      <c r="C20" s="35">
        <v>14</v>
      </c>
    </row>
    <row r="21" spans="1:3" ht="15">
      <c r="A21" s="120" t="s">
        <v>2067</v>
      </c>
      <c r="B21" s="120" t="s">
        <v>2067</v>
      </c>
      <c r="C21" s="35">
        <v>13</v>
      </c>
    </row>
    <row r="22" spans="1:3" ht="15">
      <c r="A22" s="120" t="s">
        <v>2068</v>
      </c>
      <c r="B22" s="120" t="s">
        <v>2068</v>
      </c>
      <c r="C22" s="35">
        <v>9</v>
      </c>
    </row>
    <row r="23" spans="1:3" ht="15">
      <c r="A23" s="120" t="s">
        <v>2069</v>
      </c>
      <c r="B23" s="120" t="s">
        <v>2069</v>
      </c>
      <c r="C23" s="35">
        <v>4</v>
      </c>
    </row>
    <row r="24" spans="1:3" ht="15">
      <c r="A24" s="120" t="s">
        <v>2070</v>
      </c>
      <c r="B24" s="120" t="s">
        <v>2070</v>
      </c>
      <c r="C24" s="35">
        <v>2</v>
      </c>
    </row>
    <row r="25" spans="1:3" ht="15">
      <c r="A25" s="120" t="s">
        <v>2071</v>
      </c>
      <c r="B25" s="120" t="s">
        <v>2071</v>
      </c>
      <c r="C25" s="35">
        <v>3</v>
      </c>
    </row>
    <row r="26" spans="1:3" ht="15">
      <c r="A26" s="120" t="s">
        <v>2072</v>
      </c>
      <c r="B26" s="120" t="s">
        <v>2072</v>
      </c>
      <c r="C26" s="35">
        <v>2</v>
      </c>
    </row>
    <row r="27" spans="1:3" ht="15">
      <c r="A27" s="120" t="s">
        <v>2073</v>
      </c>
      <c r="B27" s="120" t="s">
        <v>2073</v>
      </c>
      <c r="C27" s="35">
        <v>2</v>
      </c>
    </row>
    <row r="28" spans="1:3" ht="15">
      <c r="A28" s="120" t="s">
        <v>2074</v>
      </c>
      <c r="B28" s="120" t="s">
        <v>2074</v>
      </c>
      <c r="C28" s="35">
        <v>2</v>
      </c>
    </row>
    <row r="29" spans="1:3" ht="15">
      <c r="A29" s="120" t="s">
        <v>2075</v>
      </c>
      <c r="B29" s="120" t="s">
        <v>2075</v>
      </c>
      <c r="C29" s="35">
        <v>2</v>
      </c>
    </row>
    <row r="30" spans="1:3" ht="15">
      <c r="A30" s="120" t="s">
        <v>2076</v>
      </c>
      <c r="B30" s="120" t="s">
        <v>2076</v>
      </c>
      <c r="C30" s="35">
        <v>2</v>
      </c>
    </row>
    <row r="31" spans="1:3" ht="15">
      <c r="A31" s="120" t="s">
        <v>2077</v>
      </c>
      <c r="B31" s="120" t="s">
        <v>2077</v>
      </c>
      <c r="C31" s="35">
        <v>1</v>
      </c>
    </row>
    <row r="32" spans="1:3" ht="15">
      <c r="A32" s="120" t="s">
        <v>2078</v>
      </c>
      <c r="B32" s="120" t="s">
        <v>2078</v>
      </c>
      <c r="C32" s="35">
        <v>1</v>
      </c>
    </row>
    <row r="33" spans="1:3" ht="15">
      <c r="A33" s="120" t="s">
        <v>2079</v>
      </c>
      <c r="B33" s="120" t="s">
        <v>2079</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CC06-41E9-411A-B586-066D1A9F24D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3900</v>
      </c>
      <c r="B1" s="13" t="s">
        <v>17</v>
      </c>
    </row>
    <row r="2" spans="1:2" ht="15">
      <c r="A2" s="89" t="s">
        <v>3901</v>
      </c>
      <c r="B2" s="89" t="s">
        <v>3907</v>
      </c>
    </row>
    <row r="3" spans="1:2" ht="15">
      <c r="A3" s="90" t="s">
        <v>3902</v>
      </c>
      <c r="B3" s="89" t="s">
        <v>3908</v>
      </c>
    </row>
    <row r="4" spans="1:2" ht="15">
      <c r="A4" s="90" t="s">
        <v>3903</v>
      </c>
      <c r="B4" s="89" t="s">
        <v>3909</v>
      </c>
    </row>
    <row r="5" spans="1:2" ht="15">
      <c r="A5" s="90" t="s">
        <v>3904</v>
      </c>
      <c r="B5" s="89" t="s">
        <v>3908</v>
      </c>
    </row>
    <row r="6" spans="1:2" ht="15">
      <c r="A6" s="90" t="s">
        <v>3905</v>
      </c>
      <c r="B6" s="89" t="s">
        <v>3910</v>
      </c>
    </row>
    <row r="7" spans="1:2" ht="15">
      <c r="A7" s="90" t="s">
        <v>3906</v>
      </c>
      <c r="B7" s="89" t="s">
        <v>3908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34DE3-FEAE-46F3-9419-3350043411A7}">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3911</v>
      </c>
      <c r="B1" s="13" t="s">
        <v>32</v>
      </c>
    </row>
    <row r="2" spans="1:2" ht="15">
      <c r="A2" s="113" t="s">
        <v>341</v>
      </c>
      <c r="B2" s="89">
        <v>50</v>
      </c>
    </row>
    <row r="3" spans="1:2" ht="15">
      <c r="A3" s="116" t="s">
        <v>384</v>
      </c>
      <c r="B3" s="89">
        <v>42</v>
      </c>
    </row>
    <row r="4" spans="1:2" ht="15">
      <c r="A4" s="116" t="s">
        <v>403</v>
      </c>
      <c r="B4" s="89">
        <v>30</v>
      </c>
    </row>
    <row r="5" spans="1:2" ht="15">
      <c r="A5" s="116" t="s">
        <v>416</v>
      </c>
      <c r="B5" s="89">
        <v>22</v>
      </c>
    </row>
    <row r="6" spans="1:2" ht="15">
      <c r="A6" s="116" t="s">
        <v>349</v>
      </c>
      <c r="B6" s="89">
        <v>13</v>
      </c>
    </row>
    <row r="7" spans="1:2" ht="15">
      <c r="A7" s="116" t="s">
        <v>400</v>
      </c>
      <c r="B7" s="89">
        <v>9</v>
      </c>
    </row>
    <row r="8" spans="1:2" ht="15">
      <c r="A8" s="116" t="s">
        <v>346</v>
      </c>
      <c r="B8" s="89">
        <v>7</v>
      </c>
    </row>
    <row r="9" spans="1:2" ht="15">
      <c r="A9" s="116" t="s">
        <v>444</v>
      </c>
      <c r="B9" s="89">
        <v>3</v>
      </c>
    </row>
    <row r="10" spans="1:2" ht="15">
      <c r="A10" s="116" t="s">
        <v>356</v>
      </c>
      <c r="B10" s="89">
        <v>3</v>
      </c>
    </row>
    <row r="11" spans="1:2" ht="15">
      <c r="A11" s="116" t="s">
        <v>369</v>
      </c>
      <c r="B11" s="8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6E07A-5DBA-4011-A9BA-CED4FEF8537A}">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3912</v>
      </c>
      <c r="B1" s="13" t="s">
        <v>3923</v>
      </c>
      <c r="C1" s="13" t="s">
        <v>3924</v>
      </c>
      <c r="D1" s="13" t="s">
        <v>3926</v>
      </c>
      <c r="E1" s="13" t="s">
        <v>3925</v>
      </c>
      <c r="F1" s="13" t="s">
        <v>3928</v>
      </c>
      <c r="G1" s="13" t="s">
        <v>3927</v>
      </c>
      <c r="H1" s="13" t="s">
        <v>3933</v>
      </c>
      <c r="I1" s="13" t="s">
        <v>3932</v>
      </c>
      <c r="J1" s="13" t="s">
        <v>3935</v>
      </c>
      <c r="K1" s="13" t="s">
        <v>3934</v>
      </c>
      <c r="L1" s="13" t="s">
        <v>3937</v>
      </c>
      <c r="M1" s="89" t="s">
        <v>3936</v>
      </c>
      <c r="N1" s="89" t="s">
        <v>3939</v>
      </c>
      <c r="O1" s="13" t="s">
        <v>3938</v>
      </c>
      <c r="P1" s="13" t="s">
        <v>3941</v>
      </c>
      <c r="Q1" s="89" t="s">
        <v>3940</v>
      </c>
      <c r="R1" s="89" t="s">
        <v>3943</v>
      </c>
      <c r="S1" s="89" t="s">
        <v>3942</v>
      </c>
      <c r="T1" s="89" t="s">
        <v>3945</v>
      </c>
      <c r="U1" s="89" t="s">
        <v>3944</v>
      </c>
      <c r="V1" s="89" t="s">
        <v>3946</v>
      </c>
    </row>
    <row r="2" spans="1:22" ht="15">
      <c r="A2" s="99" t="s">
        <v>3913</v>
      </c>
      <c r="B2" s="89">
        <v>9</v>
      </c>
      <c r="C2" s="99" t="s">
        <v>3916</v>
      </c>
      <c r="D2" s="89">
        <v>2</v>
      </c>
      <c r="E2" s="99" t="s">
        <v>3921</v>
      </c>
      <c r="F2" s="89">
        <v>1</v>
      </c>
      <c r="G2" s="99" t="s">
        <v>3920</v>
      </c>
      <c r="H2" s="89">
        <v>1</v>
      </c>
      <c r="I2" s="99" t="s">
        <v>3915</v>
      </c>
      <c r="J2" s="89">
        <v>1</v>
      </c>
      <c r="K2" s="99" t="s">
        <v>3913</v>
      </c>
      <c r="L2" s="89">
        <v>9</v>
      </c>
      <c r="M2" s="89"/>
      <c r="N2" s="89"/>
      <c r="O2" s="99" t="s">
        <v>3915</v>
      </c>
      <c r="P2" s="89">
        <v>2</v>
      </c>
      <c r="Q2" s="89"/>
      <c r="R2" s="89"/>
      <c r="S2" s="89"/>
      <c r="T2" s="89"/>
      <c r="U2" s="89"/>
      <c r="V2" s="89"/>
    </row>
    <row r="3" spans="1:22" ht="15">
      <c r="A3" s="95" t="s">
        <v>3914</v>
      </c>
      <c r="B3" s="89">
        <v>6</v>
      </c>
      <c r="C3" s="89"/>
      <c r="D3" s="89"/>
      <c r="E3" s="89"/>
      <c r="F3" s="89"/>
      <c r="G3" s="99" t="s">
        <v>3922</v>
      </c>
      <c r="H3" s="89">
        <v>1</v>
      </c>
      <c r="I3" s="89"/>
      <c r="J3" s="89"/>
      <c r="K3" s="89"/>
      <c r="L3" s="89"/>
      <c r="M3" s="89"/>
      <c r="N3" s="89"/>
      <c r="O3" s="99" t="s">
        <v>3919</v>
      </c>
      <c r="P3" s="89">
        <v>1</v>
      </c>
      <c r="Q3" s="89"/>
      <c r="R3" s="89"/>
      <c r="S3" s="89"/>
      <c r="T3" s="89"/>
      <c r="U3" s="89"/>
      <c r="V3" s="89"/>
    </row>
    <row r="4" spans="1:22" ht="15">
      <c r="A4" s="95" t="s">
        <v>3915</v>
      </c>
      <c r="B4" s="89">
        <v>3</v>
      </c>
      <c r="C4" s="89"/>
      <c r="D4" s="89"/>
      <c r="E4" s="89"/>
      <c r="F4" s="89"/>
      <c r="G4" s="99" t="s">
        <v>3929</v>
      </c>
      <c r="H4" s="89">
        <v>1</v>
      </c>
      <c r="I4" s="89"/>
      <c r="J4" s="89"/>
      <c r="K4" s="89"/>
      <c r="L4" s="89"/>
      <c r="M4" s="89"/>
      <c r="N4" s="89"/>
      <c r="O4" s="99" t="s">
        <v>3917</v>
      </c>
      <c r="P4" s="89">
        <v>1</v>
      </c>
      <c r="Q4" s="89"/>
      <c r="R4" s="89"/>
      <c r="S4" s="89"/>
      <c r="T4" s="89"/>
      <c r="U4" s="89"/>
      <c r="V4" s="89"/>
    </row>
    <row r="5" spans="1:22" ht="15">
      <c r="A5" s="95" t="s">
        <v>3916</v>
      </c>
      <c r="B5" s="89">
        <v>2</v>
      </c>
      <c r="C5" s="89"/>
      <c r="D5" s="89"/>
      <c r="E5" s="89"/>
      <c r="F5" s="89"/>
      <c r="G5" s="99" t="s">
        <v>3930</v>
      </c>
      <c r="H5" s="89">
        <v>1</v>
      </c>
      <c r="I5" s="89"/>
      <c r="J5" s="89"/>
      <c r="K5" s="89"/>
      <c r="L5" s="89"/>
      <c r="M5" s="89"/>
      <c r="N5" s="89"/>
      <c r="O5" s="99" t="s">
        <v>3918</v>
      </c>
      <c r="P5" s="89">
        <v>1</v>
      </c>
      <c r="Q5" s="89"/>
      <c r="R5" s="89"/>
      <c r="S5" s="89"/>
      <c r="T5" s="89"/>
      <c r="U5" s="89"/>
      <c r="V5" s="89"/>
    </row>
    <row r="6" spans="1:22" ht="15">
      <c r="A6" s="95" t="s">
        <v>3917</v>
      </c>
      <c r="B6" s="89">
        <v>1</v>
      </c>
      <c r="C6" s="89"/>
      <c r="D6" s="89"/>
      <c r="E6" s="89"/>
      <c r="F6" s="89"/>
      <c r="G6" s="99" t="s">
        <v>3931</v>
      </c>
      <c r="H6" s="89">
        <v>1</v>
      </c>
      <c r="I6" s="89"/>
      <c r="J6" s="89"/>
      <c r="K6" s="89"/>
      <c r="L6" s="89"/>
      <c r="M6" s="89"/>
      <c r="N6" s="89"/>
      <c r="O6" s="99" t="s">
        <v>3914</v>
      </c>
      <c r="P6" s="89">
        <v>1</v>
      </c>
      <c r="Q6" s="89"/>
      <c r="R6" s="89"/>
      <c r="S6" s="89"/>
      <c r="T6" s="89"/>
      <c r="U6" s="89"/>
      <c r="V6" s="89"/>
    </row>
    <row r="7" spans="1:22" ht="15">
      <c r="A7" s="95" t="s">
        <v>3918</v>
      </c>
      <c r="B7" s="89">
        <v>1</v>
      </c>
      <c r="C7" s="89"/>
      <c r="D7" s="89"/>
      <c r="E7" s="89"/>
      <c r="F7" s="89"/>
      <c r="G7" s="89"/>
      <c r="H7" s="89"/>
      <c r="I7" s="89"/>
      <c r="J7" s="89"/>
      <c r="K7" s="89"/>
      <c r="L7" s="89"/>
      <c r="M7" s="89"/>
      <c r="N7" s="89"/>
      <c r="O7" s="89"/>
      <c r="P7" s="89"/>
      <c r="Q7" s="89"/>
      <c r="R7" s="89"/>
      <c r="S7" s="89"/>
      <c r="T7" s="89"/>
      <c r="U7" s="89"/>
      <c r="V7" s="89"/>
    </row>
    <row r="8" spans="1:22" ht="15">
      <c r="A8" s="95" t="s">
        <v>3919</v>
      </c>
      <c r="B8" s="89">
        <v>1</v>
      </c>
      <c r="C8" s="89"/>
      <c r="D8" s="89"/>
      <c r="E8" s="89"/>
      <c r="F8" s="89"/>
      <c r="G8" s="89"/>
      <c r="H8" s="89"/>
      <c r="I8" s="89"/>
      <c r="J8" s="89"/>
      <c r="K8" s="89"/>
      <c r="L8" s="89"/>
      <c r="M8" s="89"/>
      <c r="N8" s="89"/>
      <c r="O8" s="89"/>
      <c r="P8" s="89"/>
      <c r="Q8" s="89"/>
      <c r="R8" s="89"/>
      <c r="S8" s="89"/>
      <c r="T8" s="89"/>
      <c r="U8" s="89"/>
      <c r="V8" s="89"/>
    </row>
    <row r="9" spans="1:22" ht="15">
      <c r="A9" s="95" t="s">
        <v>3920</v>
      </c>
      <c r="B9" s="89">
        <v>1</v>
      </c>
      <c r="C9" s="89"/>
      <c r="D9" s="89"/>
      <c r="E9" s="89"/>
      <c r="F9" s="89"/>
      <c r="G9" s="89"/>
      <c r="H9" s="89"/>
      <c r="I9" s="89"/>
      <c r="J9" s="89"/>
      <c r="K9" s="89"/>
      <c r="L9" s="89"/>
      <c r="M9" s="89"/>
      <c r="N9" s="89"/>
      <c r="O9" s="89"/>
      <c r="P9" s="89"/>
      <c r="Q9" s="89"/>
      <c r="R9" s="89"/>
      <c r="S9" s="89"/>
      <c r="T9" s="89"/>
      <c r="U9" s="89"/>
      <c r="V9" s="89"/>
    </row>
    <row r="10" spans="1:22" ht="15">
      <c r="A10" s="95" t="s">
        <v>3921</v>
      </c>
      <c r="B10" s="89">
        <v>1</v>
      </c>
      <c r="C10" s="89"/>
      <c r="D10" s="89"/>
      <c r="E10" s="89"/>
      <c r="F10" s="89"/>
      <c r="G10" s="89"/>
      <c r="H10" s="89"/>
      <c r="I10" s="89"/>
      <c r="J10" s="89"/>
      <c r="K10" s="89"/>
      <c r="L10" s="89"/>
      <c r="M10" s="89"/>
      <c r="N10" s="89"/>
      <c r="O10" s="89"/>
      <c r="P10" s="89"/>
      <c r="Q10" s="89"/>
      <c r="R10" s="89"/>
      <c r="S10" s="89"/>
      <c r="T10" s="89"/>
      <c r="U10" s="89"/>
      <c r="V10" s="89"/>
    </row>
    <row r="11" spans="1:22" ht="15">
      <c r="A11" s="95" t="s">
        <v>3922</v>
      </c>
      <c r="B11" s="89">
        <v>1</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3950</v>
      </c>
      <c r="B14" s="13" t="s">
        <v>3923</v>
      </c>
      <c r="C14" s="13" t="s">
        <v>3951</v>
      </c>
      <c r="D14" s="13" t="s">
        <v>3926</v>
      </c>
      <c r="E14" s="13" t="s">
        <v>3952</v>
      </c>
      <c r="F14" s="13" t="s">
        <v>3928</v>
      </c>
      <c r="G14" s="13" t="s">
        <v>3953</v>
      </c>
      <c r="H14" s="13" t="s">
        <v>3933</v>
      </c>
      <c r="I14" s="13" t="s">
        <v>3954</v>
      </c>
      <c r="J14" s="13" t="s">
        <v>3935</v>
      </c>
      <c r="K14" s="13" t="s">
        <v>3955</v>
      </c>
      <c r="L14" s="13" t="s">
        <v>3937</v>
      </c>
      <c r="M14" s="89" t="s">
        <v>3956</v>
      </c>
      <c r="N14" s="89" t="s">
        <v>3939</v>
      </c>
      <c r="O14" s="13" t="s">
        <v>3957</v>
      </c>
      <c r="P14" s="13" t="s">
        <v>3941</v>
      </c>
      <c r="Q14" s="89" t="s">
        <v>3958</v>
      </c>
      <c r="R14" s="89" t="s">
        <v>3943</v>
      </c>
      <c r="S14" s="89" t="s">
        <v>3959</v>
      </c>
      <c r="T14" s="89" t="s">
        <v>3945</v>
      </c>
      <c r="U14" s="89" t="s">
        <v>3960</v>
      </c>
      <c r="V14" s="89" t="s">
        <v>3946</v>
      </c>
    </row>
    <row r="15" spans="1:22" ht="15">
      <c r="A15" s="89" t="s">
        <v>554</v>
      </c>
      <c r="B15" s="89">
        <v>9</v>
      </c>
      <c r="C15" s="89" t="s">
        <v>552</v>
      </c>
      <c r="D15" s="89">
        <v>2</v>
      </c>
      <c r="E15" s="89" t="s">
        <v>552</v>
      </c>
      <c r="F15" s="89">
        <v>1</v>
      </c>
      <c r="G15" s="89" t="s">
        <v>548</v>
      </c>
      <c r="H15" s="89">
        <v>2</v>
      </c>
      <c r="I15" s="89" t="s">
        <v>549</v>
      </c>
      <c r="J15" s="89">
        <v>1</v>
      </c>
      <c r="K15" s="89" t="s">
        <v>554</v>
      </c>
      <c r="L15" s="89">
        <v>9</v>
      </c>
      <c r="M15" s="89"/>
      <c r="N15" s="89"/>
      <c r="O15" s="89" t="s">
        <v>549</v>
      </c>
      <c r="P15" s="89">
        <v>3</v>
      </c>
      <c r="Q15" s="89"/>
      <c r="R15" s="89"/>
      <c r="S15" s="89"/>
      <c r="T15" s="89"/>
      <c r="U15" s="89"/>
      <c r="V15" s="89"/>
    </row>
    <row r="16" spans="1:22" ht="15">
      <c r="A16" s="90" t="s">
        <v>549</v>
      </c>
      <c r="B16" s="89">
        <v>9</v>
      </c>
      <c r="C16" s="89"/>
      <c r="D16" s="89"/>
      <c r="E16" s="89"/>
      <c r="F16" s="89"/>
      <c r="G16" s="89" t="s">
        <v>552</v>
      </c>
      <c r="H16" s="89">
        <v>1</v>
      </c>
      <c r="I16" s="89"/>
      <c r="J16" s="89"/>
      <c r="K16" s="89"/>
      <c r="L16" s="89"/>
      <c r="M16" s="89"/>
      <c r="N16" s="89"/>
      <c r="O16" s="89" t="s">
        <v>553</v>
      </c>
      <c r="P16" s="89">
        <v>3</v>
      </c>
      <c r="Q16" s="89"/>
      <c r="R16" s="89"/>
      <c r="S16" s="89"/>
      <c r="T16" s="89"/>
      <c r="U16" s="89"/>
      <c r="V16" s="89"/>
    </row>
    <row r="17" spans="1:22" ht="15">
      <c r="A17" s="90" t="s">
        <v>552</v>
      </c>
      <c r="B17" s="89">
        <v>4</v>
      </c>
      <c r="C17" s="89"/>
      <c r="D17" s="89"/>
      <c r="E17" s="89"/>
      <c r="F17" s="89"/>
      <c r="G17" s="89" t="s">
        <v>551</v>
      </c>
      <c r="H17" s="89">
        <v>1</v>
      </c>
      <c r="I17" s="89"/>
      <c r="J17" s="89"/>
      <c r="K17" s="89"/>
      <c r="L17" s="89"/>
      <c r="M17" s="89"/>
      <c r="N17" s="89"/>
      <c r="O17" s="89"/>
      <c r="P17" s="89"/>
      <c r="Q17" s="89"/>
      <c r="R17" s="89"/>
      <c r="S17" s="89"/>
      <c r="T17" s="89"/>
      <c r="U17" s="89"/>
      <c r="V17" s="89"/>
    </row>
    <row r="18" spans="1:22" ht="15">
      <c r="A18" s="90" t="s">
        <v>553</v>
      </c>
      <c r="B18" s="89">
        <v>3</v>
      </c>
      <c r="C18" s="89"/>
      <c r="D18" s="89"/>
      <c r="E18" s="89"/>
      <c r="F18" s="89"/>
      <c r="G18" s="89" t="s">
        <v>550</v>
      </c>
      <c r="H18" s="89">
        <v>1</v>
      </c>
      <c r="I18" s="89"/>
      <c r="J18" s="89"/>
      <c r="K18" s="89"/>
      <c r="L18" s="89"/>
      <c r="M18" s="89"/>
      <c r="N18" s="89"/>
      <c r="O18" s="89"/>
      <c r="P18" s="89"/>
      <c r="Q18" s="89"/>
      <c r="R18" s="89"/>
      <c r="S18" s="89"/>
      <c r="T18" s="89"/>
      <c r="U18" s="89"/>
      <c r="V18" s="89"/>
    </row>
    <row r="19" spans="1:22" ht="15">
      <c r="A19" s="90" t="s">
        <v>548</v>
      </c>
      <c r="B19" s="89">
        <v>2</v>
      </c>
      <c r="C19" s="89"/>
      <c r="D19" s="89"/>
      <c r="E19" s="89"/>
      <c r="F19" s="89"/>
      <c r="G19" s="89"/>
      <c r="H19" s="89"/>
      <c r="I19" s="89"/>
      <c r="J19" s="89"/>
      <c r="K19" s="89"/>
      <c r="L19" s="89"/>
      <c r="M19" s="89"/>
      <c r="N19" s="89"/>
      <c r="O19" s="89"/>
      <c r="P19" s="89"/>
      <c r="Q19" s="89"/>
      <c r="R19" s="89"/>
      <c r="S19" s="89"/>
      <c r="T19" s="89"/>
      <c r="U19" s="89"/>
      <c r="V19" s="89"/>
    </row>
    <row r="20" spans="1:22" ht="15">
      <c r="A20" s="90" t="s">
        <v>551</v>
      </c>
      <c r="B20" s="89">
        <v>1</v>
      </c>
      <c r="C20" s="89"/>
      <c r="D20" s="89"/>
      <c r="E20" s="89"/>
      <c r="F20" s="89"/>
      <c r="G20" s="89"/>
      <c r="H20" s="89"/>
      <c r="I20" s="89"/>
      <c r="J20" s="89"/>
      <c r="K20" s="89"/>
      <c r="L20" s="89"/>
      <c r="M20" s="89"/>
      <c r="N20" s="89"/>
      <c r="O20" s="89"/>
      <c r="P20" s="89"/>
      <c r="Q20" s="89"/>
      <c r="R20" s="89"/>
      <c r="S20" s="89"/>
      <c r="T20" s="89"/>
      <c r="U20" s="89"/>
      <c r="V20" s="89"/>
    </row>
    <row r="21" spans="1:22" ht="15">
      <c r="A21" s="90" t="s">
        <v>550</v>
      </c>
      <c r="B21" s="89">
        <v>1</v>
      </c>
      <c r="C21" s="89"/>
      <c r="D21" s="89"/>
      <c r="E21" s="89"/>
      <c r="F21" s="89"/>
      <c r="G21" s="89"/>
      <c r="H21" s="89"/>
      <c r="I21" s="89"/>
      <c r="J21" s="89"/>
      <c r="K21" s="89"/>
      <c r="L21" s="89"/>
      <c r="M21" s="89"/>
      <c r="N21" s="89"/>
      <c r="O21" s="89"/>
      <c r="P21" s="89"/>
      <c r="Q21" s="89"/>
      <c r="R21" s="89"/>
      <c r="S21" s="89"/>
      <c r="T21" s="89"/>
      <c r="U21" s="89"/>
      <c r="V21" s="89"/>
    </row>
    <row r="24" spans="1:22" ht="14.4" customHeight="1">
      <c r="A24" s="13" t="s">
        <v>3964</v>
      </c>
      <c r="B24" s="13" t="s">
        <v>3923</v>
      </c>
      <c r="C24" s="13" t="s">
        <v>3967</v>
      </c>
      <c r="D24" s="13" t="s">
        <v>3926</v>
      </c>
      <c r="E24" s="13" t="s">
        <v>3968</v>
      </c>
      <c r="F24" s="13" t="s">
        <v>3928</v>
      </c>
      <c r="G24" s="13" t="s">
        <v>3970</v>
      </c>
      <c r="H24" s="13" t="s">
        <v>3933</v>
      </c>
      <c r="I24" s="13" t="s">
        <v>3971</v>
      </c>
      <c r="J24" s="13" t="s">
        <v>3935</v>
      </c>
      <c r="K24" s="13" t="s">
        <v>3972</v>
      </c>
      <c r="L24" s="13" t="s">
        <v>3937</v>
      </c>
      <c r="M24" s="13" t="s">
        <v>3973</v>
      </c>
      <c r="N24" s="13" t="s">
        <v>3939</v>
      </c>
      <c r="O24" s="13" t="s">
        <v>3974</v>
      </c>
      <c r="P24" s="13" t="s">
        <v>3941</v>
      </c>
      <c r="Q24" s="13" t="s">
        <v>3978</v>
      </c>
      <c r="R24" s="13" t="s">
        <v>3943</v>
      </c>
      <c r="S24" s="89" t="s">
        <v>3979</v>
      </c>
      <c r="T24" s="89" t="s">
        <v>3945</v>
      </c>
      <c r="U24" s="89" t="s">
        <v>3980</v>
      </c>
      <c r="V24" s="89" t="s">
        <v>3946</v>
      </c>
    </row>
    <row r="25" spans="1:22" ht="15">
      <c r="A25" s="89" t="s">
        <v>556</v>
      </c>
      <c r="B25" s="89">
        <v>57</v>
      </c>
      <c r="C25" s="89" t="s">
        <v>556</v>
      </c>
      <c r="D25" s="89">
        <v>2</v>
      </c>
      <c r="E25" s="89" t="s">
        <v>556</v>
      </c>
      <c r="F25" s="89">
        <v>8</v>
      </c>
      <c r="G25" s="89" t="s">
        <v>564</v>
      </c>
      <c r="H25" s="89">
        <v>2</v>
      </c>
      <c r="I25" s="89" t="s">
        <v>560</v>
      </c>
      <c r="J25" s="89">
        <v>31</v>
      </c>
      <c r="K25" s="89" t="s">
        <v>556</v>
      </c>
      <c r="L25" s="89">
        <v>2</v>
      </c>
      <c r="M25" s="89" t="s">
        <v>556</v>
      </c>
      <c r="N25" s="89">
        <v>13</v>
      </c>
      <c r="O25" s="89" t="s">
        <v>2752</v>
      </c>
      <c r="P25" s="89">
        <v>2</v>
      </c>
      <c r="Q25" s="89" t="s">
        <v>556</v>
      </c>
      <c r="R25" s="89">
        <v>1</v>
      </c>
      <c r="S25" s="89"/>
      <c r="T25" s="89"/>
      <c r="U25" s="89"/>
      <c r="V25" s="89"/>
    </row>
    <row r="26" spans="1:22" ht="15">
      <c r="A26" s="90" t="s">
        <v>560</v>
      </c>
      <c r="B26" s="89">
        <v>34</v>
      </c>
      <c r="C26" s="89"/>
      <c r="D26" s="89"/>
      <c r="E26" s="89" t="s">
        <v>3172</v>
      </c>
      <c r="F26" s="89">
        <v>2</v>
      </c>
      <c r="G26" s="89" t="s">
        <v>2174</v>
      </c>
      <c r="H26" s="89">
        <v>1</v>
      </c>
      <c r="I26" s="89" t="s">
        <v>556</v>
      </c>
      <c r="J26" s="89">
        <v>29</v>
      </c>
      <c r="K26" s="89" t="s">
        <v>560</v>
      </c>
      <c r="L26" s="89">
        <v>2</v>
      </c>
      <c r="M26" s="89" t="s">
        <v>3965</v>
      </c>
      <c r="N26" s="89">
        <v>11</v>
      </c>
      <c r="O26" s="89" t="s">
        <v>2753</v>
      </c>
      <c r="P26" s="89">
        <v>2</v>
      </c>
      <c r="Q26" s="89" t="s">
        <v>3264</v>
      </c>
      <c r="R26" s="89">
        <v>1</v>
      </c>
      <c r="S26" s="89"/>
      <c r="T26" s="89"/>
      <c r="U26" s="89"/>
      <c r="V26" s="89"/>
    </row>
    <row r="27" spans="1:22" ht="15">
      <c r="A27" s="90" t="s">
        <v>2367</v>
      </c>
      <c r="B27" s="89">
        <v>29</v>
      </c>
      <c r="C27" s="89"/>
      <c r="D27" s="89"/>
      <c r="E27" s="89" t="s">
        <v>3969</v>
      </c>
      <c r="F27" s="89">
        <v>2</v>
      </c>
      <c r="G27" s="89" t="s">
        <v>2860</v>
      </c>
      <c r="H27" s="89">
        <v>1</v>
      </c>
      <c r="I27" s="89" t="s">
        <v>2367</v>
      </c>
      <c r="J27" s="89">
        <v>27</v>
      </c>
      <c r="K27" s="89" t="s">
        <v>2367</v>
      </c>
      <c r="L27" s="89">
        <v>2</v>
      </c>
      <c r="M27" s="89" t="s">
        <v>3966</v>
      </c>
      <c r="N27" s="89">
        <v>11</v>
      </c>
      <c r="O27" s="89" t="s">
        <v>2754</v>
      </c>
      <c r="P27" s="89">
        <v>2</v>
      </c>
      <c r="Q27" s="89" t="s">
        <v>3265</v>
      </c>
      <c r="R27" s="89">
        <v>1</v>
      </c>
      <c r="S27" s="89"/>
      <c r="T27" s="89"/>
      <c r="U27" s="89"/>
      <c r="V27" s="89"/>
    </row>
    <row r="28" spans="1:22" ht="15">
      <c r="A28" s="90" t="s">
        <v>3965</v>
      </c>
      <c r="B28" s="89">
        <v>11</v>
      </c>
      <c r="C28" s="89"/>
      <c r="D28" s="89"/>
      <c r="E28" s="89" t="s">
        <v>564</v>
      </c>
      <c r="F28" s="89">
        <v>1</v>
      </c>
      <c r="G28" s="89" t="s">
        <v>2861</v>
      </c>
      <c r="H28" s="89">
        <v>1</v>
      </c>
      <c r="I28" s="89" t="s">
        <v>564</v>
      </c>
      <c r="J28" s="89">
        <v>3</v>
      </c>
      <c r="K28" s="89"/>
      <c r="L28" s="89"/>
      <c r="M28" s="89"/>
      <c r="N28" s="89"/>
      <c r="O28" s="89" t="s">
        <v>2774</v>
      </c>
      <c r="P28" s="89">
        <v>1</v>
      </c>
      <c r="Q28" s="89" t="s">
        <v>3276</v>
      </c>
      <c r="R28" s="89">
        <v>1</v>
      </c>
      <c r="S28" s="89"/>
      <c r="T28" s="89"/>
      <c r="U28" s="89"/>
      <c r="V28" s="89"/>
    </row>
    <row r="29" spans="1:22" ht="15">
      <c r="A29" s="90" t="s">
        <v>3966</v>
      </c>
      <c r="B29" s="89">
        <v>11</v>
      </c>
      <c r="C29" s="89"/>
      <c r="D29" s="89"/>
      <c r="E29" s="89"/>
      <c r="F29" s="89"/>
      <c r="G29" s="89" t="s">
        <v>2107</v>
      </c>
      <c r="H29" s="89">
        <v>1</v>
      </c>
      <c r="I29" s="89" t="s">
        <v>2774</v>
      </c>
      <c r="J29" s="89">
        <v>3</v>
      </c>
      <c r="K29" s="89"/>
      <c r="L29" s="89"/>
      <c r="M29" s="89"/>
      <c r="N29" s="89"/>
      <c r="O29" s="89" t="s">
        <v>2511</v>
      </c>
      <c r="P29" s="89">
        <v>1</v>
      </c>
      <c r="Q29" s="89" t="s">
        <v>3281</v>
      </c>
      <c r="R29" s="89">
        <v>1</v>
      </c>
      <c r="S29" s="89"/>
      <c r="T29" s="89"/>
      <c r="U29" s="89"/>
      <c r="V29" s="89"/>
    </row>
    <row r="30" spans="1:22" ht="15">
      <c r="A30" s="90" t="s">
        <v>564</v>
      </c>
      <c r="B30" s="89">
        <v>6</v>
      </c>
      <c r="C30" s="89"/>
      <c r="D30" s="89"/>
      <c r="E30" s="89"/>
      <c r="F30" s="89"/>
      <c r="G30" s="89" t="s">
        <v>3016</v>
      </c>
      <c r="H30" s="89">
        <v>1</v>
      </c>
      <c r="I30" s="89" t="s">
        <v>2775</v>
      </c>
      <c r="J30" s="89">
        <v>3</v>
      </c>
      <c r="K30" s="89"/>
      <c r="L30" s="89"/>
      <c r="M30" s="89"/>
      <c r="N30" s="89"/>
      <c r="O30" s="89" t="s">
        <v>2149</v>
      </c>
      <c r="P30" s="89">
        <v>1</v>
      </c>
      <c r="Q30" s="89"/>
      <c r="R30" s="89"/>
      <c r="S30" s="89"/>
      <c r="T30" s="89"/>
      <c r="U30" s="89"/>
      <c r="V30" s="89"/>
    </row>
    <row r="31" spans="1:22" ht="15">
      <c r="A31" s="90" t="s">
        <v>2774</v>
      </c>
      <c r="B31" s="89">
        <v>4</v>
      </c>
      <c r="C31" s="89"/>
      <c r="D31" s="89"/>
      <c r="E31" s="89"/>
      <c r="F31" s="89"/>
      <c r="G31" s="89" t="s">
        <v>556</v>
      </c>
      <c r="H31" s="89">
        <v>1</v>
      </c>
      <c r="I31" s="89" t="s">
        <v>2530</v>
      </c>
      <c r="J31" s="89">
        <v>1</v>
      </c>
      <c r="K31" s="89"/>
      <c r="L31" s="89"/>
      <c r="M31" s="89"/>
      <c r="N31" s="89"/>
      <c r="O31" s="89" t="s">
        <v>566</v>
      </c>
      <c r="P31" s="89">
        <v>1</v>
      </c>
      <c r="Q31" s="89"/>
      <c r="R31" s="89"/>
      <c r="S31" s="89"/>
      <c r="T31" s="89"/>
      <c r="U31" s="89"/>
      <c r="V31" s="89"/>
    </row>
    <row r="32" spans="1:22" ht="15">
      <c r="A32" s="90" t="s">
        <v>2775</v>
      </c>
      <c r="B32" s="89">
        <v>4</v>
      </c>
      <c r="C32" s="89"/>
      <c r="D32" s="89"/>
      <c r="E32" s="89"/>
      <c r="F32" s="89"/>
      <c r="G32" s="89" t="s">
        <v>3017</v>
      </c>
      <c r="H32" s="89">
        <v>1</v>
      </c>
      <c r="I32" s="89"/>
      <c r="J32" s="89"/>
      <c r="K32" s="89"/>
      <c r="L32" s="89"/>
      <c r="M32" s="89"/>
      <c r="N32" s="89"/>
      <c r="O32" s="89" t="s">
        <v>3975</v>
      </c>
      <c r="P32" s="89">
        <v>1</v>
      </c>
      <c r="Q32" s="89"/>
      <c r="R32" s="89"/>
      <c r="S32" s="89"/>
      <c r="T32" s="89"/>
      <c r="U32" s="89"/>
      <c r="V32" s="89"/>
    </row>
    <row r="33" spans="1:22" ht="15">
      <c r="A33" s="90" t="s">
        <v>2752</v>
      </c>
      <c r="B33" s="89">
        <v>2</v>
      </c>
      <c r="C33" s="89"/>
      <c r="D33" s="89"/>
      <c r="E33" s="89"/>
      <c r="F33" s="89"/>
      <c r="G33" s="89" t="s">
        <v>3018</v>
      </c>
      <c r="H33" s="89">
        <v>1</v>
      </c>
      <c r="I33" s="89"/>
      <c r="J33" s="89"/>
      <c r="K33" s="89"/>
      <c r="L33" s="89"/>
      <c r="M33" s="89"/>
      <c r="N33" s="89"/>
      <c r="O33" s="89" t="s">
        <v>3976</v>
      </c>
      <c r="P33" s="89">
        <v>1</v>
      </c>
      <c r="Q33" s="89"/>
      <c r="R33" s="89"/>
      <c r="S33" s="89"/>
      <c r="T33" s="89"/>
      <c r="U33" s="89"/>
      <c r="V33" s="89"/>
    </row>
    <row r="34" spans="1:22" ht="15">
      <c r="A34" s="90" t="s">
        <v>2753</v>
      </c>
      <c r="B34" s="89">
        <v>2</v>
      </c>
      <c r="C34" s="89"/>
      <c r="D34" s="89"/>
      <c r="E34" s="89"/>
      <c r="F34" s="89"/>
      <c r="G34" s="89" t="s">
        <v>2775</v>
      </c>
      <c r="H34" s="89">
        <v>1</v>
      </c>
      <c r="I34" s="89"/>
      <c r="J34" s="89"/>
      <c r="K34" s="89"/>
      <c r="L34" s="89"/>
      <c r="M34" s="89"/>
      <c r="N34" s="89"/>
      <c r="O34" s="89" t="s">
        <v>3977</v>
      </c>
      <c r="P34" s="89">
        <v>1</v>
      </c>
      <c r="Q34" s="89"/>
      <c r="R34" s="89"/>
      <c r="S34" s="89"/>
      <c r="T34" s="89"/>
      <c r="U34" s="89"/>
      <c r="V34" s="89"/>
    </row>
    <row r="37" spans="1:22" ht="14.4" customHeight="1">
      <c r="A37" s="13" t="s">
        <v>3986</v>
      </c>
      <c r="B37" s="13" t="s">
        <v>3923</v>
      </c>
      <c r="C37" s="13" t="s">
        <v>3987</v>
      </c>
      <c r="D37" s="13" t="s">
        <v>3926</v>
      </c>
      <c r="E37" s="13" t="s">
        <v>3988</v>
      </c>
      <c r="F37" s="13" t="s">
        <v>3928</v>
      </c>
      <c r="G37" s="13" t="s">
        <v>3989</v>
      </c>
      <c r="H37" s="13" t="s">
        <v>3933</v>
      </c>
      <c r="I37" s="13" t="s">
        <v>3990</v>
      </c>
      <c r="J37" s="13" t="s">
        <v>3935</v>
      </c>
      <c r="K37" s="13" t="s">
        <v>3991</v>
      </c>
      <c r="L37" s="13" t="s">
        <v>3937</v>
      </c>
      <c r="M37" s="13" t="s">
        <v>3992</v>
      </c>
      <c r="N37" s="13" t="s">
        <v>3939</v>
      </c>
      <c r="O37" s="13" t="s">
        <v>3993</v>
      </c>
      <c r="P37" s="13" t="s">
        <v>3941</v>
      </c>
      <c r="Q37" s="13" t="s">
        <v>3994</v>
      </c>
      <c r="R37" s="13" t="s">
        <v>3943</v>
      </c>
      <c r="S37" s="13" t="s">
        <v>3995</v>
      </c>
      <c r="T37" s="13" t="s">
        <v>3945</v>
      </c>
      <c r="U37" s="13" t="s">
        <v>3996</v>
      </c>
      <c r="V37" s="13" t="s">
        <v>3946</v>
      </c>
    </row>
    <row r="38" spans="1:22" ht="15">
      <c r="A38" s="96" t="s">
        <v>2106</v>
      </c>
      <c r="B38" s="96">
        <v>171</v>
      </c>
      <c r="C38" s="96" t="s">
        <v>2106</v>
      </c>
      <c r="D38" s="96">
        <v>45</v>
      </c>
      <c r="E38" s="96" t="s">
        <v>2106</v>
      </c>
      <c r="F38" s="96">
        <v>35</v>
      </c>
      <c r="G38" s="96" t="s">
        <v>416</v>
      </c>
      <c r="H38" s="96">
        <v>20</v>
      </c>
      <c r="I38" s="96" t="s">
        <v>2111</v>
      </c>
      <c r="J38" s="96">
        <v>31</v>
      </c>
      <c r="K38" s="96" t="s">
        <v>2106</v>
      </c>
      <c r="L38" s="96">
        <v>21</v>
      </c>
      <c r="M38" s="96" t="s">
        <v>2106</v>
      </c>
      <c r="N38" s="96">
        <v>19</v>
      </c>
      <c r="O38" s="96" t="s">
        <v>2106</v>
      </c>
      <c r="P38" s="96">
        <v>13</v>
      </c>
      <c r="Q38" s="96" t="s">
        <v>414</v>
      </c>
      <c r="R38" s="96">
        <v>2</v>
      </c>
      <c r="S38" s="96" t="s">
        <v>444</v>
      </c>
      <c r="T38" s="96">
        <v>3</v>
      </c>
      <c r="U38" s="96" t="s">
        <v>2106</v>
      </c>
      <c r="V38" s="96">
        <v>2</v>
      </c>
    </row>
    <row r="39" spans="1:22" ht="15">
      <c r="A39" s="97" t="s">
        <v>2107</v>
      </c>
      <c r="B39" s="96">
        <v>156</v>
      </c>
      <c r="C39" s="96" t="s">
        <v>2107</v>
      </c>
      <c r="D39" s="96">
        <v>45</v>
      </c>
      <c r="E39" s="96" t="s">
        <v>2107</v>
      </c>
      <c r="F39" s="96">
        <v>35</v>
      </c>
      <c r="G39" s="96" t="s">
        <v>2106</v>
      </c>
      <c r="H39" s="96">
        <v>11</v>
      </c>
      <c r="I39" s="96" t="s">
        <v>2108</v>
      </c>
      <c r="J39" s="96">
        <v>29</v>
      </c>
      <c r="K39" s="96" t="s">
        <v>2107</v>
      </c>
      <c r="L39" s="96">
        <v>21</v>
      </c>
      <c r="M39" s="96" t="s">
        <v>2109</v>
      </c>
      <c r="N39" s="96">
        <v>14</v>
      </c>
      <c r="O39" s="96" t="s">
        <v>2107</v>
      </c>
      <c r="P39" s="96">
        <v>13</v>
      </c>
      <c r="Q39" s="96" t="s">
        <v>412</v>
      </c>
      <c r="R39" s="96">
        <v>2</v>
      </c>
      <c r="S39" s="96" t="s">
        <v>2106</v>
      </c>
      <c r="T39" s="96">
        <v>3</v>
      </c>
      <c r="U39" s="96" t="s">
        <v>2107</v>
      </c>
      <c r="V39" s="96">
        <v>2</v>
      </c>
    </row>
    <row r="40" spans="1:22" ht="15">
      <c r="A40" s="97" t="s">
        <v>2108</v>
      </c>
      <c r="B40" s="96">
        <v>57</v>
      </c>
      <c r="C40" s="96" t="s">
        <v>2112</v>
      </c>
      <c r="D40" s="96">
        <v>28</v>
      </c>
      <c r="E40" s="96" t="s">
        <v>2109</v>
      </c>
      <c r="F40" s="96">
        <v>27</v>
      </c>
      <c r="G40" s="96" t="s">
        <v>2107</v>
      </c>
      <c r="H40" s="96">
        <v>7</v>
      </c>
      <c r="I40" s="96" t="s">
        <v>2140</v>
      </c>
      <c r="J40" s="96">
        <v>27</v>
      </c>
      <c r="K40" s="96" t="s">
        <v>2157</v>
      </c>
      <c r="L40" s="96">
        <v>10</v>
      </c>
      <c r="M40" s="96" t="s">
        <v>2108</v>
      </c>
      <c r="N40" s="96">
        <v>13</v>
      </c>
      <c r="O40" s="96" t="s">
        <v>2185</v>
      </c>
      <c r="P40" s="96">
        <v>3</v>
      </c>
      <c r="Q40" s="96" t="s">
        <v>411</v>
      </c>
      <c r="R40" s="96">
        <v>2</v>
      </c>
      <c r="S40" s="96" t="s">
        <v>2107</v>
      </c>
      <c r="T40" s="96">
        <v>3</v>
      </c>
      <c r="U40" s="96" t="s">
        <v>2261</v>
      </c>
      <c r="V40" s="96">
        <v>2</v>
      </c>
    </row>
    <row r="41" spans="1:22" ht="15">
      <c r="A41" s="97" t="s">
        <v>2109</v>
      </c>
      <c r="B41" s="96">
        <v>45</v>
      </c>
      <c r="C41" s="96" t="s">
        <v>2113</v>
      </c>
      <c r="D41" s="96">
        <v>28</v>
      </c>
      <c r="E41" s="96" t="s">
        <v>2110</v>
      </c>
      <c r="F41" s="96">
        <v>26</v>
      </c>
      <c r="G41" s="96" t="s">
        <v>431</v>
      </c>
      <c r="H41" s="96">
        <v>3</v>
      </c>
      <c r="I41" s="96" t="s">
        <v>2124</v>
      </c>
      <c r="J41" s="96">
        <v>27</v>
      </c>
      <c r="K41" s="96" t="s">
        <v>2176</v>
      </c>
      <c r="L41" s="96">
        <v>9</v>
      </c>
      <c r="M41" s="96" t="s">
        <v>2159</v>
      </c>
      <c r="N41" s="96">
        <v>11</v>
      </c>
      <c r="O41" s="96" t="s">
        <v>2316</v>
      </c>
      <c r="P41" s="96">
        <v>2</v>
      </c>
      <c r="Q41" s="96"/>
      <c r="R41" s="96"/>
      <c r="S41" s="96" t="s">
        <v>2180</v>
      </c>
      <c r="T41" s="96">
        <v>3</v>
      </c>
      <c r="U41" s="96"/>
      <c r="V41" s="96"/>
    </row>
    <row r="42" spans="1:22" ht="15">
      <c r="A42" s="97" t="s">
        <v>2110</v>
      </c>
      <c r="B42" s="96">
        <v>35</v>
      </c>
      <c r="C42" s="96" t="s">
        <v>2150</v>
      </c>
      <c r="D42" s="96">
        <v>16</v>
      </c>
      <c r="E42" s="96" t="s">
        <v>2125</v>
      </c>
      <c r="F42" s="96">
        <v>26</v>
      </c>
      <c r="G42" s="96" t="s">
        <v>434</v>
      </c>
      <c r="H42" s="96">
        <v>3</v>
      </c>
      <c r="I42" s="96" t="s">
        <v>2132</v>
      </c>
      <c r="J42" s="96">
        <v>27</v>
      </c>
      <c r="K42" s="96" t="s">
        <v>2175</v>
      </c>
      <c r="L42" s="96">
        <v>9</v>
      </c>
      <c r="M42" s="96" t="s">
        <v>2160</v>
      </c>
      <c r="N42" s="96">
        <v>11</v>
      </c>
      <c r="O42" s="96" t="s">
        <v>2303</v>
      </c>
      <c r="P42" s="96">
        <v>2</v>
      </c>
      <c r="Q42" s="96"/>
      <c r="R42" s="96"/>
      <c r="S42" s="96" t="s">
        <v>2254</v>
      </c>
      <c r="T42" s="96">
        <v>2</v>
      </c>
      <c r="U42" s="96"/>
      <c r="V42" s="96"/>
    </row>
    <row r="43" spans="1:22" ht="15">
      <c r="A43" s="97" t="s">
        <v>2111</v>
      </c>
      <c r="B43" s="96">
        <v>34</v>
      </c>
      <c r="C43" s="96" t="s">
        <v>2151</v>
      </c>
      <c r="D43" s="96">
        <v>16</v>
      </c>
      <c r="E43" s="96" t="s">
        <v>2126</v>
      </c>
      <c r="F43" s="96">
        <v>26</v>
      </c>
      <c r="G43" s="96" t="s">
        <v>430</v>
      </c>
      <c r="H43" s="96">
        <v>3</v>
      </c>
      <c r="I43" s="96" t="s">
        <v>2141</v>
      </c>
      <c r="J43" s="96">
        <v>27</v>
      </c>
      <c r="K43" s="96" t="s">
        <v>2177</v>
      </c>
      <c r="L43" s="96">
        <v>9</v>
      </c>
      <c r="M43" s="96" t="s">
        <v>2161</v>
      </c>
      <c r="N43" s="96">
        <v>11</v>
      </c>
      <c r="O43" s="96" t="s">
        <v>2217</v>
      </c>
      <c r="P43" s="96">
        <v>2</v>
      </c>
      <c r="Q43" s="96"/>
      <c r="R43" s="96"/>
      <c r="S43" s="96" t="s">
        <v>2184</v>
      </c>
      <c r="T43" s="96">
        <v>2</v>
      </c>
      <c r="U43" s="96"/>
      <c r="V43" s="96"/>
    </row>
    <row r="44" spans="1:22" ht="15">
      <c r="A44" s="97" t="s">
        <v>2112</v>
      </c>
      <c r="B44" s="96">
        <v>34</v>
      </c>
      <c r="C44" s="96" t="s">
        <v>2152</v>
      </c>
      <c r="D44" s="96">
        <v>16</v>
      </c>
      <c r="E44" s="96" t="s">
        <v>2127</v>
      </c>
      <c r="F44" s="96">
        <v>26</v>
      </c>
      <c r="G44" s="96" t="s">
        <v>2237</v>
      </c>
      <c r="H44" s="96">
        <v>3</v>
      </c>
      <c r="I44" s="96" t="s">
        <v>2142</v>
      </c>
      <c r="J44" s="96">
        <v>27</v>
      </c>
      <c r="K44" s="96" t="s">
        <v>2178</v>
      </c>
      <c r="L44" s="96">
        <v>9</v>
      </c>
      <c r="M44" s="96" t="s">
        <v>2158</v>
      </c>
      <c r="N44" s="96">
        <v>11</v>
      </c>
      <c r="O44" s="96" t="s">
        <v>2298</v>
      </c>
      <c r="P44" s="96">
        <v>2</v>
      </c>
      <c r="Q44" s="96"/>
      <c r="R44" s="96"/>
      <c r="S44" s="96" t="s">
        <v>2255</v>
      </c>
      <c r="T44" s="96">
        <v>2</v>
      </c>
      <c r="U44" s="96"/>
      <c r="V44" s="96"/>
    </row>
    <row r="45" spans="1:22" ht="15">
      <c r="A45" s="97" t="s">
        <v>2113</v>
      </c>
      <c r="B45" s="96">
        <v>34</v>
      </c>
      <c r="C45" s="96" t="s">
        <v>2149</v>
      </c>
      <c r="D45" s="96">
        <v>16</v>
      </c>
      <c r="E45" s="96" t="s">
        <v>2128</v>
      </c>
      <c r="F45" s="96">
        <v>26</v>
      </c>
      <c r="G45" s="96" t="s">
        <v>2193</v>
      </c>
      <c r="H45" s="96">
        <v>2</v>
      </c>
      <c r="I45" s="96" t="s">
        <v>2143</v>
      </c>
      <c r="J45" s="96">
        <v>27</v>
      </c>
      <c r="K45" s="96" t="s">
        <v>2179</v>
      </c>
      <c r="L45" s="96">
        <v>9</v>
      </c>
      <c r="M45" s="96" t="s">
        <v>2162</v>
      </c>
      <c r="N45" s="96">
        <v>11</v>
      </c>
      <c r="O45" s="96" t="s">
        <v>2186</v>
      </c>
      <c r="P45" s="96">
        <v>2</v>
      </c>
      <c r="Q45" s="96"/>
      <c r="R45" s="96"/>
      <c r="S45" s="96" t="s">
        <v>2256</v>
      </c>
      <c r="T45" s="96">
        <v>2</v>
      </c>
      <c r="U45" s="96"/>
      <c r="V45" s="96"/>
    </row>
    <row r="46" spans="1:22" ht="15">
      <c r="A46" s="97" t="s">
        <v>2114</v>
      </c>
      <c r="B46" s="96">
        <v>34</v>
      </c>
      <c r="C46" s="96" t="s">
        <v>2153</v>
      </c>
      <c r="D46" s="96">
        <v>16</v>
      </c>
      <c r="E46" s="96" t="s">
        <v>2115</v>
      </c>
      <c r="F46" s="96">
        <v>26</v>
      </c>
      <c r="G46" s="96" t="s">
        <v>439</v>
      </c>
      <c r="H46" s="96">
        <v>2</v>
      </c>
      <c r="I46" s="96" t="s">
        <v>2144</v>
      </c>
      <c r="J46" s="96">
        <v>27</v>
      </c>
      <c r="K46" s="96" t="s">
        <v>346</v>
      </c>
      <c r="L46" s="96">
        <v>7</v>
      </c>
      <c r="M46" s="96" t="s">
        <v>2163</v>
      </c>
      <c r="N46" s="96">
        <v>11</v>
      </c>
      <c r="O46" s="96" t="s">
        <v>2299</v>
      </c>
      <c r="P46" s="96">
        <v>2</v>
      </c>
      <c r="Q46" s="96"/>
      <c r="R46" s="96"/>
      <c r="S46" s="96" t="s">
        <v>2257</v>
      </c>
      <c r="T46" s="96">
        <v>2</v>
      </c>
      <c r="U46" s="96"/>
      <c r="V46" s="96"/>
    </row>
    <row r="47" spans="1:22" ht="15">
      <c r="A47" s="97" t="s">
        <v>2115</v>
      </c>
      <c r="B47" s="96">
        <v>33</v>
      </c>
      <c r="C47" s="96" t="s">
        <v>2148</v>
      </c>
      <c r="D47" s="96">
        <v>16</v>
      </c>
      <c r="E47" s="96" t="s">
        <v>2116</v>
      </c>
      <c r="F47" s="96">
        <v>26</v>
      </c>
      <c r="G47" s="96" t="s">
        <v>2282</v>
      </c>
      <c r="H47" s="96">
        <v>2</v>
      </c>
      <c r="I47" s="96" t="s">
        <v>2133</v>
      </c>
      <c r="J47" s="96">
        <v>27</v>
      </c>
      <c r="K47" s="96" t="s">
        <v>416</v>
      </c>
      <c r="L47" s="96">
        <v>7</v>
      </c>
      <c r="M47" s="96" t="s">
        <v>2164</v>
      </c>
      <c r="N47" s="96">
        <v>11</v>
      </c>
      <c r="O47" s="96" t="s">
        <v>2300</v>
      </c>
      <c r="P47" s="96">
        <v>2</v>
      </c>
      <c r="Q47" s="96"/>
      <c r="R47" s="96"/>
      <c r="S47" s="96"/>
      <c r="T47" s="96"/>
      <c r="U47" s="96"/>
      <c r="V47" s="96"/>
    </row>
    <row r="50" spans="1:22" ht="14.4" customHeight="1">
      <c r="A50" s="13" t="s">
        <v>4011</v>
      </c>
      <c r="B50" s="13" t="s">
        <v>3923</v>
      </c>
      <c r="C50" s="13" t="s">
        <v>4022</v>
      </c>
      <c r="D50" s="13" t="s">
        <v>3926</v>
      </c>
      <c r="E50" s="13" t="s">
        <v>4030</v>
      </c>
      <c r="F50" s="13" t="s">
        <v>3928</v>
      </c>
      <c r="G50" s="13" t="s">
        <v>4038</v>
      </c>
      <c r="H50" s="13" t="s">
        <v>3933</v>
      </c>
      <c r="I50" s="13" t="s">
        <v>4041</v>
      </c>
      <c r="J50" s="13" t="s">
        <v>3935</v>
      </c>
      <c r="K50" s="13" t="s">
        <v>4052</v>
      </c>
      <c r="L50" s="13" t="s">
        <v>3937</v>
      </c>
      <c r="M50" s="13" t="s">
        <v>4062</v>
      </c>
      <c r="N50" s="13" t="s">
        <v>3939</v>
      </c>
      <c r="O50" s="13" t="s">
        <v>4073</v>
      </c>
      <c r="P50" s="13" t="s">
        <v>3941</v>
      </c>
      <c r="Q50" s="89" t="s">
        <v>4082</v>
      </c>
      <c r="R50" s="89" t="s">
        <v>3943</v>
      </c>
      <c r="S50" s="13" t="s">
        <v>4083</v>
      </c>
      <c r="T50" s="13" t="s">
        <v>3945</v>
      </c>
      <c r="U50" s="13" t="s">
        <v>4091</v>
      </c>
      <c r="V50" s="13" t="s">
        <v>3946</v>
      </c>
    </row>
    <row r="51" spans="1:22" ht="15">
      <c r="A51" s="96" t="s">
        <v>4012</v>
      </c>
      <c r="B51" s="96">
        <v>147</v>
      </c>
      <c r="C51" s="96" t="s">
        <v>4012</v>
      </c>
      <c r="D51" s="96">
        <v>45</v>
      </c>
      <c r="E51" s="96" t="s">
        <v>4012</v>
      </c>
      <c r="F51" s="96">
        <v>34</v>
      </c>
      <c r="G51" s="96" t="s">
        <v>4012</v>
      </c>
      <c r="H51" s="96">
        <v>4</v>
      </c>
      <c r="I51" s="96" t="s">
        <v>4042</v>
      </c>
      <c r="J51" s="96">
        <v>27</v>
      </c>
      <c r="K51" s="96" t="s">
        <v>4012</v>
      </c>
      <c r="L51" s="96">
        <v>21</v>
      </c>
      <c r="M51" s="96" t="s">
        <v>4063</v>
      </c>
      <c r="N51" s="96">
        <v>11</v>
      </c>
      <c r="O51" s="96" t="s">
        <v>4012</v>
      </c>
      <c r="P51" s="96">
        <v>11</v>
      </c>
      <c r="Q51" s="96"/>
      <c r="R51" s="96"/>
      <c r="S51" s="96" t="s">
        <v>4084</v>
      </c>
      <c r="T51" s="96">
        <v>3</v>
      </c>
      <c r="U51" s="96" t="s">
        <v>4012</v>
      </c>
      <c r="V51" s="96">
        <v>2</v>
      </c>
    </row>
    <row r="52" spans="1:22" ht="15">
      <c r="A52" s="97" t="s">
        <v>4013</v>
      </c>
      <c r="B52" s="96">
        <v>34</v>
      </c>
      <c r="C52" s="96" t="s">
        <v>4013</v>
      </c>
      <c r="D52" s="96">
        <v>28</v>
      </c>
      <c r="E52" s="96" t="s">
        <v>4031</v>
      </c>
      <c r="F52" s="96">
        <v>26</v>
      </c>
      <c r="G52" s="96" t="s">
        <v>4039</v>
      </c>
      <c r="H52" s="96">
        <v>2</v>
      </c>
      <c r="I52" s="96" t="s">
        <v>4043</v>
      </c>
      <c r="J52" s="96">
        <v>27</v>
      </c>
      <c r="K52" s="96" t="s">
        <v>4053</v>
      </c>
      <c r="L52" s="96">
        <v>9</v>
      </c>
      <c r="M52" s="96" t="s">
        <v>4064</v>
      </c>
      <c r="N52" s="96">
        <v>11</v>
      </c>
      <c r="O52" s="96" t="s">
        <v>4074</v>
      </c>
      <c r="P52" s="96">
        <v>2</v>
      </c>
      <c r="Q52" s="96"/>
      <c r="R52" s="96"/>
      <c r="S52" s="96" t="s">
        <v>4012</v>
      </c>
      <c r="T52" s="96">
        <v>3</v>
      </c>
      <c r="U52" s="96"/>
      <c r="V52" s="96"/>
    </row>
    <row r="53" spans="1:22" ht="15">
      <c r="A53" s="97" t="s">
        <v>4014</v>
      </c>
      <c r="B53" s="96">
        <v>34</v>
      </c>
      <c r="C53" s="96" t="s">
        <v>4014</v>
      </c>
      <c r="D53" s="96">
        <v>28</v>
      </c>
      <c r="E53" s="96" t="s">
        <v>4032</v>
      </c>
      <c r="F53" s="96">
        <v>26</v>
      </c>
      <c r="G53" s="96" t="s">
        <v>4040</v>
      </c>
      <c r="H53" s="96">
        <v>2</v>
      </c>
      <c r="I53" s="96" t="s">
        <v>4044</v>
      </c>
      <c r="J53" s="96">
        <v>27</v>
      </c>
      <c r="K53" s="96" t="s">
        <v>4054</v>
      </c>
      <c r="L53" s="96">
        <v>9</v>
      </c>
      <c r="M53" s="96" t="s">
        <v>4065</v>
      </c>
      <c r="N53" s="96">
        <v>11</v>
      </c>
      <c r="O53" s="96" t="s">
        <v>4075</v>
      </c>
      <c r="P53" s="96">
        <v>2</v>
      </c>
      <c r="Q53" s="96"/>
      <c r="R53" s="96"/>
      <c r="S53" s="96" t="s">
        <v>4085</v>
      </c>
      <c r="T53" s="96">
        <v>2</v>
      </c>
      <c r="U53" s="96"/>
      <c r="V53" s="96"/>
    </row>
    <row r="54" spans="1:22" ht="15">
      <c r="A54" s="97" t="s">
        <v>4015</v>
      </c>
      <c r="B54" s="96">
        <v>33</v>
      </c>
      <c r="C54" s="96" t="s">
        <v>4023</v>
      </c>
      <c r="D54" s="96">
        <v>16</v>
      </c>
      <c r="E54" s="96" t="s">
        <v>4033</v>
      </c>
      <c r="F54" s="96">
        <v>26</v>
      </c>
      <c r="G54" s="96"/>
      <c r="H54" s="96"/>
      <c r="I54" s="96" t="s">
        <v>4045</v>
      </c>
      <c r="J54" s="96">
        <v>27</v>
      </c>
      <c r="K54" s="96" t="s">
        <v>4055</v>
      </c>
      <c r="L54" s="96">
        <v>9</v>
      </c>
      <c r="M54" s="96" t="s">
        <v>4066</v>
      </c>
      <c r="N54" s="96">
        <v>11</v>
      </c>
      <c r="O54" s="96" t="s">
        <v>4076</v>
      </c>
      <c r="P54" s="96">
        <v>2</v>
      </c>
      <c r="Q54" s="96"/>
      <c r="R54" s="96"/>
      <c r="S54" s="96" t="s">
        <v>4086</v>
      </c>
      <c r="T54" s="96">
        <v>2</v>
      </c>
      <c r="U54" s="96"/>
      <c r="V54" s="96"/>
    </row>
    <row r="55" spans="1:22" ht="15">
      <c r="A55" s="97" t="s">
        <v>4016</v>
      </c>
      <c r="B55" s="96">
        <v>33</v>
      </c>
      <c r="C55" s="96" t="s">
        <v>4024</v>
      </c>
      <c r="D55" s="96">
        <v>16</v>
      </c>
      <c r="E55" s="96" t="s">
        <v>4034</v>
      </c>
      <c r="F55" s="96">
        <v>26</v>
      </c>
      <c r="G55" s="96"/>
      <c r="H55" s="96"/>
      <c r="I55" s="96" t="s">
        <v>4046</v>
      </c>
      <c r="J55" s="96">
        <v>27</v>
      </c>
      <c r="K55" s="96" t="s">
        <v>4056</v>
      </c>
      <c r="L55" s="96">
        <v>9</v>
      </c>
      <c r="M55" s="96" t="s">
        <v>4067</v>
      </c>
      <c r="N55" s="96">
        <v>11</v>
      </c>
      <c r="O55" s="96" t="s">
        <v>4077</v>
      </c>
      <c r="P55" s="96">
        <v>2</v>
      </c>
      <c r="Q55" s="96"/>
      <c r="R55" s="96"/>
      <c r="S55" s="96" t="s">
        <v>4087</v>
      </c>
      <c r="T55" s="96">
        <v>2</v>
      </c>
      <c r="U55" s="96"/>
      <c r="V55" s="96"/>
    </row>
    <row r="56" spans="1:22" ht="15">
      <c r="A56" s="97" t="s">
        <v>4017</v>
      </c>
      <c r="B56" s="96">
        <v>33</v>
      </c>
      <c r="C56" s="96" t="s">
        <v>4025</v>
      </c>
      <c r="D56" s="96">
        <v>16</v>
      </c>
      <c r="E56" s="96" t="s">
        <v>4035</v>
      </c>
      <c r="F56" s="96">
        <v>26</v>
      </c>
      <c r="G56" s="96"/>
      <c r="H56" s="96"/>
      <c r="I56" s="96" t="s">
        <v>4047</v>
      </c>
      <c r="J56" s="96">
        <v>27</v>
      </c>
      <c r="K56" s="96" t="s">
        <v>4057</v>
      </c>
      <c r="L56" s="96">
        <v>9</v>
      </c>
      <c r="M56" s="96" t="s">
        <v>4068</v>
      </c>
      <c r="N56" s="96">
        <v>11</v>
      </c>
      <c r="O56" s="96" t="s">
        <v>4078</v>
      </c>
      <c r="P56" s="96">
        <v>2</v>
      </c>
      <c r="Q56" s="96"/>
      <c r="R56" s="96"/>
      <c r="S56" s="96" t="s">
        <v>4088</v>
      </c>
      <c r="T56" s="96">
        <v>2</v>
      </c>
      <c r="U56" s="96"/>
      <c r="V56" s="96"/>
    </row>
    <row r="57" spans="1:22" ht="15">
      <c r="A57" s="97" t="s">
        <v>4018</v>
      </c>
      <c r="B57" s="96">
        <v>33</v>
      </c>
      <c r="C57" s="96" t="s">
        <v>4026</v>
      </c>
      <c r="D57" s="96">
        <v>16</v>
      </c>
      <c r="E57" s="96" t="s">
        <v>4036</v>
      </c>
      <c r="F57" s="96">
        <v>26</v>
      </c>
      <c r="G57" s="96"/>
      <c r="H57" s="96"/>
      <c r="I57" s="96" t="s">
        <v>4048</v>
      </c>
      <c r="J57" s="96">
        <v>27</v>
      </c>
      <c r="K57" s="96" t="s">
        <v>4058</v>
      </c>
      <c r="L57" s="96">
        <v>9</v>
      </c>
      <c r="M57" s="96" t="s">
        <v>4069</v>
      </c>
      <c r="N57" s="96">
        <v>11</v>
      </c>
      <c r="O57" s="96" t="s">
        <v>4079</v>
      </c>
      <c r="P57" s="96">
        <v>2</v>
      </c>
      <c r="Q57" s="96"/>
      <c r="R57" s="96"/>
      <c r="S57" s="96" t="s">
        <v>4089</v>
      </c>
      <c r="T57" s="96">
        <v>2</v>
      </c>
      <c r="U57" s="96"/>
      <c r="V57" s="96"/>
    </row>
    <row r="58" spans="1:22" ht="15">
      <c r="A58" s="97" t="s">
        <v>4019</v>
      </c>
      <c r="B58" s="96">
        <v>33</v>
      </c>
      <c r="C58" s="96" t="s">
        <v>4027</v>
      </c>
      <c r="D58" s="96">
        <v>16</v>
      </c>
      <c r="E58" s="96" t="s">
        <v>4037</v>
      </c>
      <c r="F58" s="96">
        <v>26</v>
      </c>
      <c r="G58" s="96"/>
      <c r="H58" s="96"/>
      <c r="I58" s="96" t="s">
        <v>4049</v>
      </c>
      <c r="J58" s="96">
        <v>27</v>
      </c>
      <c r="K58" s="96" t="s">
        <v>4059</v>
      </c>
      <c r="L58" s="96">
        <v>2</v>
      </c>
      <c r="M58" s="96" t="s">
        <v>4070</v>
      </c>
      <c r="N58" s="96">
        <v>11</v>
      </c>
      <c r="O58" s="96" t="s">
        <v>4080</v>
      </c>
      <c r="P58" s="96">
        <v>2</v>
      </c>
      <c r="Q58" s="96"/>
      <c r="R58" s="96"/>
      <c r="S58" s="96" t="s">
        <v>4090</v>
      </c>
      <c r="T58" s="96">
        <v>2</v>
      </c>
      <c r="U58" s="96"/>
      <c r="V58" s="96"/>
    </row>
    <row r="59" spans="1:22" ht="15">
      <c r="A59" s="97" t="s">
        <v>4020</v>
      </c>
      <c r="B59" s="96">
        <v>33</v>
      </c>
      <c r="C59" s="96" t="s">
        <v>4028</v>
      </c>
      <c r="D59" s="96">
        <v>16</v>
      </c>
      <c r="E59" s="96" t="s">
        <v>4015</v>
      </c>
      <c r="F59" s="96">
        <v>26</v>
      </c>
      <c r="G59" s="96"/>
      <c r="H59" s="96"/>
      <c r="I59" s="96" t="s">
        <v>4050</v>
      </c>
      <c r="J59" s="96">
        <v>27</v>
      </c>
      <c r="K59" s="96" t="s">
        <v>4060</v>
      </c>
      <c r="L59" s="96">
        <v>2</v>
      </c>
      <c r="M59" s="96" t="s">
        <v>4071</v>
      </c>
      <c r="N59" s="96">
        <v>11</v>
      </c>
      <c r="O59" s="96" t="s">
        <v>4081</v>
      </c>
      <c r="P59" s="96">
        <v>2</v>
      </c>
      <c r="Q59" s="96"/>
      <c r="R59" s="96"/>
      <c r="S59" s="96"/>
      <c r="T59" s="96"/>
      <c r="U59" s="96"/>
      <c r="V59" s="96"/>
    </row>
    <row r="60" spans="1:22" ht="15">
      <c r="A60" s="97" t="s">
        <v>4021</v>
      </c>
      <c r="B60" s="96">
        <v>33</v>
      </c>
      <c r="C60" s="96" t="s">
        <v>4029</v>
      </c>
      <c r="D60" s="96">
        <v>16</v>
      </c>
      <c r="E60" s="96" t="s">
        <v>4016</v>
      </c>
      <c r="F60" s="96">
        <v>26</v>
      </c>
      <c r="G60" s="96"/>
      <c r="H60" s="96"/>
      <c r="I60" s="96" t="s">
        <v>4051</v>
      </c>
      <c r="J60" s="96">
        <v>27</v>
      </c>
      <c r="K60" s="96" t="s">
        <v>4061</v>
      </c>
      <c r="L60" s="96">
        <v>2</v>
      </c>
      <c r="M60" s="96" t="s">
        <v>4072</v>
      </c>
      <c r="N60" s="96">
        <v>11</v>
      </c>
      <c r="O60" s="96"/>
      <c r="P60" s="96"/>
      <c r="Q60" s="96"/>
      <c r="R60" s="96"/>
      <c r="S60" s="96"/>
      <c r="T60" s="96"/>
      <c r="U60" s="96"/>
      <c r="V60" s="96"/>
    </row>
    <row r="63" spans="1:22" ht="14.4" customHeight="1">
      <c r="A63" s="13" t="s">
        <v>4103</v>
      </c>
      <c r="B63" s="13" t="s">
        <v>3923</v>
      </c>
      <c r="C63" s="13" t="s">
        <v>4105</v>
      </c>
      <c r="D63" s="13" t="s">
        <v>3926</v>
      </c>
      <c r="E63" s="13" t="s">
        <v>4106</v>
      </c>
      <c r="F63" s="13" t="s">
        <v>3928</v>
      </c>
      <c r="G63" s="13" t="s">
        <v>4109</v>
      </c>
      <c r="H63" s="13" t="s">
        <v>3933</v>
      </c>
      <c r="I63" s="13" t="s">
        <v>4111</v>
      </c>
      <c r="J63" s="13" t="s">
        <v>3935</v>
      </c>
      <c r="K63" s="13" t="s">
        <v>4113</v>
      </c>
      <c r="L63" s="13" t="s">
        <v>3937</v>
      </c>
      <c r="M63" s="13" t="s">
        <v>4115</v>
      </c>
      <c r="N63" s="13" t="s">
        <v>3939</v>
      </c>
      <c r="O63" s="89" t="s">
        <v>4117</v>
      </c>
      <c r="P63" s="89" t="s">
        <v>3941</v>
      </c>
      <c r="Q63" s="13" t="s">
        <v>4119</v>
      </c>
      <c r="R63" s="13" t="s">
        <v>3943</v>
      </c>
      <c r="S63" s="13" t="s">
        <v>4121</v>
      </c>
      <c r="T63" s="13" t="s">
        <v>3945</v>
      </c>
      <c r="U63" s="13" t="s">
        <v>4123</v>
      </c>
      <c r="V63" s="13" t="s">
        <v>3946</v>
      </c>
    </row>
    <row r="64" spans="1:22" ht="15">
      <c r="A64" s="89" t="s">
        <v>384</v>
      </c>
      <c r="B64" s="89">
        <v>11</v>
      </c>
      <c r="C64" s="89" t="s">
        <v>341</v>
      </c>
      <c r="D64" s="89">
        <v>1</v>
      </c>
      <c r="E64" s="89" t="s">
        <v>384</v>
      </c>
      <c r="F64" s="89">
        <v>9</v>
      </c>
      <c r="G64" s="89" t="s">
        <v>416</v>
      </c>
      <c r="H64" s="89">
        <v>6</v>
      </c>
      <c r="I64" s="89" t="s">
        <v>341</v>
      </c>
      <c r="J64" s="89">
        <v>1</v>
      </c>
      <c r="K64" s="89" t="s">
        <v>346</v>
      </c>
      <c r="L64" s="89">
        <v>7</v>
      </c>
      <c r="M64" s="89" t="s">
        <v>349</v>
      </c>
      <c r="N64" s="89">
        <v>2</v>
      </c>
      <c r="O64" s="89"/>
      <c r="P64" s="89"/>
      <c r="Q64" s="89" t="s">
        <v>415</v>
      </c>
      <c r="R64" s="89">
        <v>1</v>
      </c>
      <c r="S64" s="89" t="s">
        <v>444</v>
      </c>
      <c r="T64" s="89">
        <v>3</v>
      </c>
      <c r="U64" s="89" t="s">
        <v>443</v>
      </c>
      <c r="V64" s="89">
        <v>1</v>
      </c>
    </row>
    <row r="65" spans="1:22" ht="15">
      <c r="A65" s="90" t="s">
        <v>346</v>
      </c>
      <c r="B65" s="89">
        <v>7</v>
      </c>
      <c r="C65" s="89"/>
      <c r="D65" s="89"/>
      <c r="E65" s="89" t="s">
        <v>423</v>
      </c>
      <c r="F65" s="89">
        <v>3</v>
      </c>
      <c r="G65" s="89" t="s">
        <v>430</v>
      </c>
      <c r="H65" s="89">
        <v>3</v>
      </c>
      <c r="I65" s="89" t="s">
        <v>403</v>
      </c>
      <c r="J65" s="89">
        <v>1</v>
      </c>
      <c r="K65" s="89" t="s">
        <v>441</v>
      </c>
      <c r="L65" s="89">
        <v>2</v>
      </c>
      <c r="M65" s="89" t="s">
        <v>333</v>
      </c>
      <c r="N65" s="89">
        <v>1</v>
      </c>
      <c r="O65" s="89"/>
      <c r="P65" s="89"/>
      <c r="Q65" s="89"/>
      <c r="R65" s="89"/>
      <c r="S65" s="89"/>
      <c r="T65" s="89"/>
      <c r="U65" s="89" t="s">
        <v>364</v>
      </c>
      <c r="V65" s="89">
        <v>1</v>
      </c>
    </row>
    <row r="66" spans="1:22" ht="15">
      <c r="A66" s="90" t="s">
        <v>416</v>
      </c>
      <c r="B66" s="89">
        <v>6</v>
      </c>
      <c r="C66" s="89"/>
      <c r="D66" s="89"/>
      <c r="E66" s="89" t="s">
        <v>446</v>
      </c>
      <c r="F66" s="89">
        <v>1</v>
      </c>
      <c r="G66" s="89" t="s">
        <v>431</v>
      </c>
      <c r="H66" s="89">
        <v>2</v>
      </c>
      <c r="I66" s="89"/>
      <c r="J66" s="89"/>
      <c r="K66" s="89" t="s">
        <v>437</v>
      </c>
      <c r="L66" s="89">
        <v>2</v>
      </c>
      <c r="M66" s="89" t="s">
        <v>384</v>
      </c>
      <c r="N66" s="89">
        <v>1</v>
      </c>
      <c r="O66" s="89"/>
      <c r="P66" s="89"/>
      <c r="Q66" s="89"/>
      <c r="R66" s="89"/>
      <c r="S66" s="89"/>
      <c r="T66" s="89"/>
      <c r="U66" s="89"/>
      <c r="V66" s="89"/>
    </row>
    <row r="67" spans="1:22" ht="15">
      <c r="A67" s="90" t="s">
        <v>444</v>
      </c>
      <c r="B67" s="89">
        <v>3</v>
      </c>
      <c r="C67" s="89"/>
      <c r="D67" s="89"/>
      <c r="E67" s="89" t="s">
        <v>333</v>
      </c>
      <c r="F67" s="89">
        <v>1</v>
      </c>
      <c r="G67" s="89" t="s">
        <v>434</v>
      </c>
      <c r="H67" s="89">
        <v>2</v>
      </c>
      <c r="I67" s="89"/>
      <c r="J67" s="89"/>
      <c r="K67" s="89" t="s">
        <v>436</v>
      </c>
      <c r="L67" s="89">
        <v>1</v>
      </c>
      <c r="M67" s="89"/>
      <c r="N67" s="89"/>
      <c r="O67" s="89"/>
      <c r="P67" s="89"/>
      <c r="Q67" s="89"/>
      <c r="R67" s="89"/>
      <c r="S67" s="89"/>
      <c r="T67" s="89"/>
      <c r="U67" s="89"/>
      <c r="V67" s="89"/>
    </row>
    <row r="68" spans="1:22" ht="15">
      <c r="A68" s="90" t="s">
        <v>430</v>
      </c>
      <c r="B68" s="89">
        <v>3</v>
      </c>
      <c r="C68" s="89"/>
      <c r="D68" s="89"/>
      <c r="E68" s="89" t="s">
        <v>406</v>
      </c>
      <c r="F68" s="89">
        <v>1</v>
      </c>
      <c r="G68" s="89" t="s">
        <v>265</v>
      </c>
      <c r="H68" s="89">
        <v>2</v>
      </c>
      <c r="I68" s="89"/>
      <c r="J68" s="89"/>
      <c r="K68" s="89"/>
      <c r="L68" s="89"/>
      <c r="M68" s="89"/>
      <c r="N68" s="89"/>
      <c r="O68" s="89"/>
      <c r="P68" s="89"/>
      <c r="Q68" s="89"/>
      <c r="R68" s="89"/>
      <c r="S68" s="89"/>
      <c r="T68" s="89"/>
      <c r="U68" s="89"/>
      <c r="V68" s="89"/>
    </row>
    <row r="69" spans="1:22" ht="15">
      <c r="A69" s="90" t="s">
        <v>423</v>
      </c>
      <c r="B69" s="89">
        <v>3</v>
      </c>
      <c r="C69" s="89"/>
      <c r="D69" s="89"/>
      <c r="E69" s="89"/>
      <c r="F69" s="89"/>
      <c r="G69" s="89" t="s">
        <v>445</v>
      </c>
      <c r="H69" s="89">
        <v>1</v>
      </c>
      <c r="I69" s="89"/>
      <c r="J69" s="89"/>
      <c r="K69" s="89"/>
      <c r="L69" s="89"/>
      <c r="M69" s="89"/>
      <c r="N69" s="89"/>
      <c r="O69" s="89"/>
      <c r="P69" s="89"/>
      <c r="Q69" s="89"/>
      <c r="R69" s="89"/>
      <c r="S69" s="89"/>
      <c r="T69" s="89"/>
      <c r="U69" s="89"/>
      <c r="V69" s="89"/>
    </row>
    <row r="70" spans="1:22" ht="15">
      <c r="A70" s="90" t="s">
        <v>341</v>
      </c>
      <c r="B70" s="89">
        <v>2</v>
      </c>
      <c r="C70" s="89"/>
      <c r="D70" s="89"/>
      <c r="E70" s="89"/>
      <c r="F70" s="89"/>
      <c r="G70" s="89" t="s">
        <v>440</v>
      </c>
      <c r="H70" s="89">
        <v>1</v>
      </c>
      <c r="I70" s="89"/>
      <c r="J70" s="89"/>
      <c r="K70" s="89"/>
      <c r="L70" s="89"/>
      <c r="M70" s="89"/>
      <c r="N70" s="89"/>
      <c r="O70" s="89"/>
      <c r="P70" s="89"/>
      <c r="Q70" s="89"/>
      <c r="R70" s="89"/>
      <c r="S70" s="89"/>
      <c r="T70" s="89"/>
      <c r="U70" s="89"/>
      <c r="V70" s="89"/>
    </row>
    <row r="71" spans="1:22" ht="15">
      <c r="A71" s="90" t="s">
        <v>441</v>
      </c>
      <c r="B71" s="89">
        <v>2</v>
      </c>
      <c r="C71" s="89"/>
      <c r="D71" s="89"/>
      <c r="E71" s="89"/>
      <c r="F71" s="89"/>
      <c r="G71" s="89" t="s">
        <v>315</v>
      </c>
      <c r="H71" s="89">
        <v>1</v>
      </c>
      <c r="I71" s="89"/>
      <c r="J71" s="89"/>
      <c r="K71" s="89"/>
      <c r="L71" s="89"/>
      <c r="M71" s="89"/>
      <c r="N71" s="89"/>
      <c r="O71" s="89"/>
      <c r="P71" s="89"/>
      <c r="Q71" s="89"/>
      <c r="R71" s="89"/>
      <c r="S71" s="89"/>
      <c r="T71" s="89"/>
      <c r="U71" s="89"/>
      <c r="V71" s="89"/>
    </row>
    <row r="72" spans="1:22" ht="15">
      <c r="A72" s="90" t="s">
        <v>431</v>
      </c>
      <c r="B72" s="89">
        <v>2</v>
      </c>
      <c r="C72" s="89"/>
      <c r="D72" s="89"/>
      <c r="E72" s="89"/>
      <c r="F72" s="89"/>
      <c r="G72" s="89" t="s">
        <v>384</v>
      </c>
      <c r="H72" s="89">
        <v>1</v>
      </c>
      <c r="I72" s="89"/>
      <c r="J72" s="89"/>
      <c r="K72" s="89"/>
      <c r="L72" s="89"/>
      <c r="M72" s="89"/>
      <c r="N72" s="89"/>
      <c r="O72" s="89"/>
      <c r="P72" s="89"/>
      <c r="Q72" s="89"/>
      <c r="R72" s="89"/>
      <c r="S72" s="89"/>
      <c r="T72" s="89"/>
      <c r="U72" s="89"/>
      <c r="V72" s="89"/>
    </row>
    <row r="73" spans="1:22" ht="15">
      <c r="A73" s="90" t="s">
        <v>434</v>
      </c>
      <c r="B73" s="89">
        <v>2</v>
      </c>
      <c r="C73" s="89"/>
      <c r="D73" s="89"/>
      <c r="E73" s="89"/>
      <c r="F73" s="89"/>
      <c r="G73" s="89" t="s">
        <v>429</v>
      </c>
      <c r="H73" s="89">
        <v>1</v>
      </c>
      <c r="I73" s="89"/>
      <c r="J73" s="89"/>
      <c r="K73" s="89"/>
      <c r="L73" s="89"/>
      <c r="M73" s="89"/>
      <c r="N73" s="89"/>
      <c r="O73" s="89"/>
      <c r="P73" s="89"/>
      <c r="Q73" s="89"/>
      <c r="R73" s="89"/>
      <c r="S73" s="89"/>
      <c r="T73" s="89"/>
      <c r="U73" s="89"/>
      <c r="V73" s="89"/>
    </row>
    <row r="76" spans="1:22" ht="14.4" customHeight="1">
      <c r="A76" s="13" t="s">
        <v>4104</v>
      </c>
      <c r="B76" s="13" t="s">
        <v>3923</v>
      </c>
      <c r="C76" s="89" t="s">
        <v>4107</v>
      </c>
      <c r="D76" s="89" t="s">
        <v>3926</v>
      </c>
      <c r="E76" s="13" t="s">
        <v>4108</v>
      </c>
      <c r="F76" s="13" t="s">
        <v>3928</v>
      </c>
      <c r="G76" s="13" t="s">
        <v>4110</v>
      </c>
      <c r="H76" s="13" t="s">
        <v>3933</v>
      </c>
      <c r="I76" s="13" t="s">
        <v>4112</v>
      </c>
      <c r="J76" s="13" t="s">
        <v>3935</v>
      </c>
      <c r="K76" s="13" t="s">
        <v>4114</v>
      </c>
      <c r="L76" s="13" t="s">
        <v>3937</v>
      </c>
      <c r="M76" s="89" t="s">
        <v>4116</v>
      </c>
      <c r="N76" s="89" t="s">
        <v>3939</v>
      </c>
      <c r="O76" s="89" t="s">
        <v>4118</v>
      </c>
      <c r="P76" s="89" t="s">
        <v>3941</v>
      </c>
      <c r="Q76" s="13" t="s">
        <v>4120</v>
      </c>
      <c r="R76" s="13" t="s">
        <v>3943</v>
      </c>
      <c r="S76" s="89" t="s">
        <v>4122</v>
      </c>
      <c r="T76" s="89" t="s">
        <v>3945</v>
      </c>
      <c r="U76" s="89" t="s">
        <v>4124</v>
      </c>
      <c r="V76" s="89" t="s">
        <v>3946</v>
      </c>
    </row>
    <row r="77" spans="1:22" ht="15">
      <c r="A77" s="89" t="s">
        <v>416</v>
      </c>
      <c r="B77" s="89">
        <v>22</v>
      </c>
      <c r="C77" s="89"/>
      <c r="D77" s="89"/>
      <c r="E77" s="89" t="s">
        <v>420</v>
      </c>
      <c r="F77" s="89">
        <v>3</v>
      </c>
      <c r="G77" s="89" t="s">
        <v>416</v>
      </c>
      <c r="H77" s="89">
        <v>14</v>
      </c>
      <c r="I77" s="89" t="s">
        <v>442</v>
      </c>
      <c r="J77" s="89">
        <v>1</v>
      </c>
      <c r="K77" s="89" t="s">
        <v>416</v>
      </c>
      <c r="L77" s="89">
        <v>6</v>
      </c>
      <c r="M77" s="89"/>
      <c r="N77" s="89"/>
      <c r="O77" s="89"/>
      <c r="P77" s="89"/>
      <c r="Q77" s="89" t="s">
        <v>414</v>
      </c>
      <c r="R77" s="89">
        <v>1</v>
      </c>
      <c r="S77" s="89"/>
      <c r="T77" s="89"/>
      <c r="U77" s="89"/>
      <c r="V77" s="89"/>
    </row>
    <row r="78" spans="1:22" ht="15">
      <c r="A78" s="90" t="s">
        <v>420</v>
      </c>
      <c r="B78" s="89">
        <v>3</v>
      </c>
      <c r="C78" s="89"/>
      <c r="D78" s="89"/>
      <c r="E78" s="89" t="s">
        <v>416</v>
      </c>
      <c r="F78" s="89">
        <v>1</v>
      </c>
      <c r="G78" s="89" t="s">
        <v>439</v>
      </c>
      <c r="H78" s="89">
        <v>2</v>
      </c>
      <c r="I78" s="89" t="s">
        <v>416</v>
      </c>
      <c r="J78" s="89">
        <v>1</v>
      </c>
      <c r="K78" s="89" t="s">
        <v>334</v>
      </c>
      <c r="L78" s="89">
        <v>1</v>
      </c>
      <c r="M78" s="89"/>
      <c r="N78" s="89"/>
      <c r="O78" s="89"/>
      <c r="P78" s="89"/>
      <c r="Q78" s="89" t="s">
        <v>413</v>
      </c>
      <c r="R78" s="89">
        <v>1</v>
      </c>
      <c r="S78" s="89"/>
      <c r="T78" s="89"/>
      <c r="U78" s="89"/>
      <c r="V78" s="89"/>
    </row>
    <row r="79" spans="1:22" ht="15">
      <c r="A79" s="90" t="s">
        <v>439</v>
      </c>
      <c r="B79" s="89">
        <v>2</v>
      </c>
      <c r="C79" s="89"/>
      <c r="D79" s="89"/>
      <c r="E79" s="89" t="s">
        <v>384</v>
      </c>
      <c r="F79" s="89">
        <v>1</v>
      </c>
      <c r="G79" s="89" t="s">
        <v>438</v>
      </c>
      <c r="H79" s="89">
        <v>2</v>
      </c>
      <c r="I79" s="89"/>
      <c r="J79" s="89"/>
      <c r="K79" s="89"/>
      <c r="L79" s="89"/>
      <c r="M79" s="89"/>
      <c r="N79" s="89"/>
      <c r="O79" s="89"/>
      <c r="P79" s="89"/>
      <c r="Q79" s="89" t="s">
        <v>412</v>
      </c>
      <c r="R79" s="89">
        <v>1</v>
      </c>
      <c r="S79" s="89"/>
      <c r="T79" s="89"/>
      <c r="U79" s="89"/>
      <c r="V79" s="89"/>
    </row>
    <row r="80" spans="1:22" ht="15">
      <c r="A80" s="90" t="s">
        <v>438</v>
      </c>
      <c r="B80" s="89">
        <v>2</v>
      </c>
      <c r="C80" s="89"/>
      <c r="D80" s="89"/>
      <c r="E80" s="89"/>
      <c r="F80" s="89"/>
      <c r="G80" s="89" t="s">
        <v>427</v>
      </c>
      <c r="H80" s="89">
        <v>2</v>
      </c>
      <c r="I80" s="89"/>
      <c r="J80" s="89"/>
      <c r="K80" s="89"/>
      <c r="L80" s="89"/>
      <c r="M80" s="89"/>
      <c r="N80" s="89"/>
      <c r="O80" s="89"/>
      <c r="P80" s="89"/>
      <c r="Q80" s="89" t="s">
        <v>411</v>
      </c>
      <c r="R80" s="89">
        <v>1</v>
      </c>
      <c r="S80" s="89"/>
      <c r="T80" s="89"/>
      <c r="U80" s="89"/>
      <c r="V80" s="89"/>
    </row>
    <row r="81" spans="1:22" ht="15">
      <c r="A81" s="90" t="s">
        <v>427</v>
      </c>
      <c r="B81" s="89">
        <v>2</v>
      </c>
      <c r="C81" s="89"/>
      <c r="D81" s="89"/>
      <c r="E81" s="89"/>
      <c r="F81" s="89"/>
      <c r="G81" s="89" t="s">
        <v>431</v>
      </c>
      <c r="H81" s="89">
        <v>1</v>
      </c>
      <c r="I81" s="89"/>
      <c r="J81" s="89"/>
      <c r="K81" s="89"/>
      <c r="L81" s="89"/>
      <c r="M81" s="89"/>
      <c r="N81" s="89"/>
      <c r="O81" s="89"/>
      <c r="P81" s="89"/>
      <c r="Q81" s="89" t="s">
        <v>410</v>
      </c>
      <c r="R81" s="89">
        <v>1</v>
      </c>
      <c r="S81" s="89"/>
      <c r="T81" s="89"/>
      <c r="U81" s="89"/>
      <c r="V81" s="89"/>
    </row>
    <row r="82" spans="1:22" ht="15">
      <c r="A82" s="90" t="s">
        <v>442</v>
      </c>
      <c r="B82" s="89">
        <v>1</v>
      </c>
      <c r="C82" s="89"/>
      <c r="D82" s="89"/>
      <c r="E82" s="89"/>
      <c r="F82" s="89"/>
      <c r="G82" s="89" t="s">
        <v>434</v>
      </c>
      <c r="H82" s="89">
        <v>1</v>
      </c>
      <c r="I82" s="89"/>
      <c r="J82" s="89"/>
      <c r="K82" s="89"/>
      <c r="L82" s="89"/>
      <c r="M82" s="89"/>
      <c r="N82" s="89"/>
      <c r="O82" s="89"/>
      <c r="P82" s="89"/>
      <c r="Q82" s="89" t="s">
        <v>409</v>
      </c>
      <c r="R82" s="89">
        <v>1</v>
      </c>
      <c r="S82" s="89"/>
      <c r="T82" s="89"/>
      <c r="U82" s="89"/>
      <c r="V82" s="89"/>
    </row>
    <row r="83" spans="1:22" ht="15">
      <c r="A83" s="90" t="s">
        <v>431</v>
      </c>
      <c r="B83" s="89">
        <v>1</v>
      </c>
      <c r="C83" s="89"/>
      <c r="D83" s="89"/>
      <c r="E83" s="89"/>
      <c r="F83" s="89"/>
      <c r="G83" s="89" t="s">
        <v>425</v>
      </c>
      <c r="H83" s="89">
        <v>1</v>
      </c>
      <c r="I83" s="89"/>
      <c r="J83" s="89"/>
      <c r="K83" s="89"/>
      <c r="L83" s="89"/>
      <c r="M83" s="89"/>
      <c r="N83" s="89"/>
      <c r="O83" s="89"/>
      <c r="P83" s="89"/>
      <c r="Q83" s="89" t="s">
        <v>408</v>
      </c>
      <c r="R83" s="89">
        <v>1</v>
      </c>
      <c r="S83" s="89"/>
      <c r="T83" s="89"/>
      <c r="U83" s="89"/>
      <c r="V83" s="89"/>
    </row>
    <row r="84" spans="1:22" ht="15">
      <c r="A84" s="90" t="s">
        <v>434</v>
      </c>
      <c r="B84" s="89">
        <v>1</v>
      </c>
      <c r="C84" s="89"/>
      <c r="D84" s="89"/>
      <c r="E84" s="89"/>
      <c r="F84" s="89"/>
      <c r="G84" s="89"/>
      <c r="H84" s="89"/>
      <c r="I84" s="89"/>
      <c r="J84" s="89"/>
      <c r="K84" s="89"/>
      <c r="L84" s="89"/>
      <c r="M84" s="89"/>
      <c r="N84" s="89"/>
      <c r="O84" s="89"/>
      <c r="P84" s="89"/>
      <c r="Q84" s="89" t="s">
        <v>407</v>
      </c>
      <c r="R84" s="89">
        <v>1</v>
      </c>
      <c r="S84" s="89"/>
      <c r="T84" s="89"/>
      <c r="U84" s="89"/>
      <c r="V84" s="89"/>
    </row>
    <row r="85" spans="1:22" ht="15">
      <c r="A85" s="90" t="s">
        <v>334</v>
      </c>
      <c r="B85" s="89">
        <v>1</v>
      </c>
      <c r="C85" s="89"/>
      <c r="D85" s="89"/>
      <c r="E85" s="89"/>
      <c r="F85" s="89"/>
      <c r="G85" s="89"/>
      <c r="H85" s="89"/>
      <c r="I85" s="89"/>
      <c r="J85" s="89"/>
      <c r="K85" s="89"/>
      <c r="L85" s="89"/>
      <c r="M85" s="89"/>
      <c r="N85" s="89"/>
      <c r="O85" s="89"/>
      <c r="P85" s="89"/>
      <c r="Q85" s="89"/>
      <c r="R85" s="89"/>
      <c r="S85" s="89"/>
      <c r="T85" s="89"/>
      <c r="U85" s="89"/>
      <c r="V85" s="89"/>
    </row>
    <row r="86" spans="1:22" ht="15">
      <c r="A86" s="90" t="s">
        <v>432</v>
      </c>
      <c r="B86" s="89">
        <v>1</v>
      </c>
      <c r="C86" s="89"/>
      <c r="D86" s="89"/>
      <c r="E86" s="89"/>
      <c r="F86" s="89"/>
      <c r="G86" s="89"/>
      <c r="H86" s="89"/>
      <c r="I86" s="89"/>
      <c r="J86" s="89"/>
      <c r="K86" s="89"/>
      <c r="L86" s="89"/>
      <c r="M86" s="89"/>
      <c r="N86" s="89"/>
      <c r="O86" s="89"/>
      <c r="P86" s="89"/>
      <c r="Q86" s="89"/>
      <c r="R86" s="89"/>
      <c r="S86" s="89"/>
      <c r="T86" s="89"/>
      <c r="U86" s="89"/>
      <c r="V86" s="89"/>
    </row>
    <row r="89" spans="1:22" ht="14.4" customHeight="1">
      <c r="A89" s="13" t="s">
        <v>4138</v>
      </c>
      <c r="B89" s="13" t="s">
        <v>3923</v>
      </c>
      <c r="C89" s="13" t="s">
        <v>4139</v>
      </c>
      <c r="D89" s="13" t="s">
        <v>3926</v>
      </c>
      <c r="E89" s="13" t="s">
        <v>4140</v>
      </c>
      <c r="F89" s="13" t="s">
        <v>3928</v>
      </c>
      <c r="G89" s="13" t="s">
        <v>4141</v>
      </c>
      <c r="H89" s="13" t="s">
        <v>3933</v>
      </c>
      <c r="I89" s="13" t="s">
        <v>4142</v>
      </c>
      <c r="J89" s="13" t="s">
        <v>3935</v>
      </c>
      <c r="K89" s="13" t="s">
        <v>4143</v>
      </c>
      <c r="L89" s="13" t="s">
        <v>3937</v>
      </c>
      <c r="M89" s="13" t="s">
        <v>4144</v>
      </c>
      <c r="N89" s="13" t="s">
        <v>3939</v>
      </c>
      <c r="O89" s="13" t="s">
        <v>4145</v>
      </c>
      <c r="P89" s="13" t="s">
        <v>3941</v>
      </c>
      <c r="Q89" s="13" t="s">
        <v>4146</v>
      </c>
      <c r="R89" s="13" t="s">
        <v>3943</v>
      </c>
      <c r="S89" s="13" t="s">
        <v>4147</v>
      </c>
      <c r="T89" s="13" t="s">
        <v>3945</v>
      </c>
      <c r="U89" s="13" t="s">
        <v>4148</v>
      </c>
      <c r="V89" s="13" t="s">
        <v>3946</v>
      </c>
    </row>
    <row r="90" spans="1:22" ht="15">
      <c r="A90" s="113" t="s">
        <v>265</v>
      </c>
      <c r="B90" s="89">
        <v>265976</v>
      </c>
      <c r="C90" s="113" t="s">
        <v>344</v>
      </c>
      <c r="D90" s="89">
        <v>94628</v>
      </c>
      <c r="E90" s="113" t="s">
        <v>420</v>
      </c>
      <c r="F90" s="89">
        <v>72728</v>
      </c>
      <c r="G90" s="113" t="s">
        <v>265</v>
      </c>
      <c r="H90" s="89">
        <v>265976</v>
      </c>
      <c r="I90" s="113" t="s">
        <v>372</v>
      </c>
      <c r="J90" s="89">
        <v>83393</v>
      </c>
      <c r="K90" s="113" t="s">
        <v>401</v>
      </c>
      <c r="L90" s="89">
        <v>152001</v>
      </c>
      <c r="M90" s="113" t="s">
        <v>350</v>
      </c>
      <c r="N90" s="89">
        <v>82873</v>
      </c>
      <c r="O90" s="113" t="s">
        <v>348</v>
      </c>
      <c r="P90" s="89">
        <v>40453</v>
      </c>
      <c r="Q90" s="113" t="s">
        <v>415</v>
      </c>
      <c r="R90" s="89">
        <v>43812</v>
      </c>
      <c r="S90" s="113" t="s">
        <v>444</v>
      </c>
      <c r="T90" s="89">
        <v>100299</v>
      </c>
      <c r="U90" s="113" t="s">
        <v>364</v>
      </c>
      <c r="V90" s="89">
        <v>41291</v>
      </c>
    </row>
    <row r="91" spans="1:22" ht="15">
      <c r="A91" s="116" t="s">
        <v>435</v>
      </c>
      <c r="B91" s="89">
        <v>185862</v>
      </c>
      <c r="C91" s="113" t="s">
        <v>331</v>
      </c>
      <c r="D91" s="89">
        <v>58505</v>
      </c>
      <c r="E91" s="113" t="s">
        <v>248</v>
      </c>
      <c r="F91" s="89">
        <v>36097</v>
      </c>
      <c r="G91" s="113" t="s">
        <v>439</v>
      </c>
      <c r="H91" s="89">
        <v>174773</v>
      </c>
      <c r="I91" s="113" t="s">
        <v>376</v>
      </c>
      <c r="J91" s="89">
        <v>50899</v>
      </c>
      <c r="K91" s="113" t="s">
        <v>334</v>
      </c>
      <c r="L91" s="89">
        <v>136836</v>
      </c>
      <c r="M91" s="113" t="s">
        <v>251</v>
      </c>
      <c r="N91" s="89">
        <v>23479</v>
      </c>
      <c r="O91" s="113" t="s">
        <v>371</v>
      </c>
      <c r="P91" s="89">
        <v>36517</v>
      </c>
      <c r="Q91" s="113" t="s">
        <v>407</v>
      </c>
      <c r="R91" s="89">
        <v>17147</v>
      </c>
      <c r="S91" s="113" t="s">
        <v>383</v>
      </c>
      <c r="T91" s="89">
        <v>9261</v>
      </c>
      <c r="U91" s="113" t="s">
        <v>354</v>
      </c>
      <c r="V91" s="89">
        <v>26402</v>
      </c>
    </row>
    <row r="92" spans="1:22" ht="15">
      <c r="A92" s="116" t="s">
        <v>439</v>
      </c>
      <c r="B92" s="89">
        <v>174773</v>
      </c>
      <c r="C92" s="113" t="s">
        <v>351</v>
      </c>
      <c r="D92" s="89">
        <v>56205</v>
      </c>
      <c r="E92" s="113" t="s">
        <v>250</v>
      </c>
      <c r="F92" s="89">
        <v>33341</v>
      </c>
      <c r="G92" s="113" t="s">
        <v>434</v>
      </c>
      <c r="H92" s="89">
        <v>65555</v>
      </c>
      <c r="I92" s="113" t="s">
        <v>389</v>
      </c>
      <c r="J92" s="89">
        <v>23779</v>
      </c>
      <c r="K92" s="113" t="s">
        <v>336</v>
      </c>
      <c r="L92" s="89">
        <v>61596</v>
      </c>
      <c r="M92" s="113" t="s">
        <v>349</v>
      </c>
      <c r="N92" s="89">
        <v>8695</v>
      </c>
      <c r="O92" s="113" t="s">
        <v>291</v>
      </c>
      <c r="P92" s="89">
        <v>27176</v>
      </c>
      <c r="Q92" s="113" t="s">
        <v>414</v>
      </c>
      <c r="R92" s="89">
        <v>16135</v>
      </c>
      <c r="S92" s="113" t="s">
        <v>374</v>
      </c>
      <c r="T92" s="89">
        <v>327</v>
      </c>
      <c r="U92" s="113" t="s">
        <v>443</v>
      </c>
      <c r="V92" s="89">
        <v>8817</v>
      </c>
    </row>
    <row r="93" spans="1:22" ht="15">
      <c r="A93" s="116" t="s">
        <v>401</v>
      </c>
      <c r="B93" s="89">
        <v>152001</v>
      </c>
      <c r="C93" s="113" t="s">
        <v>319</v>
      </c>
      <c r="D93" s="89">
        <v>54175</v>
      </c>
      <c r="E93" s="113" t="s">
        <v>235</v>
      </c>
      <c r="F93" s="89">
        <v>25041</v>
      </c>
      <c r="G93" s="113" t="s">
        <v>445</v>
      </c>
      <c r="H93" s="89">
        <v>28817</v>
      </c>
      <c r="I93" s="113" t="s">
        <v>442</v>
      </c>
      <c r="J93" s="89">
        <v>23730</v>
      </c>
      <c r="K93" s="113" t="s">
        <v>399</v>
      </c>
      <c r="L93" s="89">
        <v>59843</v>
      </c>
      <c r="M93" s="113" t="s">
        <v>405</v>
      </c>
      <c r="N93" s="89">
        <v>7305</v>
      </c>
      <c r="O93" s="113" t="s">
        <v>295</v>
      </c>
      <c r="P93" s="89">
        <v>7201</v>
      </c>
      <c r="Q93" s="113" t="s">
        <v>412</v>
      </c>
      <c r="R93" s="89">
        <v>12922</v>
      </c>
      <c r="S93" s="113" t="s">
        <v>382</v>
      </c>
      <c r="T93" s="89">
        <v>36</v>
      </c>
      <c r="U93" s="113"/>
      <c r="V93" s="89"/>
    </row>
    <row r="94" spans="1:22" ht="15">
      <c r="A94" s="116" t="s">
        <v>334</v>
      </c>
      <c r="B94" s="89">
        <v>136836</v>
      </c>
      <c r="C94" s="113" t="s">
        <v>358</v>
      </c>
      <c r="D94" s="89">
        <v>53875</v>
      </c>
      <c r="E94" s="113" t="s">
        <v>224</v>
      </c>
      <c r="F94" s="89">
        <v>14018</v>
      </c>
      <c r="G94" s="113" t="s">
        <v>316</v>
      </c>
      <c r="H94" s="89">
        <v>26065</v>
      </c>
      <c r="I94" s="113" t="s">
        <v>363</v>
      </c>
      <c r="J94" s="89">
        <v>21877</v>
      </c>
      <c r="K94" s="113" t="s">
        <v>400</v>
      </c>
      <c r="L94" s="89">
        <v>40061</v>
      </c>
      <c r="M94" s="113" t="s">
        <v>333</v>
      </c>
      <c r="N94" s="89">
        <v>7289</v>
      </c>
      <c r="O94" s="113" t="s">
        <v>237</v>
      </c>
      <c r="P94" s="89">
        <v>3987</v>
      </c>
      <c r="Q94" s="113" t="s">
        <v>408</v>
      </c>
      <c r="R94" s="89">
        <v>12704</v>
      </c>
      <c r="S94" s="113"/>
      <c r="T94" s="89"/>
      <c r="U94" s="113"/>
      <c r="V94" s="89"/>
    </row>
    <row r="95" spans="1:22" ht="15">
      <c r="A95" s="116" t="s">
        <v>444</v>
      </c>
      <c r="B95" s="89">
        <v>100299</v>
      </c>
      <c r="C95" s="113" t="s">
        <v>355</v>
      </c>
      <c r="D95" s="89">
        <v>46164</v>
      </c>
      <c r="E95" s="113" t="s">
        <v>236</v>
      </c>
      <c r="F95" s="89">
        <v>11477</v>
      </c>
      <c r="G95" s="113" t="s">
        <v>438</v>
      </c>
      <c r="H95" s="89">
        <v>14834</v>
      </c>
      <c r="I95" s="113" t="s">
        <v>385</v>
      </c>
      <c r="J95" s="89">
        <v>19687</v>
      </c>
      <c r="K95" s="113" t="s">
        <v>347</v>
      </c>
      <c r="L95" s="89">
        <v>27815</v>
      </c>
      <c r="M95" s="113" t="s">
        <v>277</v>
      </c>
      <c r="N95" s="89">
        <v>6732</v>
      </c>
      <c r="O95" s="113" t="s">
        <v>275</v>
      </c>
      <c r="P95" s="89">
        <v>290</v>
      </c>
      <c r="Q95" s="113" t="s">
        <v>233</v>
      </c>
      <c r="R95" s="89">
        <v>11444</v>
      </c>
      <c r="S95" s="113"/>
      <c r="T95" s="89"/>
      <c r="U95" s="113"/>
      <c r="V95" s="89"/>
    </row>
    <row r="96" spans="1:22" ht="15">
      <c r="A96" s="116" t="s">
        <v>344</v>
      </c>
      <c r="B96" s="89">
        <v>94628</v>
      </c>
      <c r="C96" s="113" t="s">
        <v>310</v>
      </c>
      <c r="D96" s="89">
        <v>40005</v>
      </c>
      <c r="E96" s="113" t="s">
        <v>301</v>
      </c>
      <c r="F96" s="89">
        <v>10735</v>
      </c>
      <c r="G96" s="113" t="s">
        <v>430</v>
      </c>
      <c r="H96" s="89">
        <v>10351</v>
      </c>
      <c r="I96" s="113" t="s">
        <v>402</v>
      </c>
      <c r="J96" s="89">
        <v>16915</v>
      </c>
      <c r="K96" s="113" t="s">
        <v>398</v>
      </c>
      <c r="L96" s="89">
        <v>17297</v>
      </c>
      <c r="M96" s="113" t="s">
        <v>216</v>
      </c>
      <c r="N96" s="89">
        <v>4766</v>
      </c>
      <c r="O96" s="113" t="s">
        <v>342</v>
      </c>
      <c r="P96" s="89">
        <v>94</v>
      </c>
      <c r="Q96" s="113" t="s">
        <v>413</v>
      </c>
      <c r="R96" s="89">
        <v>3865</v>
      </c>
      <c r="S96" s="113"/>
      <c r="T96" s="89"/>
      <c r="U96" s="113"/>
      <c r="V96" s="89"/>
    </row>
    <row r="97" spans="1:22" ht="15">
      <c r="A97" s="116" t="s">
        <v>372</v>
      </c>
      <c r="B97" s="89">
        <v>83393</v>
      </c>
      <c r="C97" s="113" t="s">
        <v>328</v>
      </c>
      <c r="D97" s="89">
        <v>36831</v>
      </c>
      <c r="E97" s="113" t="s">
        <v>226</v>
      </c>
      <c r="F97" s="89">
        <v>9790</v>
      </c>
      <c r="G97" s="113" t="s">
        <v>429</v>
      </c>
      <c r="H97" s="89">
        <v>9446</v>
      </c>
      <c r="I97" s="113" t="s">
        <v>366</v>
      </c>
      <c r="J97" s="89">
        <v>12131</v>
      </c>
      <c r="K97" s="113" t="s">
        <v>281</v>
      </c>
      <c r="L97" s="89">
        <v>13897</v>
      </c>
      <c r="M97" s="113" t="s">
        <v>229</v>
      </c>
      <c r="N97" s="89">
        <v>3225</v>
      </c>
      <c r="O97" s="113" t="s">
        <v>260</v>
      </c>
      <c r="P97" s="89">
        <v>82</v>
      </c>
      <c r="Q97" s="113" t="s">
        <v>410</v>
      </c>
      <c r="R97" s="89">
        <v>2542</v>
      </c>
      <c r="S97" s="113"/>
      <c r="T97" s="89"/>
      <c r="U97" s="113"/>
      <c r="V97" s="89"/>
    </row>
    <row r="98" spans="1:22" ht="15">
      <c r="A98" s="116" t="s">
        <v>350</v>
      </c>
      <c r="B98" s="89">
        <v>82873</v>
      </c>
      <c r="C98" s="113" t="s">
        <v>360</v>
      </c>
      <c r="D98" s="89">
        <v>31276</v>
      </c>
      <c r="E98" s="113" t="s">
        <v>228</v>
      </c>
      <c r="F98" s="89">
        <v>8069</v>
      </c>
      <c r="G98" s="113" t="s">
        <v>289</v>
      </c>
      <c r="H98" s="89">
        <v>8024</v>
      </c>
      <c r="I98" s="113" t="s">
        <v>290</v>
      </c>
      <c r="J98" s="89">
        <v>7832</v>
      </c>
      <c r="K98" s="113" t="s">
        <v>346</v>
      </c>
      <c r="L98" s="89">
        <v>12774</v>
      </c>
      <c r="M98" s="113" t="s">
        <v>232</v>
      </c>
      <c r="N98" s="89">
        <v>2595</v>
      </c>
      <c r="O98" s="113" t="s">
        <v>287</v>
      </c>
      <c r="P98" s="89">
        <v>38</v>
      </c>
      <c r="Q98" s="113" t="s">
        <v>409</v>
      </c>
      <c r="R98" s="89">
        <v>2482</v>
      </c>
      <c r="S98" s="113"/>
      <c r="T98" s="89"/>
      <c r="U98" s="113"/>
      <c r="V98" s="89"/>
    </row>
    <row r="99" spans="1:22" ht="15">
      <c r="A99" s="116" t="s">
        <v>420</v>
      </c>
      <c r="B99" s="89">
        <v>72728</v>
      </c>
      <c r="C99" s="113" t="s">
        <v>332</v>
      </c>
      <c r="D99" s="89">
        <v>30716</v>
      </c>
      <c r="E99" s="113" t="s">
        <v>255</v>
      </c>
      <c r="F99" s="89">
        <v>7524</v>
      </c>
      <c r="G99" s="113" t="s">
        <v>431</v>
      </c>
      <c r="H99" s="89">
        <v>7681</v>
      </c>
      <c r="I99" s="113" t="s">
        <v>368</v>
      </c>
      <c r="J99" s="89">
        <v>7675</v>
      </c>
      <c r="K99" s="113" t="s">
        <v>345</v>
      </c>
      <c r="L99" s="89">
        <v>7068</v>
      </c>
      <c r="M99" s="113" t="s">
        <v>241</v>
      </c>
      <c r="N99" s="89">
        <v>1628</v>
      </c>
      <c r="O99" s="113" t="s">
        <v>268</v>
      </c>
      <c r="P99" s="89">
        <v>32</v>
      </c>
      <c r="Q99" s="113" t="s">
        <v>411</v>
      </c>
      <c r="R99" s="89">
        <v>1557</v>
      </c>
      <c r="S99" s="113"/>
      <c r="T99" s="89"/>
      <c r="U99" s="113"/>
      <c r="V99" s="89"/>
    </row>
  </sheetData>
  <hyperlinks>
    <hyperlink ref="A2" r:id="rId1" display="https://www.tripadvisor.com/Restaurant_Review-g189934-d21338840-Reviews-Bardot-Helsinki_Uusimaa.html"/>
    <hyperlink ref="A3" r:id="rId2" display="https://www.iltalehti.fi/viihdeuutiset/a/0cdd8736-4e6e-4da0-924c-d5995c5878de"/>
    <hyperlink ref="A4" r:id="rId3" display="https://www.iltalehti.fi/viihdeuutiset/a/2747483a-238e-45e8-9a81-cc9b338d1225"/>
    <hyperlink ref="A5" r:id="rId4" display="https://twitter.com/CpTheorist/status/1482761602738839555"/>
    <hyperlink ref="A6" r:id="rId5" display="https://www.seiska.fi/Kotimaa/Hans-Valimaki-teki-yllatysratkaisun-taustalla-koronakommentti/1166132"/>
    <hyperlink ref="A7" r:id="rId6" display="https://www.seiska.fi/Kotimaa/Hans-Valimaki-teki-yllatysratkaisun-taustalla-koronakommentti/1166132?undefined"/>
    <hyperlink ref="A8" r:id="rId7" display="https://www.seiska.fi/Kotimaa/Hans-Valimaki-teki-yllatysratkaisun-taustalla-koronakommentti/1166132?utm_source=twitter&amp;utm_medium=referral"/>
    <hyperlink ref="A9" r:id="rId8" display="https://twitter.com/JacksonReima/status/1482382445974544388"/>
    <hyperlink ref="A10" r:id="rId9" display="https://twitter.com/jani_ketola/status/1481993569539874819"/>
    <hyperlink ref="A11" r:id="rId10" display="https://www.instagram.com/p/CYtIKCHNv7w/"/>
    <hyperlink ref="C2" r:id="rId11" display="https://twitter.com/CpTheorist/status/1482761602738839555"/>
    <hyperlink ref="E2" r:id="rId12" display="https://twitter.com/jani_ketola/status/1481993569539874819"/>
    <hyperlink ref="G2" r:id="rId13" display="https://twitter.com/JacksonReima/status/1482382445974544388"/>
    <hyperlink ref="G3" r:id="rId14" display="https://www.instagram.com/p/CYtIKCHNv7w/"/>
    <hyperlink ref="G4" r:id="rId15" display="https://www.is.fi/viihde/art-2000008542896.html"/>
    <hyperlink ref="G5" r:id="rId16" display="http://www.kotipetripaavola.com/englanninkoronatilastotsairastumisetjakuolemat.html"/>
    <hyperlink ref="G6" r:id="rId17" display="https://www.instagram.com/p/CYtIKCHNv7w/?utm_medium=copy_link"/>
    <hyperlink ref="I2" r:id="rId18" display="https://www.iltalehti.fi/viihdeuutiset/a/2747483a-238e-45e8-9a81-cc9b338d1225"/>
    <hyperlink ref="K2" r:id="rId19" display="https://www.tripadvisor.com/Restaurant_Review-g189934-d21338840-Reviews-Bardot-Helsinki_Uusimaa.html"/>
    <hyperlink ref="O2" r:id="rId20" display="https://www.iltalehti.fi/viihdeuutiset/a/2747483a-238e-45e8-9a81-cc9b338d1225"/>
    <hyperlink ref="O3" r:id="rId21" display="https://www.seiska.fi/Kotimaa/Hans-Valimaki-teki-yllatysratkaisun-taustalla-koronakommentti/1166132?utm_source=twitter&amp;utm_medium=referral"/>
    <hyperlink ref="O4" r:id="rId22" display="https://www.seiska.fi/Kotimaa/Hans-Valimaki-teki-yllatysratkaisun-taustalla-koronakommentti/1166132"/>
    <hyperlink ref="O5" r:id="rId23" display="https://www.seiska.fi/Kotimaa/Hans-Valimaki-teki-yllatysratkaisun-taustalla-koronakommentti/1166132?undefined"/>
    <hyperlink ref="O6" r:id="rId24" display="https://www.iltalehti.fi/viihdeuutiset/a/0cdd8736-4e6e-4da0-924c-d5995c5878de"/>
  </hyperlinks>
  <printOptions/>
  <pageMargins left="0.7" right="0.7" top="0.75" bottom="0.75" header="0.3" footer="0.3"/>
  <pageSetup orientation="portrait" paperSize="9"/>
  <tableParts>
    <tablePart r:id="rId31"/>
    <tablePart r:id="rId29"/>
    <tablePart r:id="rId25"/>
    <tablePart r:id="rId27"/>
    <tablePart r:id="rId28"/>
    <tablePart r:id="rId32"/>
    <tablePart r:id="rId30"/>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1146</v>
      </c>
      <c r="AE2" s="13" t="s">
        <v>1147</v>
      </c>
      <c r="AF2" s="13" t="s">
        <v>1148</v>
      </c>
      <c r="AG2" s="13" t="s">
        <v>1149</v>
      </c>
      <c r="AH2" s="13" t="s">
        <v>1150</v>
      </c>
      <c r="AI2" s="13" t="s">
        <v>1151</v>
      </c>
      <c r="AJ2" s="13" t="s">
        <v>1152</v>
      </c>
      <c r="AK2" s="13" t="s">
        <v>1153</v>
      </c>
      <c r="AL2" s="13" t="s">
        <v>1154</v>
      </c>
      <c r="AM2" s="13" t="s">
        <v>1155</v>
      </c>
      <c r="AN2" s="13" t="s">
        <v>1156</v>
      </c>
      <c r="AO2" s="13" t="s">
        <v>1157</v>
      </c>
      <c r="AP2" s="13" t="s">
        <v>1158</v>
      </c>
      <c r="AQ2" s="13" t="s">
        <v>1159</v>
      </c>
      <c r="AR2" s="13" t="s">
        <v>1160</v>
      </c>
      <c r="AS2" s="13" t="s">
        <v>1161</v>
      </c>
      <c r="AT2" s="13" t="s">
        <v>196</v>
      </c>
      <c r="AU2" s="13" t="s">
        <v>1162</v>
      </c>
      <c r="AV2" s="13" t="s">
        <v>1163</v>
      </c>
      <c r="AW2" s="13" t="s">
        <v>1164</v>
      </c>
      <c r="AX2" s="13" t="s">
        <v>1165</v>
      </c>
      <c r="AY2" s="13" t="s">
        <v>1166</v>
      </c>
      <c r="AZ2" s="13" t="s">
        <v>1167</v>
      </c>
      <c r="BA2" s="13" t="s">
        <v>2092</v>
      </c>
      <c r="BB2" s="119" t="s">
        <v>2348</v>
      </c>
      <c r="BC2" s="119" t="s">
        <v>2349</v>
      </c>
      <c r="BD2" s="119" t="s">
        <v>2350</v>
      </c>
      <c r="BE2" s="119" t="s">
        <v>2351</v>
      </c>
      <c r="BF2" s="119" t="s">
        <v>2352</v>
      </c>
      <c r="BG2" s="119" t="s">
        <v>2353</v>
      </c>
      <c r="BH2" s="119" t="s">
        <v>2354</v>
      </c>
      <c r="BI2" s="119" t="s">
        <v>2355</v>
      </c>
      <c r="BJ2" s="119" t="s">
        <v>2357</v>
      </c>
      <c r="BK2" s="119" t="s">
        <v>4169</v>
      </c>
      <c r="BL2" s="119" t="s">
        <v>4171</v>
      </c>
      <c r="BM2" s="119" t="s">
        <v>4172</v>
      </c>
      <c r="BN2" s="119" t="s">
        <v>4173</v>
      </c>
      <c r="BO2" s="119" t="s">
        <v>4174</v>
      </c>
      <c r="BP2" s="119" t="s">
        <v>4179</v>
      </c>
      <c r="BQ2" s="119" t="s">
        <v>4182</v>
      </c>
      <c r="BR2" s="119" t="s">
        <v>4276</v>
      </c>
      <c r="BS2" s="119" t="s">
        <v>4304</v>
      </c>
      <c r="BT2" s="119" t="s">
        <v>4391</v>
      </c>
      <c r="BU2" s="3"/>
      <c r="BV2" s="3"/>
    </row>
    <row r="3" spans="1:74" ht="15" customHeight="1">
      <c r="A3" s="65" t="s">
        <v>405</v>
      </c>
      <c r="B3" s="66"/>
      <c r="C3" s="66" t="s">
        <v>46</v>
      </c>
      <c r="D3" s="67"/>
      <c r="E3" s="69"/>
      <c r="F3" s="111" t="str">
        <f>HYPERLINK("https://pbs.twimg.com/profile_images/1471394378228940804/1Y5gclkG_normal.jpg")</f>
        <v>https://pbs.twimg.com/profile_images/1471394378228940804/1Y5gclkG_normal.jpg</v>
      </c>
      <c r="G3" s="66"/>
      <c r="H3" s="70" t="s">
        <v>405</v>
      </c>
      <c r="I3" s="71" t="s">
        <v>4407</v>
      </c>
      <c r="J3" s="71" t="s">
        <v>73</v>
      </c>
      <c r="K3" s="70" t="s">
        <v>2042</v>
      </c>
      <c r="L3" s="74">
        <v>1</v>
      </c>
      <c r="M3" s="75">
        <v>9827.833984375</v>
      </c>
      <c r="N3" s="75">
        <v>7594.88623046875</v>
      </c>
      <c r="O3" s="76"/>
      <c r="P3" s="77"/>
      <c r="Q3" s="77"/>
      <c r="R3" s="49"/>
      <c r="S3" s="49">
        <v>0</v>
      </c>
      <c r="T3" s="49">
        <v>1</v>
      </c>
      <c r="U3" s="50">
        <v>0</v>
      </c>
      <c r="V3" s="50">
        <v>0.163412</v>
      </c>
      <c r="W3" s="50">
        <v>0.007398</v>
      </c>
      <c r="X3" s="50">
        <v>0.003783</v>
      </c>
      <c r="Y3" s="50">
        <v>0</v>
      </c>
      <c r="Z3" s="50">
        <v>0</v>
      </c>
      <c r="AA3" s="72">
        <v>3</v>
      </c>
      <c r="AB3" s="72"/>
      <c r="AC3" s="73"/>
      <c r="AD3" s="89" t="s">
        <v>1397</v>
      </c>
      <c r="AE3" s="96" t="s">
        <v>1589</v>
      </c>
      <c r="AF3" s="89">
        <v>1979</v>
      </c>
      <c r="AG3" s="89">
        <v>1029</v>
      </c>
      <c r="AH3" s="89">
        <v>7305</v>
      </c>
      <c r="AI3" s="89">
        <v>19772</v>
      </c>
      <c r="AJ3" s="89"/>
      <c r="AK3" s="89" t="s">
        <v>1762</v>
      </c>
      <c r="AL3" s="89" t="s">
        <v>1772</v>
      </c>
      <c r="AM3" s="89"/>
      <c r="AN3" s="89"/>
      <c r="AO3" s="92">
        <v>43148.723078703704</v>
      </c>
      <c r="AP3" s="99" t="str">
        <f>HYPERLINK("https://pbs.twimg.com/profile_banners/964912636843479040/1614770778")</f>
        <v>https://pbs.twimg.com/profile_banners/964912636843479040/1614770778</v>
      </c>
      <c r="AQ3" s="89" t="b">
        <v>1</v>
      </c>
      <c r="AR3" s="89" t="b">
        <v>0</v>
      </c>
      <c r="AS3" s="89" t="b">
        <v>0</v>
      </c>
      <c r="AT3" s="89"/>
      <c r="AU3" s="89">
        <v>0</v>
      </c>
      <c r="AV3" s="89"/>
      <c r="AW3" s="89" t="b">
        <v>0</v>
      </c>
      <c r="AX3" s="89" t="s">
        <v>1811</v>
      </c>
      <c r="AY3" s="99" t="str">
        <f>HYPERLINK("https://twitter.com/pauli_laakso")</f>
        <v>https://twitter.com/pauli_laakso</v>
      </c>
      <c r="AZ3" s="89" t="s">
        <v>66</v>
      </c>
      <c r="BA3" s="89" t="str">
        <f>REPLACE(INDEX(GroupVertices[Group],MATCH(Vertices[[#This Row],[Vertex]],GroupVertices[Vertex],0)),1,1,"")</f>
        <v>6</v>
      </c>
      <c r="BB3" s="49">
        <v>0</v>
      </c>
      <c r="BC3" s="50">
        <v>0</v>
      </c>
      <c r="BD3" s="49">
        <v>0</v>
      </c>
      <c r="BE3" s="50">
        <v>0</v>
      </c>
      <c r="BF3" s="49">
        <v>0</v>
      </c>
      <c r="BG3" s="50">
        <v>0</v>
      </c>
      <c r="BH3" s="49">
        <v>29</v>
      </c>
      <c r="BI3" s="50">
        <v>100</v>
      </c>
      <c r="BJ3" s="49">
        <v>29</v>
      </c>
      <c r="BK3" s="49"/>
      <c r="BL3" s="49"/>
      <c r="BM3" s="49"/>
      <c r="BN3" s="49"/>
      <c r="BO3" s="49" t="s">
        <v>555</v>
      </c>
      <c r="BP3" s="49" t="s">
        <v>555</v>
      </c>
      <c r="BQ3" s="123" t="s">
        <v>4183</v>
      </c>
      <c r="BR3" s="123" t="s">
        <v>4183</v>
      </c>
      <c r="BS3" s="123" t="s">
        <v>4305</v>
      </c>
      <c r="BT3" s="123" t="s">
        <v>4305</v>
      </c>
      <c r="BU3" s="3"/>
      <c r="BV3" s="3"/>
    </row>
    <row r="4" spans="1:77" ht="15">
      <c r="A4" s="65" t="s">
        <v>349</v>
      </c>
      <c r="B4" s="66"/>
      <c r="C4" s="66" t="s">
        <v>64</v>
      </c>
      <c r="D4" s="67">
        <v>1000</v>
      </c>
      <c r="E4" s="69"/>
      <c r="F4" s="111" t="str">
        <f>HYPERLINK("https://pbs.twimg.com/profile_images/1457340663893303312/QxSBCFSp_normal.jpg")</f>
        <v>https://pbs.twimg.com/profile_images/1457340663893303312/QxSBCFSp_normal.jpg</v>
      </c>
      <c r="G4" s="66"/>
      <c r="H4" s="70" t="s">
        <v>349</v>
      </c>
      <c r="I4" s="71" t="s">
        <v>4407</v>
      </c>
      <c r="J4" s="71" t="s">
        <v>73</v>
      </c>
      <c r="K4" s="70" t="s">
        <v>1812</v>
      </c>
      <c r="L4" s="74">
        <v>2600.48</v>
      </c>
      <c r="M4" s="75">
        <v>9256.65234375</v>
      </c>
      <c r="N4" s="75">
        <v>7219.568359375</v>
      </c>
      <c r="O4" s="76"/>
      <c r="P4" s="77"/>
      <c r="Q4" s="77"/>
      <c r="R4" s="104"/>
      <c r="S4" s="49">
        <v>13</v>
      </c>
      <c r="T4" s="49">
        <v>1</v>
      </c>
      <c r="U4" s="50">
        <v>2589.742857</v>
      </c>
      <c r="V4" s="50">
        <v>0.206842</v>
      </c>
      <c r="W4" s="50">
        <v>0.057814</v>
      </c>
      <c r="X4" s="50">
        <v>0.008994</v>
      </c>
      <c r="Y4" s="50">
        <v>0</v>
      </c>
      <c r="Z4" s="50">
        <v>0</v>
      </c>
      <c r="AA4" s="72">
        <v>4</v>
      </c>
      <c r="AB4" s="72"/>
      <c r="AC4" s="73"/>
      <c r="AD4" s="89" t="s">
        <v>1168</v>
      </c>
      <c r="AE4" s="96" t="s">
        <v>1090</v>
      </c>
      <c r="AF4" s="89">
        <v>676</v>
      </c>
      <c r="AG4" s="89">
        <v>1104</v>
      </c>
      <c r="AH4" s="89">
        <v>8695</v>
      </c>
      <c r="AI4" s="89">
        <v>19041</v>
      </c>
      <c r="AJ4" s="89"/>
      <c r="AK4" s="89" t="s">
        <v>1590</v>
      </c>
      <c r="AL4" s="89" t="s">
        <v>1763</v>
      </c>
      <c r="AM4" s="89"/>
      <c r="AN4" s="89"/>
      <c r="AO4" s="92">
        <v>44192.788831018515</v>
      </c>
      <c r="AP4" s="99" t="str">
        <f>HYPERLINK("https://pbs.twimg.com/profile_banners/1343269323960422401/1636754048")</f>
        <v>https://pbs.twimg.com/profile_banners/1343269323960422401/1636754048</v>
      </c>
      <c r="AQ4" s="89" t="b">
        <v>1</v>
      </c>
      <c r="AR4" s="89" t="b">
        <v>0</v>
      </c>
      <c r="AS4" s="89" t="b">
        <v>0</v>
      </c>
      <c r="AT4" s="89"/>
      <c r="AU4" s="89">
        <v>0</v>
      </c>
      <c r="AV4" s="89"/>
      <c r="AW4" s="89" t="b">
        <v>0</v>
      </c>
      <c r="AX4" s="89" t="s">
        <v>1811</v>
      </c>
      <c r="AY4" s="99" t="str">
        <f>HYPERLINK("https://twitter.com/janneknen")</f>
        <v>https://twitter.com/janneknen</v>
      </c>
      <c r="AZ4" s="89" t="s">
        <v>66</v>
      </c>
      <c r="BA4" s="89" t="str">
        <f>REPLACE(INDEX(GroupVertices[Group],MATCH(Vertices[[#This Row],[Vertex]],GroupVertices[Vertex],0)),1,1,"")</f>
        <v>6</v>
      </c>
      <c r="BB4" s="49">
        <v>0</v>
      </c>
      <c r="BC4" s="50">
        <v>0</v>
      </c>
      <c r="BD4" s="49">
        <v>0</v>
      </c>
      <c r="BE4" s="50">
        <v>0</v>
      </c>
      <c r="BF4" s="49">
        <v>0</v>
      </c>
      <c r="BG4" s="50">
        <v>0</v>
      </c>
      <c r="BH4" s="49">
        <v>29</v>
      </c>
      <c r="BI4" s="50">
        <v>100</v>
      </c>
      <c r="BJ4" s="49">
        <v>29</v>
      </c>
      <c r="BK4" s="49"/>
      <c r="BL4" s="49"/>
      <c r="BM4" s="49"/>
      <c r="BN4" s="49"/>
      <c r="BO4" s="49" t="s">
        <v>555</v>
      </c>
      <c r="BP4" s="49" t="s">
        <v>555</v>
      </c>
      <c r="BQ4" s="123" t="s">
        <v>4183</v>
      </c>
      <c r="BR4" s="123" t="s">
        <v>4183</v>
      </c>
      <c r="BS4" s="123" t="s">
        <v>4305</v>
      </c>
      <c r="BT4" s="123" t="s">
        <v>4305</v>
      </c>
      <c r="BU4" s="2"/>
      <c r="BV4" s="3"/>
      <c r="BW4" s="3"/>
      <c r="BX4" s="3"/>
      <c r="BY4" s="3"/>
    </row>
    <row r="5" spans="1:77" ht="15">
      <c r="A5" s="65" t="s">
        <v>216</v>
      </c>
      <c r="B5" s="66"/>
      <c r="C5" s="66" t="s">
        <v>46</v>
      </c>
      <c r="D5" s="67"/>
      <c r="E5" s="69"/>
      <c r="F5" s="111" t="str">
        <f>HYPERLINK("https://pbs.twimg.com/profile_images/1461592230100185091/iSJdIJfN_normal.jpg")</f>
        <v>https://pbs.twimg.com/profile_images/1461592230100185091/iSJdIJfN_normal.jpg</v>
      </c>
      <c r="G5" s="66"/>
      <c r="H5" s="70" t="s">
        <v>216</v>
      </c>
      <c r="I5" s="71" t="s">
        <v>4407</v>
      </c>
      <c r="J5" s="71" t="s">
        <v>73</v>
      </c>
      <c r="K5" s="70" t="s">
        <v>1813</v>
      </c>
      <c r="L5" s="74">
        <v>1</v>
      </c>
      <c r="M5" s="75">
        <v>9449.0283203125</v>
      </c>
      <c r="N5" s="75">
        <v>8809.92578125</v>
      </c>
      <c r="O5" s="76"/>
      <c r="P5" s="77"/>
      <c r="Q5" s="77"/>
      <c r="R5" s="104"/>
      <c r="S5" s="49">
        <v>0</v>
      </c>
      <c r="T5" s="49">
        <v>2</v>
      </c>
      <c r="U5" s="50">
        <v>298.165657</v>
      </c>
      <c r="V5" s="50">
        <v>0.216598</v>
      </c>
      <c r="W5" s="50">
        <v>0.03925</v>
      </c>
      <c r="X5" s="50">
        <v>0.003863</v>
      </c>
      <c r="Y5" s="50">
        <v>0</v>
      </c>
      <c r="Z5" s="50">
        <v>0</v>
      </c>
      <c r="AA5" s="72">
        <v>5</v>
      </c>
      <c r="AB5" s="72"/>
      <c r="AC5" s="73"/>
      <c r="AD5" s="89" t="s">
        <v>1169</v>
      </c>
      <c r="AE5" s="96" t="s">
        <v>1398</v>
      </c>
      <c r="AF5" s="89">
        <v>378</v>
      </c>
      <c r="AG5" s="89">
        <v>186</v>
      </c>
      <c r="AH5" s="89">
        <v>4766</v>
      </c>
      <c r="AI5" s="89">
        <v>8268</v>
      </c>
      <c r="AJ5" s="89"/>
      <c r="AK5" s="89" t="s">
        <v>1591</v>
      </c>
      <c r="AL5" s="89"/>
      <c r="AM5" s="89"/>
      <c r="AN5" s="89"/>
      <c r="AO5" s="92">
        <v>44472.81105324074</v>
      </c>
      <c r="AP5" s="99" t="str">
        <f>HYPERLINK("https://pbs.twimg.com/profile_banners/1444745971703898119/1633549218")</f>
        <v>https://pbs.twimg.com/profile_banners/1444745971703898119/1633549218</v>
      </c>
      <c r="AQ5" s="89" t="b">
        <v>1</v>
      </c>
      <c r="AR5" s="89" t="b">
        <v>0</v>
      </c>
      <c r="AS5" s="89" t="b">
        <v>0</v>
      </c>
      <c r="AT5" s="89"/>
      <c r="AU5" s="89">
        <v>0</v>
      </c>
      <c r="AV5" s="89"/>
      <c r="AW5" s="89" t="b">
        <v>0</v>
      </c>
      <c r="AX5" s="89" t="s">
        <v>1811</v>
      </c>
      <c r="AY5" s="99" t="str">
        <f>HYPERLINK("https://twitter.com/theredpill4u")</f>
        <v>https://twitter.com/theredpill4u</v>
      </c>
      <c r="AZ5" s="89" t="s">
        <v>66</v>
      </c>
      <c r="BA5" s="89" t="str">
        <f>REPLACE(INDEX(GroupVertices[Group],MATCH(Vertices[[#This Row],[Vertex]],GroupVertices[Vertex],0)),1,1,"")</f>
        <v>6</v>
      </c>
      <c r="BB5" s="49">
        <v>0</v>
      </c>
      <c r="BC5" s="50">
        <v>0</v>
      </c>
      <c r="BD5" s="49">
        <v>0</v>
      </c>
      <c r="BE5" s="50">
        <v>0</v>
      </c>
      <c r="BF5" s="49">
        <v>0</v>
      </c>
      <c r="BG5" s="50">
        <v>0</v>
      </c>
      <c r="BH5" s="49">
        <v>53</v>
      </c>
      <c r="BI5" s="50">
        <v>100</v>
      </c>
      <c r="BJ5" s="49">
        <v>53</v>
      </c>
      <c r="BK5" s="49"/>
      <c r="BL5" s="49"/>
      <c r="BM5" s="49"/>
      <c r="BN5" s="49"/>
      <c r="BO5" s="49" t="s">
        <v>555</v>
      </c>
      <c r="BP5" s="49" t="s">
        <v>555</v>
      </c>
      <c r="BQ5" s="123" t="s">
        <v>4184</v>
      </c>
      <c r="BR5" s="123" t="s">
        <v>4277</v>
      </c>
      <c r="BS5" s="123" t="s">
        <v>4306</v>
      </c>
      <c r="BT5" s="123" t="s">
        <v>4306</v>
      </c>
      <c r="BU5" s="2"/>
      <c r="BV5" s="3"/>
      <c r="BW5" s="3"/>
      <c r="BX5" s="3"/>
      <c r="BY5" s="3"/>
    </row>
    <row r="6" spans="1:77" ht="15">
      <c r="A6" s="65" t="s">
        <v>384</v>
      </c>
      <c r="B6" s="66"/>
      <c r="C6" s="66" t="s">
        <v>64</v>
      </c>
      <c r="D6" s="67">
        <v>1000</v>
      </c>
      <c r="E6" s="69"/>
      <c r="F6" s="111" t="str">
        <f>HYPERLINK("https://pbs.twimg.com/profile_images/1449266378658177034/LHeoCnK3_normal.jpg")</f>
        <v>https://pbs.twimg.com/profile_images/1449266378658177034/LHeoCnK3_normal.jpg</v>
      </c>
      <c r="G6" s="66"/>
      <c r="H6" s="70" t="s">
        <v>384</v>
      </c>
      <c r="I6" s="71" t="s">
        <v>4408</v>
      </c>
      <c r="J6" s="71" t="s">
        <v>73</v>
      </c>
      <c r="K6" s="70" t="s">
        <v>1814</v>
      </c>
      <c r="L6" s="74">
        <v>8399.32</v>
      </c>
      <c r="M6" s="75">
        <v>2004.9237060546875</v>
      </c>
      <c r="N6" s="75">
        <v>8181.61083984375</v>
      </c>
      <c r="O6" s="76"/>
      <c r="P6" s="77"/>
      <c r="Q6" s="77"/>
      <c r="R6" s="104"/>
      <c r="S6" s="49">
        <v>42</v>
      </c>
      <c r="T6" s="49">
        <v>1</v>
      </c>
      <c r="U6" s="50">
        <v>13097.580755</v>
      </c>
      <c r="V6" s="50">
        <v>0.288798</v>
      </c>
      <c r="W6" s="50">
        <v>0.24893</v>
      </c>
      <c r="X6" s="50">
        <v>0.022322</v>
      </c>
      <c r="Y6" s="50">
        <v>0.001829268292682927</v>
      </c>
      <c r="Z6" s="50">
        <v>0</v>
      </c>
      <c r="AA6" s="72">
        <v>6</v>
      </c>
      <c r="AB6" s="72"/>
      <c r="AC6" s="73"/>
      <c r="AD6" s="89" t="s">
        <v>1170</v>
      </c>
      <c r="AE6" s="96" t="s">
        <v>1089</v>
      </c>
      <c r="AF6" s="89">
        <v>951</v>
      </c>
      <c r="AG6" s="89">
        <v>2015</v>
      </c>
      <c r="AH6" s="89">
        <v>6884</v>
      </c>
      <c r="AI6" s="89">
        <v>9814</v>
      </c>
      <c r="AJ6" s="89"/>
      <c r="AK6" s="89" t="s">
        <v>1592</v>
      </c>
      <c r="AL6" s="89"/>
      <c r="AM6" s="89"/>
      <c r="AN6" s="89"/>
      <c r="AO6" s="92">
        <v>44112.40216435185</v>
      </c>
      <c r="AP6" s="99" t="str">
        <f>HYPERLINK("https://pbs.twimg.com/profile_banners/1314138199070044160/1634366888")</f>
        <v>https://pbs.twimg.com/profile_banners/1314138199070044160/1634366888</v>
      </c>
      <c r="AQ6" s="89" t="b">
        <v>1</v>
      </c>
      <c r="AR6" s="89" t="b">
        <v>0</v>
      </c>
      <c r="AS6" s="89" t="b">
        <v>0</v>
      </c>
      <c r="AT6" s="89"/>
      <c r="AU6" s="89">
        <v>5</v>
      </c>
      <c r="AV6" s="89"/>
      <c r="AW6" s="89" t="b">
        <v>0</v>
      </c>
      <c r="AX6" s="89" t="s">
        <v>1811</v>
      </c>
      <c r="AY6" s="99" t="str">
        <f>HYPERLINK("https://twitter.com/jani_ketola")</f>
        <v>https://twitter.com/jani_ketola</v>
      </c>
      <c r="AZ6" s="89" t="s">
        <v>66</v>
      </c>
      <c r="BA6" s="89" t="str">
        <f>REPLACE(INDEX(GroupVertices[Group],MATCH(Vertices[[#This Row],[Vertex]],GroupVertices[Vertex],0)),1,1,"")</f>
        <v>2</v>
      </c>
      <c r="BB6" s="49">
        <v>0</v>
      </c>
      <c r="BC6" s="50">
        <v>0</v>
      </c>
      <c r="BD6" s="49">
        <v>0</v>
      </c>
      <c r="BE6" s="50">
        <v>0</v>
      </c>
      <c r="BF6" s="49">
        <v>0</v>
      </c>
      <c r="BG6" s="50">
        <v>0</v>
      </c>
      <c r="BH6" s="49">
        <v>24</v>
      </c>
      <c r="BI6" s="50">
        <v>100</v>
      </c>
      <c r="BJ6" s="49">
        <v>24</v>
      </c>
      <c r="BK6" s="49"/>
      <c r="BL6" s="49"/>
      <c r="BM6" s="49"/>
      <c r="BN6" s="49"/>
      <c r="BO6" s="49"/>
      <c r="BP6" s="49"/>
      <c r="BQ6" s="123" t="s">
        <v>4185</v>
      </c>
      <c r="BR6" s="123" t="s">
        <v>4185</v>
      </c>
      <c r="BS6" s="123" t="s">
        <v>4306</v>
      </c>
      <c r="BT6" s="123" t="s">
        <v>4306</v>
      </c>
      <c r="BU6" s="2"/>
      <c r="BV6" s="3"/>
      <c r="BW6" s="3"/>
      <c r="BX6" s="3"/>
      <c r="BY6" s="3"/>
    </row>
    <row r="7" spans="1:77" ht="15">
      <c r="A7" s="65" t="s">
        <v>217</v>
      </c>
      <c r="B7" s="66"/>
      <c r="C7" s="66" t="s">
        <v>46</v>
      </c>
      <c r="D7" s="67"/>
      <c r="E7" s="69"/>
      <c r="F7" s="111" t="str">
        <f>HYPERLINK("https://pbs.twimg.com/profile_images/1462652833707266048/7ASWb9gg_normal.jpg")</f>
        <v>https://pbs.twimg.com/profile_images/1462652833707266048/7ASWb9gg_normal.jpg</v>
      </c>
      <c r="G7" s="66"/>
      <c r="H7" s="70" t="s">
        <v>217</v>
      </c>
      <c r="I7" s="71" t="s">
        <v>4407</v>
      </c>
      <c r="J7" s="71" t="s">
        <v>73</v>
      </c>
      <c r="K7" s="70" t="s">
        <v>1815</v>
      </c>
      <c r="L7" s="74">
        <v>1</v>
      </c>
      <c r="M7" s="75">
        <v>8678.9736328125</v>
      </c>
      <c r="N7" s="75">
        <v>7633.791015625</v>
      </c>
      <c r="O7" s="76"/>
      <c r="P7" s="77"/>
      <c r="Q7" s="77"/>
      <c r="R7" s="104"/>
      <c r="S7" s="49">
        <v>0</v>
      </c>
      <c r="T7" s="49">
        <v>1</v>
      </c>
      <c r="U7" s="50">
        <v>0</v>
      </c>
      <c r="V7" s="50">
        <v>0.163412</v>
      </c>
      <c r="W7" s="50">
        <v>0.007398</v>
      </c>
      <c r="X7" s="50">
        <v>0.003783</v>
      </c>
      <c r="Y7" s="50">
        <v>0</v>
      </c>
      <c r="Z7" s="50">
        <v>0</v>
      </c>
      <c r="AA7" s="72">
        <v>7</v>
      </c>
      <c r="AB7" s="72"/>
      <c r="AC7" s="73"/>
      <c r="AD7" s="89" t="s">
        <v>1171</v>
      </c>
      <c r="AE7" s="96" t="s">
        <v>1399</v>
      </c>
      <c r="AF7" s="89">
        <v>41</v>
      </c>
      <c r="AG7" s="89">
        <v>32</v>
      </c>
      <c r="AH7" s="89">
        <v>873</v>
      </c>
      <c r="AI7" s="89">
        <v>959</v>
      </c>
      <c r="AJ7" s="89"/>
      <c r="AK7" s="89" t="s">
        <v>1593</v>
      </c>
      <c r="AL7" s="89"/>
      <c r="AM7" s="89"/>
      <c r="AN7" s="89"/>
      <c r="AO7" s="92">
        <v>44506.426412037035</v>
      </c>
      <c r="AP7" s="99" t="str">
        <f>HYPERLINK("https://pbs.twimg.com/profile_banners/1456927798854041607/1636193929")</f>
        <v>https://pbs.twimg.com/profile_banners/1456927798854041607/1636193929</v>
      </c>
      <c r="AQ7" s="89" t="b">
        <v>1</v>
      </c>
      <c r="AR7" s="89" t="b">
        <v>0</v>
      </c>
      <c r="AS7" s="89" t="b">
        <v>0</v>
      </c>
      <c r="AT7" s="89"/>
      <c r="AU7" s="89">
        <v>0</v>
      </c>
      <c r="AV7" s="89"/>
      <c r="AW7" s="89" t="b">
        <v>0</v>
      </c>
      <c r="AX7" s="89" t="s">
        <v>1811</v>
      </c>
      <c r="AY7" s="99" t="str">
        <f>HYPERLINK("https://twitter.com/jacksonreima")</f>
        <v>https://twitter.com/jacksonreima</v>
      </c>
      <c r="AZ7" s="89" t="s">
        <v>66</v>
      </c>
      <c r="BA7" s="89" t="str">
        <f>REPLACE(INDEX(GroupVertices[Group],MATCH(Vertices[[#This Row],[Vertex]],GroupVertices[Vertex],0)),1,1,"")</f>
        <v>6</v>
      </c>
      <c r="BB7" s="49">
        <v>0</v>
      </c>
      <c r="BC7" s="50">
        <v>0</v>
      </c>
      <c r="BD7" s="49">
        <v>0</v>
      </c>
      <c r="BE7" s="50">
        <v>0</v>
      </c>
      <c r="BF7" s="49">
        <v>0</v>
      </c>
      <c r="BG7" s="50">
        <v>0</v>
      </c>
      <c r="BH7" s="49">
        <v>29</v>
      </c>
      <c r="BI7" s="50">
        <v>100</v>
      </c>
      <c r="BJ7" s="49">
        <v>29</v>
      </c>
      <c r="BK7" s="49"/>
      <c r="BL7" s="49"/>
      <c r="BM7" s="49"/>
      <c r="BN7" s="49"/>
      <c r="BO7" s="49" t="s">
        <v>555</v>
      </c>
      <c r="BP7" s="49" t="s">
        <v>555</v>
      </c>
      <c r="BQ7" s="123" t="s">
        <v>4183</v>
      </c>
      <c r="BR7" s="123" t="s">
        <v>4183</v>
      </c>
      <c r="BS7" s="123" t="s">
        <v>4305</v>
      </c>
      <c r="BT7" s="123" t="s">
        <v>4305</v>
      </c>
      <c r="BU7" s="2"/>
      <c r="BV7" s="3"/>
      <c r="BW7" s="3"/>
      <c r="BX7" s="3"/>
      <c r="BY7" s="3"/>
    </row>
    <row r="8" spans="1:77" ht="15">
      <c r="A8" s="65" t="s">
        <v>218</v>
      </c>
      <c r="B8" s="66"/>
      <c r="C8" s="66" t="s">
        <v>46</v>
      </c>
      <c r="D8" s="67"/>
      <c r="E8" s="69"/>
      <c r="F8" s="111" t="str">
        <f>HYPERLINK("https://abs.twimg.com/sticky/default_profile_images/default_profile_normal.png")</f>
        <v>https://abs.twimg.com/sticky/default_profile_images/default_profile_normal.png</v>
      </c>
      <c r="G8" s="66"/>
      <c r="H8" s="70" t="s">
        <v>218</v>
      </c>
      <c r="I8" s="71" t="s">
        <v>4408</v>
      </c>
      <c r="J8" s="71" t="s">
        <v>73</v>
      </c>
      <c r="K8" s="70" t="s">
        <v>1816</v>
      </c>
      <c r="L8" s="74">
        <v>1</v>
      </c>
      <c r="M8" s="75">
        <v>1703.4205322265625</v>
      </c>
      <c r="N8" s="75">
        <v>9135.1748046875</v>
      </c>
      <c r="O8" s="76"/>
      <c r="P8" s="77"/>
      <c r="Q8" s="77"/>
      <c r="R8" s="104"/>
      <c r="S8" s="49">
        <v>0</v>
      </c>
      <c r="T8" s="49">
        <v>1</v>
      </c>
      <c r="U8" s="50">
        <v>0</v>
      </c>
      <c r="V8" s="50">
        <v>0.210637</v>
      </c>
      <c r="W8" s="50">
        <v>0.031853</v>
      </c>
      <c r="X8" s="50">
        <v>0.003759</v>
      </c>
      <c r="Y8" s="50">
        <v>0</v>
      </c>
      <c r="Z8" s="50">
        <v>0</v>
      </c>
      <c r="AA8" s="72">
        <v>8</v>
      </c>
      <c r="AB8" s="72"/>
      <c r="AC8" s="73"/>
      <c r="AD8" s="89" t="s">
        <v>1172</v>
      </c>
      <c r="AE8" s="96" t="s">
        <v>1400</v>
      </c>
      <c r="AF8" s="89">
        <v>166</v>
      </c>
      <c r="AG8" s="89">
        <v>66</v>
      </c>
      <c r="AH8" s="89">
        <v>6194</v>
      </c>
      <c r="AI8" s="89">
        <v>13742</v>
      </c>
      <c r="AJ8" s="89"/>
      <c r="AK8" s="89"/>
      <c r="AL8" s="89"/>
      <c r="AM8" s="89"/>
      <c r="AN8" s="89"/>
      <c r="AO8" s="92">
        <v>44322.61305555556</v>
      </c>
      <c r="AP8" s="89"/>
      <c r="AQ8" s="89" t="b">
        <v>1</v>
      </c>
      <c r="AR8" s="89" t="b">
        <v>1</v>
      </c>
      <c r="AS8" s="89" t="b">
        <v>0</v>
      </c>
      <c r="AT8" s="89"/>
      <c r="AU8" s="89">
        <v>0</v>
      </c>
      <c r="AV8" s="89"/>
      <c r="AW8" s="89" t="b">
        <v>0</v>
      </c>
      <c r="AX8" s="89" t="s">
        <v>1811</v>
      </c>
      <c r="AY8" s="99" t="str">
        <f>HYPERLINK("https://twitter.com/kaleviniko")</f>
        <v>https://twitter.com/kaleviniko</v>
      </c>
      <c r="AZ8" s="89" t="s">
        <v>66</v>
      </c>
      <c r="BA8" s="89" t="str">
        <f>REPLACE(INDEX(GroupVertices[Group],MATCH(Vertices[[#This Row],[Vertex]],GroupVertices[Vertex],0)),1,1,"")</f>
        <v>2</v>
      </c>
      <c r="BB8" s="49">
        <v>0</v>
      </c>
      <c r="BC8" s="50">
        <v>0</v>
      </c>
      <c r="BD8" s="49">
        <v>0</v>
      </c>
      <c r="BE8" s="50">
        <v>0</v>
      </c>
      <c r="BF8" s="49">
        <v>0</v>
      </c>
      <c r="BG8" s="50">
        <v>0</v>
      </c>
      <c r="BH8" s="49">
        <v>24</v>
      </c>
      <c r="BI8" s="50">
        <v>100</v>
      </c>
      <c r="BJ8" s="49">
        <v>24</v>
      </c>
      <c r="BK8" s="49"/>
      <c r="BL8" s="49"/>
      <c r="BM8" s="49"/>
      <c r="BN8" s="49"/>
      <c r="BO8" s="49"/>
      <c r="BP8" s="49"/>
      <c r="BQ8" s="123" t="s">
        <v>4185</v>
      </c>
      <c r="BR8" s="123" t="s">
        <v>4185</v>
      </c>
      <c r="BS8" s="123" t="s">
        <v>4306</v>
      </c>
      <c r="BT8" s="123" t="s">
        <v>4306</v>
      </c>
      <c r="BU8" s="2"/>
      <c r="BV8" s="3"/>
      <c r="BW8" s="3"/>
      <c r="BX8" s="3"/>
      <c r="BY8" s="3"/>
    </row>
    <row r="9" spans="1:77" ht="15">
      <c r="A9" s="65" t="s">
        <v>219</v>
      </c>
      <c r="B9" s="66"/>
      <c r="C9" s="66" t="s">
        <v>46</v>
      </c>
      <c r="D9" s="67"/>
      <c r="E9" s="69"/>
      <c r="F9" s="111" t="str">
        <f>HYPERLINK("https://pbs.twimg.com/profile_images/1465997347775815690/2G9J0yjX_normal.jpg")</f>
        <v>https://pbs.twimg.com/profile_images/1465997347775815690/2G9J0yjX_normal.jpg</v>
      </c>
      <c r="G9" s="66"/>
      <c r="H9" s="70" t="s">
        <v>219</v>
      </c>
      <c r="I9" s="71" t="s">
        <v>4408</v>
      </c>
      <c r="J9" s="71" t="s">
        <v>73</v>
      </c>
      <c r="K9" s="70" t="s">
        <v>1817</v>
      </c>
      <c r="L9" s="74">
        <v>1</v>
      </c>
      <c r="M9" s="75">
        <v>2687.735595703125</v>
      </c>
      <c r="N9" s="75">
        <v>9036.2041015625</v>
      </c>
      <c r="O9" s="76"/>
      <c r="P9" s="77"/>
      <c r="Q9" s="77"/>
      <c r="R9" s="104"/>
      <c r="S9" s="49">
        <v>0</v>
      </c>
      <c r="T9" s="49">
        <v>1</v>
      </c>
      <c r="U9" s="50">
        <v>0</v>
      </c>
      <c r="V9" s="50">
        <v>0.210637</v>
      </c>
      <c r="W9" s="50">
        <v>0.031853</v>
      </c>
      <c r="X9" s="50">
        <v>0.003759</v>
      </c>
      <c r="Y9" s="50">
        <v>0</v>
      </c>
      <c r="Z9" s="50">
        <v>0</v>
      </c>
      <c r="AA9" s="72">
        <v>9</v>
      </c>
      <c r="AB9" s="72"/>
      <c r="AC9" s="73"/>
      <c r="AD9" s="89" t="s">
        <v>1173</v>
      </c>
      <c r="AE9" s="96" t="s">
        <v>1401</v>
      </c>
      <c r="AF9" s="89">
        <v>94</v>
      </c>
      <c r="AG9" s="89">
        <v>15</v>
      </c>
      <c r="AH9" s="89">
        <v>248</v>
      </c>
      <c r="AI9" s="89">
        <v>1439</v>
      </c>
      <c r="AJ9" s="89"/>
      <c r="AK9" s="89" t="s">
        <v>1594</v>
      </c>
      <c r="AL9" s="89" t="s">
        <v>1764</v>
      </c>
      <c r="AM9" s="89"/>
      <c r="AN9" s="89"/>
      <c r="AO9" s="92">
        <v>41576.663877314815</v>
      </c>
      <c r="AP9" s="99" t="str">
        <f>HYPERLINK("https://pbs.twimg.com/profile_banners/2158777743/1638356048")</f>
        <v>https://pbs.twimg.com/profile_banners/2158777743/1638356048</v>
      </c>
      <c r="AQ9" s="89" t="b">
        <v>1</v>
      </c>
      <c r="AR9" s="89" t="b">
        <v>0</v>
      </c>
      <c r="AS9" s="89" t="b">
        <v>0</v>
      </c>
      <c r="AT9" s="89"/>
      <c r="AU9" s="89">
        <v>0</v>
      </c>
      <c r="AV9" s="99" t="str">
        <f>HYPERLINK("https://abs.twimg.com/images/themes/theme1/bg.png")</f>
        <v>https://abs.twimg.com/images/themes/theme1/bg.png</v>
      </c>
      <c r="AW9" s="89" t="b">
        <v>0</v>
      </c>
      <c r="AX9" s="89" t="s">
        <v>1811</v>
      </c>
      <c r="AY9" s="99" t="str">
        <f>HYPERLINK("https://twitter.com/ez_matti")</f>
        <v>https://twitter.com/ez_matti</v>
      </c>
      <c r="AZ9" s="89" t="s">
        <v>66</v>
      </c>
      <c r="BA9" s="89" t="str">
        <f>REPLACE(INDEX(GroupVertices[Group],MATCH(Vertices[[#This Row],[Vertex]],GroupVertices[Vertex],0)),1,1,"")</f>
        <v>2</v>
      </c>
      <c r="BB9" s="49">
        <v>0</v>
      </c>
      <c r="BC9" s="50">
        <v>0</v>
      </c>
      <c r="BD9" s="49">
        <v>0</v>
      </c>
      <c r="BE9" s="50">
        <v>0</v>
      </c>
      <c r="BF9" s="49">
        <v>0</v>
      </c>
      <c r="BG9" s="50">
        <v>0</v>
      </c>
      <c r="BH9" s="49">
        <v>24</v>
      </c>
      <c r="BI9" s="50">
        <v>100</v>
      </c>
      <c r="BJ9" s="49">
        <v>24</v>
      </c>
      <c r="BK9" s="49"/>
      <c r="BL9" s="49"/>
      <c r="BM9" s="49"/>
      <c r="BN9" s="49"/>
      <c r="BO9" s="49"/>
      <c r="BP9" s="49"/>
      <c r="BQ9" s="123" t="s">
        <v>4185</v>
      </c>
      <c r="BR9" s="123" t="s">
        <v>4185</v>
      </c>
      <c r="BS9" s="123" t="s">
        <v>4306</v>
      </c>
      <c r="BT9" s="123" t="s">
        <v>4306</v>
      </c>
      <c r="BU9" s="2"/>
      <c r="BV9" s="3"/>
      <c r="BW9" s="3"/>
      <c r="BX9" s="3"/>
      <c r="BY9" s="3"/>
    </row>
    <row r="10" spans="1:77" ht="15">
      <c r="A10" s="65" t="s">
        <v>220</v>
      </c>
      <c r="B10" s="66"/>
      <c r="C10" s="66" t="s">
        <v>46</v>
      </c>
      <c r="D10" s="67"/>
      <c r="E10" s="69"/>
      <c r="F10" s="111" t="str">
        <f>HYPERLINK("https://pbs.twimg.com/profile_images/1465296712550035460/BxEZb_0b_normal.jpg")</f>
        <v>https://pbs.twimg.com/profile_images/1465296712550035460/BxEZb_0b_normal.jpg</v>
      </c>
      <c r="G10" s="66"/>
      <c r="H10" s="70" t="s">
        <v>220</v>
      </c>
      <c r="I10" s="71" t="s">
        <v>4408</v>
      </c>
      <c r="J10" s="71" t="s">
        <v>73</v>
      </c>
      <c r="K10" s="70" t="s">
        <v>1818</v>
      </c>
      <c r="L10" s="74">
        <v>1</v>
      </c>
      <c r="M10" s="75">
        <v>2112.5078125</v>
      </c>
      <c r="N10" s="75">
        <v>7318.09228515625</v>
      </c>
      <c r="O10" s="76"/>
      <c r="P10" s="77"/>
      <c r="Q10" s="77"/>
      <c r="R10" s="104"/>
      <c r="S10" s="49">
        <v>0</v>
      </c>
      <c r="T10" s="49">
        <v>1</v>
      </c>
      <c r="U10" s="50">
        <v>0</v>
      </c>
      <c r="V10" s="50">
        <v>0.210637</v>
      </c>
      <c r="W10" s="50">
        <v>0.031853</v>
      </c>
      <c r="X10" s="50">
        <v>0.003759</v>
      </c>
      <c r="Y10" s="50">
        <v>0</v>
      </c>
      <c r="Z10" s="50">
        <v>0</v>
      </c>
      <c r="AA10" s="72">
        <v>10</v>
      </c>
      <c r="AB10" s="72"/>
      <c r="AC10" s="73"/>
      <c r="AD10" s="89" t="s">
        <v>1174</v>
      </c>
      <c r="AE10" s="96" t="s">
        <v>1402</v>
      </c>
      <c r="AF10" s="89">
        <v>122</v>
      </c>
      <c r="AG10" s="89">
        <v>142</v>
      </c>
      <c r="AH10" s="89">
        <v>348</v>
      </c>
      <c r="AI10" s="89">
        <v>20529</v>
      </c>
      <c r="AJ10" s="89"/>
      <c r="AK10" s="89"/>
      <c r="AL10" s="89"/>
      <c r="AM10" s="89"/>
      <c r="AN10" s="89"/>
      <c r="AO10" s="92">
        <v>40990.82126157408</v>
      </c>
      <c r="AP10" s="99" t="str">
        <f>HYPERLINK("https://pbs.twimg.com/profile_banners/533428919/1394885916")</f>
        <v>https://pbs.twimg.com/profile_banners/533428919/1394885916</v>
      </c>
      <c r="AQ10" s="89" t="b">
        <v>1</v>
      </c>
      <c r="AR10" s="89" t="b">
        <v>0</v>
      </c>
      <c r="AS10" s="89" t="b">
        <v>0</v>
      </c>
      <c r="AT10" s="89"/>
      <c r="AU10" s="89">
        <v>0</v>
      </c>
      <c r="AV10" s="99" t="str">
        <f>HYPERLINK("https://abs.twimg.com/images/themes/theme1/bg.png")</f>
        <v>https://abs.twimg.com/images/themes/theme1/bg.png</v>
      </c>
      <c r="AW10" s="89" t="b">
        <v>0</v>
      </c>
      <c r="AX10" s="89" t="s">
        <v>1811</v>
      </c>
      <c r="AY10" s="99" t="str">
        <f>HYPERLINK("https://twitter.com/j_djaerf")</f>
        <v>https://twitter.com/j_djaerf</v>
      </c>
      <c r="AZ10" s="89" t="s">
        <v>66</v>
      </c>
      <c r="BA10" s="89" t="str">
        <f>REPLACE(INDEX(GroupVertices[Group],MATCH(Vertices[[#This Row],[Vertex]],GroupVertices[Vertex],0)),1,1,"")</f>
        <v>2</v>
      </c>
      <c r="BB10" s="49">
        <v>0</v>
      </c>
      <c r="BC10" s="50">
        <v>0</v>
      </c>
      <c r="BD10" s="49">
        <v>0</v>
      </c>
      <c r="BE10" s="50">
        <v>0</v>
      </c>
      <c r="BF10" s="49">
        <v>0</v>
      </c>
      <c r="BG10" s="50">
        <v>0</v>
      </c>
      <c r="BH10" s="49">
        <v>24</v>
      </c>
      <c r="BI10" s="50">
        <v>100</v>
      </c>
      <c r="BJ10" s="49">
        <v>24</v>
      </c>
      <c r="BK10" s="49"/>
      <c r="BL10" s="49"/>
      <c r="BM10" s="49"/>
      <c r="BN10" s="49"/>
      <c r="BO10" s="49"/>
      <c r="BP10" s="49"/>
      <c r="BQ10" s="123" t="s">
        <v>4185</v>
      </c>
      <c r="BR10" s="123" t="s">
        <v>4185</v>
      </c>
      <c r="BS10" s="123" t="s">
        <v>4306</v>
      </c>
      <c r="BT10" s="123" t="s">
        <v>4306</v>
      </c>
      <c r="BU10" s="2"/>
      <c r="BV10" s="3"/>
      <c r="BW10" s="3"/>
      <c r="BX10" s="3"/>
      <c r="BY10" s="3"/>
    </row>
    <row r="11" spans="1:77" ht="15">
      <c r="A11" s="65" t="s">
        <v>221</v>
      </c>
      <c r="B11" s="66"/>
      <c r="C11" s="66" t="s">
        <v>46</v>
      </c>
      <c r="D11" s="67"/>
      <c r="E11" s="69"/>
      <c r="F11" s="111" t="str">
        <f>HYPERLINK("https://pbs.twimg.com/profile_images/1428803411584159751/8BxG4iO6_normal.jpg")</f>
        <v>https://pbs.twimg.com/profile_images/1428803411584159751/8BxG4iO6_normal.jpg</v>
      </c>
      <c r="G11" s="66"/>
      <c r="H11" s="70" t="s">
        <v>221</v>
      </c>
      <c r="I11" s="71" t="s">
        <v>4408</v>
      </c>
      <c r="J11" s="71" t="s">
        <v>73</v>
      </c>
      <c r="K11" s="70" t="s">
        <v>1819</v>
      </c>
      <c r="L11" s="74">
        <v>1</v>
      </c>
      <c r="M11" s="75">
        <v>2019.1453857421875</v>
      </c>
      <c r="N11" s="75">
        <v>6695.681640625</v>
      </c>
      <c r="O11" s="76"/>
      <c r="P11" s="77"/>
      <c r="Q11" s="77"/>
      <c r="R11" s="104"/>
      <c r="S11" s="49">
        <v>0</v>
      </c>
      <c r="T11" s="49">
        <v>1</v>
      </c>
      <c r="U11" s="50">
        <v>0</v>
      </c>
      <c r="V11" s="50">
        <v>0.210637</v>
      </c>
      <c r="W11" s="50">
        <v>0.031853</v>
      </c>
      <c r="X11" s="50">
        <v>0.003759</v>
      </c>
      <c r="Y11" s="50">
        <v>0</v>
      </c>
      <c r="Z11" s="50">
        <v>0</v>
      </c>
      <c r="AA11" s="72">
        <v>11</v>
      </c>
      <c r="AB11" s="72"/>
      <c r="AC11" s="73"/>
      <c r="AD11" s="89" t="s">
        <v>1175</v>
      </c>
      <c r="AE11" s="96" t="s">
        <v>1403</v>
      </c>
      <c r="AF11" s="89">
        <v>203</v>
      </c>
      <c r="AG11" s="89">
        <v>167</v>
      </c>
      <c r="AH11" s="89">
        <v>5888</v>
      </c>
      <c r="AI11" s="89">
        <v>15698</v>
      </c>
      <c r="AJ11" s="89"/>
      <c r="AK11" s="89" t="s">
        <v>1595</v>
      </c>
      <c r="AL11" s="89"/>
      <c r="AM11" s="89"/>
      <c r="AN11" s="89"/>
      <c r="AO11" s="92">
        <v>44164.4490625</v>
      </c>
      <c r="AP11" s="99" t="str">
        <f>HYPERLINK("https://pbs.twimg.com/profile_banners/1332999283763781632/1629485450")</f>
        <v>https://pbs.twimg.com/profile_banners/1332999283763781632/1629485450</v>
      </c>
      <c r="AQ11" s="89" t="b">
        <v>1</v>
      </c>
      <c r="AR11" s="89" t="b">
        <v>0</v>
      </c>
      <c r="AS11" s="89" t="b">
        <v>0</v>
      </c>
      <c r="AT11" s="89"/>
      <c r="AU11" s="89">
        <v>1</v>
      </c>
      <c r="AV11" s="89"/>
      <c r="AW11" s="89" t="b">
        <v>0</v>
      </c>
      <c r="AX11" s="89" t="s">
        <v>1811</v>
      </c>
      <c r="AY11" s="99" t="str">
        <f>HYPERLINK("https://twitter.com/troijanhevonen")</f>
        <v>https://twitter.com/troijanhevonen</v>
      </c>
      <c r="AZ11" s="89" t="s">
        <v>66</v>
      </c>
      <c r="BA11" s="89" t="str">
        <f>REPLACE(INDEX(GroupVertices[Group],MATCH(Vertices[[#This Row],[Vertex]],GroupVertices[Vertex],0)),1,1,"")</f>
        <v>2</v>
      </c>
      <c r="BB11" s="49">
        <v>0</v>
      </c>
      <c r="BC11" s="50">
        <v>0</v>
      </c>
      <c r="BD11" s="49">
        <v>0</v>
      </c>
      <c r="BE11" s="50">
        <v>0</v>
      </c>
      <c r="BF11" s="49">
        <v>0</v>
      </c>
      <c r="BG11" s="50">
        <v>0</v>
      </c>
      <c r="BH11" s="49">
        <v>24</v>
      </c>
      <c r="BI11" s="50">
        <v>100</v>
      </c>
      <c r="BJ11" s="49">
        <v>24</v>
      </c>
      <c r="BK11" s="49"/>
      <c r="BL11" s="49"/>
      <c r="BM11" s="49"/>
      <c r="BN11" s="49"/>
      <c r="BO11" s="49"/>
      <c r="BP11" s="49"/>
      <c r="BQ11" s="123" t="s">
        <v>4185</v>
      </c>
      <c r="BR11" s="123" t="s">
        <v>4185</v>
      </c>
      <c r="BS11" s="123" t="s">
        <v>4306</v>
      </c>
      <c r="BT11" s="123" t="s">
        <v>4306</v>
      </c>
      <c r="BU11" s="2"/>
      <c r="BV11" s="3"/>
      <c r="BW11" s="3"/>
      <c r="BX11" s="3"/>
      <c r="BY11" s="3"/>
    </row>
    <row r="12" spans="1:77" ht="15">
      <c r="A12" s="65" t="s">
        <v>222</v>
      </c>
      <c r="B12" s="66"/>
      <c r="C12" s="66" t="s">
        <v>46</v>
      </c>
      <c r="D12" s="67"/>
      <c r="E12" s="69"/>
      <c r="F12" s="111" t="str">
        <f>HYPERLINK("https://pbs.twimg.com/profile_images/1479781575592230915/h-0Osekw_normal.jpg")</f>
        <v>https://pbs.twimg.com/profile_images/1479781575592230915/h-0Osekw_normal.jpg</v>
      </c>
      <c r="G12" s="66"/>
      <c r="H12" s="70" t="s">
        <v>222</v>
      </c>
      <c r="I12" s="71" t="s">
        <v>4408</v>
      </c>
      <c r="J12" s="71" t="s">
        <v>73</v>
      </c>
      <c r="K12" s="70" t="s">
        <v>1820</v>
      </c>
      <c r="L12" s="74">
        <v>1</v>
      </c>
      <c r="M12" s="75">
        <v>1494.00244140625</v>
      </c>
      <c r="N12" s="75">
        <v>9429.138671875</v>
      </c>
      <c r="O12" s="76"/>
      <c r="P12" s="77"/>
      <c r="Q12" s="77"/>
      <c r="R12" s="104"/>
      <c r="S12" s="49">
        <v>0</v>
      </c>
      <c r="T12" s="49">
        <v>1</v>
      </c>
      <c r="U12" s="50">
        <v>0</v>
      </c>
      <c r="V12" s="50">
        <v>0.210637</v>
      </c>
      <c r="W12" s="50">
        <v>0.031853</v>
      </c>
      <c r="X12" s="50">
        <v>0.003759</v>
      </c>
      <c r="Y12" s="50">
        <v>0</v>
      </c>
      <c r="Z12" s="50">
        <v>0</v>
      </c>
      <c r="AA12" s="72">
        <v>12</v>
      </c>
      <c r="AB12" s="72"/>
      <c r="AC12" s="73"/>
      <c r="AD12" s="89" t="s">
        <v>1176</v>
      </c>
      <c r="AE12" s="96" t="s">
        <v>1404</v>
      </c>
      <c r="AF12" s="89">
        <v>116</v>
      </c>
      <c r="AG12" s="89">
        <v>147</v>
      </c>
      <c r="AH12" s="89">
        <v>3307</v>
      </c>
      <c r="AI12" s="89">
        <v>7078</v>
      </c>
      <c r="AJ12" s="89"/>
      <c r="AK12" s="89" t="s">
        <v>1596</v>
      </c>
      <c r="AL12" s="89"/>
      <c r="AM12" s="89"/>
      <c r="AN12" s="89"/>
      <c r="AO12" s="92">
        <v>44500.515023148146</v>
      </c>
      <c r="AP12" s="89"/>
      <c r="AQ12" s="89" t="b">
        <v>1</v>
      </c>
      <c r="AR12" s="89" t="b">
        <v>0</v>
      </c>
      <c r="AS12" s="89" t="b">
        <v>0</v>
      </c>
      <c r="AT12" s="89"/>
      <c r="AU12" s="89">
        <v>1</v>
      </c>
      <c r="AV12" s="89"/>
      <c r="AW12" s="89" t="b">
        <v>0</v>
      </c>
      <c r="AX12" s="89" t="s">
        <v>1811</v>
      </c>
      <c r="AY12" s="99" t="str">
        <f>HYPERLINK("https://twitter.com/geejopu")</f>
        <v>https://twitter.com/geejopu</v>
      </c>
      <c r="AZ12" s="89" t="s">
        <v>66</v>
      </c>
      <c r="BA12" s="89" t="str">
        <f>REPLACE(INDEX(GroupVertices[Group],MATCH(Vertices[[#This Row],[Vertex]],GroupVertices[Vertex],0)),1,1,"")</f>
        <v>2</v>
      </c>
      <c r="BB12" s="49">
        <v>0</v>
      </c>
      <c r="BC12" s="50">
        <v>0</v>
      </c>
      <c r="BD12" s="49">
        <v>0</v>
      </c>
      <c r="BE12" s="50">
        <v>0</v>
      </c>
      <c r="BF12" s="49">
        <v>0</v>
      </c>
      <c r="BG12" s="50">
        <v>0</v>
      </c>
      <c r="BH12" s="49">
        <v>24</v>
      </c>
      <c r="BI12" s="50">
        <v>100</v>
      </c>
      <c r="BJ12" s="49">
        <v>24</v>
      </c>
      <c r="BK12" s="49"/>
      <c r="BL12" s="49"/>
      <c r="BM12" s="49"/>
      <c r="BN12" s="49"/>
      <c r="BO12" s="49"/>
      <c r="BP12" s="49"/>
      <c r="BQ12" s="123" t="s">
        <v>4185</v>
      </c>
      <c r="BR12" s="123" t="s">
        <v>4185</v>
      </c>
      <c r="BS12" s="123" t="s">
        <v>4306</v>
      </c>
      <c r="BT12" s="123" t="s">
        <v>4306</v>
      </c>
      <c r="BU12" s="2"/>
      <c r="BV12" s="3"/>
      <c r="BW12" s="3"/>
      <c r="BX12" s="3"/>
      <c r="BY12" s="3"/>
    </row>
    <row r="13" spans="1:77" ht="15">
      <c r="A13" s="65" t="s">
        <v>223</v>
      </c>
      <c r="B13" s="66"/>
      <c r="C13" s="66" t="s">
        <v>46</v>
      </c>
      <c r="D13" s="67"/>
      <c r="E13" s="69"/>
      <c r="F13" s="111" t="str">
        <f>HYPERLINK("https://pbs.twimg.com/profile_images/1478065027978518534/Smk_9HUE_normal.jpg")</f>
        <v>https://pbs.twimg.com/profile_images/1478065027978518534/Smk_9HUE_normal.jpg</v>
      </c>
      <c r="G13" s="66"/>
      <c r="H13" s="70" t="s">
        <v>223</v>
      </c>
      <c r="I13" s="71" t="s">
        <v>4408</v>
      </c>
      <c r="J13" s="71" t="s">
        <v>73</v>
      </c>
      <c r="K13" s="70" t="s">
        <v>1821</v>
      </c>
      <c r="L13" s="74">
        <v>1</v>
      </c>
      <c r="M13" s="75">
        <v>2017.3524169921875</v>
      </c>
      <c r="N13" s="75">
        <v>9169.24609375</v>
      </c>
      <c r="O13" s="76"/>
      <c r="P13" s="77"/>
      <c r="Q13" s="77"/>
      <c r="R13" s="104"/>
      <c r="S13" s="49">
        <v>0</v>
      </c>
      <c r="T13" s="49">
        <v>1</v>
      </c>
      <c r="U13" s="50">
        <v>0</v>
      </c>
      <c r="V13" s="50">
        <v>0.210637</v>
      </c>
      <c r="W13" s="50">
        <v>0.031853</v>
      </c>
      <c r="X13" s="50">
        <v>0.003759</v>
      </c>
      <c r="Y13" s="50">
        <v>0</v>
      </c>
      <c r="Z13" s="50">
        <v>0</v>
      </c>
      <c r="AA13" s="72">
        <v>13</v>
      </c>
      <c r="AB13" s="72"/>
      <c r="AC13" s="73"/>
      <c r="AD13" s="89" t="s">
        <v>1177</v>
      </c>
      <c r="AE13" s="96" t="s">
        <v>1405</v>
      </c>
      <c r="AF13" s="89">
        <v>847</v>
      </c>
      <c r="AG13" s="89">
        <v>560</v>
      </c>
      <c r="AH13" s="89">
        <v>2412</v>
      </c>
      <c r="AI13" s="89">
        <v>27565</v>
      </c>
      <c r="AJ13" s="89"/>
      <c r="AK13" s="89" t="s">
        <v>1597</v>
      </c>
      <c r="AL13" s="89"/>
      <c r="AM13" s="89"/>
      <c r="AN13" s="89"/>
      <c r="AO13" s="92">
        <v>44176.527141203704</v>
      </c>
      <c r="AP13" s="89"/>
      <c r="AQ13" s="89" t="b">
        <v>1</v>
      </c>
      <c r="AR13" s="89" t="b">
        <v>0</v>
      </c>
      <c r="AS13" s="89" t="b">
        <v>0</v>
      </c>
      <c r="AT13" s="89"/>
      <c r="AU13" s="89">
        <v>1</v>
      </c>
      <c r="AV13" s="89"/>
      <c r="AW13" s="89" t="b">
        <v>0</v>
      </c>
      <c r="AX13" s="89" t="s">
        <v>1811</v>
      </c>
      <c r="AY13" s="99" t="str">
        <f>HYPERLINK("https://twitter.com/airioleena")</f>
        <v>https://twitter.com/airioleena</v>
      </c>
      <c r="AZ13" s="89" t="s">
        <v>66</v>
      </c>
      <c r="BA13" s="89" t="str">
        <f>REPLACE(INDEX(GroupVertices[Group],MATCH(Vertices[[#This Row],[Vertex]],GroupVertices[Vertex],0)),1,1,"")</f>
        <v>2</v>
      </c>
      <c r="BB13" s="49">
        <v>0</v>
      </c>
      <c r="BC13" s="50">
        <v>0</v>
      </c>
      <c r="BD13" s="49">
        <v>0</v>
      </c>
      <c r="BE13" s="50">
        <v>0</v>
      </c>
      <c r="BF13" s="49">
        <v>0</v>
      </c>
      <c r="BG13" s="50">
        <v>0</v>
      </c>
      <c r="BH13" s="49">
        <v>24</v>
      </c>
      <c r="BI13" s="50">
        <v>100</v>
      </c>
      <c r="BJ13" s="49">
        <v>24</v>
      </c>
      <c r="BK13" s="49"/>
      <c r="BL13" s="49"/>
      <c r="BM13" s="49"/>
      <c r="BN13" s="49"/>
      <c r="BO13" s="49"/>
      <c r="BP13" s="49"/>
      <c r="BQ13" s="123" t="s">
        <v>4185</v>
      </c>
      <c r="BR13" s="123" t="s">
        <v>4185</v>
      </c>
      <c r="BS13" s="123" t="s">
        <v>4306</v>
      </c>
      <c r="BT13" s="123" t="s">
        <v>4306</v>
      </c>
      <c r="BU13" s="2"/>
      <c r="BV13" s="3"/>
      <c r="BW13" s="3"/>
      <c r="BX13" s="3"/>
      <c r="BY13" s="3"/>
    </row>
    <row r="14" spans="1:77" ht="15">
      <c r="A14" s="65" t="s">
        <v>224</v>
      </c>
      <c r="B14" s="66"/>
      <c r="C14" s="66" t="s">
        <v>46</v>
      </c>
      <c r="D14" s="67"/>
      <c r="E14" s="69"/>
      <c r="F14" s="111" t="str">
        <f>HYPERLINK("https://pbs.twimg.com/profile_images/1440051233096536066/51BXwESC_normal.jpg")</f>
        <v>https://pbs.twimg.com/profile_images/1440051233096536066/51BXwESC_normal.jpg</v>
      </c>
      <c r="G14" s="66"/>
      <c r="H14" s="70" t="s">
        <v>224</v>
      </c>
      <c r="I14" s="71" t="s">
        <v>4408</v>
      </c>
      <c r="J14" s="71" t="s">
        <v>73</v>
      </c>
      <c r="K14" s="70" t="s">
        <v>1822</v>
      </c>
      <c r="L14" s="74">
        <v>1</v>
      </c>
      <c r="M14" s="75">
        <v>2684.76708984375</v>
      </c>
      <c r="N14" s="75">
        <v>7738.6708984375</v>
      </c>
      <c r="O14" s="76"/>
      <c r="P14" s="77"/>
      <c r="Q14" s="77"/>
      <c r="R14" s="104"/>
      <c r="S14" s="49">
        <v>0</v>
      </c>
      <c r="T14" s="49">
        <v>2</v>
      </c>
      <c r="U14" s="50">
        <v>354</v>
      </c>
      <c r="V14" s="50">
        <v>0.211283</v>
      </c>
      <c r="W14" s="50">
        <v>0.032383</v>
      </c>
      <c r="X14" s="50">
        <v>0.00436</v>
      </c>
      <c r="Y14" s="50">
        <v>0</v>
      </c>
      <c r="Z14" s="50">
        <v>0</v>
      </c>
      <c r="AA14" s="72">
        <v>14</v>
      </c>
      <c r="AB14" s="72"/>
      <c r="AC14" s="73"/>
      <c r="AD14" s="89" t="s">
        <v>1178</v>
      </c>
      <c r="AE14" s="96" t="s">
        <v>1406</v>
      </c>
      <c r="AF14" s="89">
        <v>1537</v>
      </c>
      <c r="AG14" s="89">
        <v>1283</v>
      </c>
      <c r="AH14" s="89">
        <v>14018</v>
      </c>
      <c r="AI14" s="89">
        <v>96895</v>
      </c>
      <c r="AJ14" s="89"/>
      <c r="AK14" s="89" t="s">
        <v>1598</v>
      </c>
      <c r="AL14" s="89" t="s">
        <v>1765</v>
      </c>
      <c r="AM14" s="89"/>
      <c r="AN14" s="89"/>
      <c r="AO14" s="92">
        <v>43527.683344907404</v>
      </c>
      <c r="AP14" s="99" t="str">
        <f>HYPERLINK("https://pbs.twimg.com/profile_banners/1102243238080069632/1615393485")</f>
        <v>https://pbs.twimg.com/profile_banners/1102243238080069632/1615393485</v>
      </c>
      <c r="AQ14" s="89" t="b">
        <v>1</v>
      </c>
      <c r="AR14" s="89" t="b">
        <v>0</v>
      </c>
      <c r="AS14" s="89" t="b">
        <v>0</v>
      </c>
      <c r="AT14" s="89"/>
      <c r="AU14" s="89">
        <v>3</v>
      </c>
      <c r="AV14" s="89"/>
      <c r="AW14" s="89" t="b">
        <v>0</v>
      </c>
      <c r="AX14" s="89" t="s">
        <v>1811</v>
      </c>
      <c r="AY14" s="99" t="str">
        <f>HYPERLINK("https://twitter.com/rane72646372")</f>
        <v>https://twitter.com/rane72646372</v>
      </c>
      <c r="AZ14" s="89" t="s">
        <v>66</v>
      </c>
      <c r="BA14" s="89" t="str">
        <f>REPLACE(INDEX(GroupVertices[Group],MATCH(Vertices[[#This Row],[Vertex]],GroupVertices[Vertex],0)),1,1,"")</f>
        <v>2</v>
      </c>
      <c r="BB14" s="49">
        <v>0</v>
      </c>
      <c r="BC14" s="50">
        <v>0</v>
      </c>
      <c r="BD14" s="49">
        <v>0</v>
      </c>
      <c r="BE14" s="50">
        <v>0</v>
      </c>
      <c r="BF14" s="49">
        <v>0</v>
      </c>
      <c r="BG14" s="50">
        <v>0</v>
      </c>
      <c r="BH14" s="49">
        <v>27</v>
      </c>
      <c r="BI14" s="50">
        <v>100</v>
      </c>
      <c r="BJ14" s="49">
        <v>27</v>
      </c>
      <c r="BK14" s="49"/>
      <c r="BL14" s="49"/>
      <c r="BM14" s="49"/>
      <c r="BN14" s="49"/>
      <c r="BO14" s="49" t="s">
        <v>556</v>
      </c>
      <c r="BP14" s="49" t="s">
        <v>556</v>
      </c>
      <c r="BQ14" s="123" t="s">
        <v>4186</v>
      </c>
      <c r="BR14" s="123" t="s">
        <v>4186</v>
      </c>
      <c r="BS14" s="123" t="s">
        <v>4307</v>
      </c>
      <c r="BT14" s="123" t="s">
        <v>4307</v>
      </c>
      <c r="BU14" s="2"/>
      <c r="BV14" s="3"/>
      <c r="BW14" s="3"/>
      <c r="BX14" s="3"/>
      <c r="BY14" s="3"/>
    </row>
    <row r="15" spans="1:77" ht="15">
      <c r="A15" s="65" t="s">
        <v>406</v>
      </c>
      <c r="B15" s="66"/>
      <c r="C15" s="66" t="s">
        <v>46</v>
      </c>
      <c r="D15" s="67">
        <v>10</v>
      </c>
      <c r="E15" s="69"/>
      <c r="F15" s="111" t="str">
        <f>HYPERLINK("https://pbs.twimg.com/profile_images/1476570476617080842/gBIqjK-A_normal.jpg")</f>
        <v>https://pbs.twimg.com/profile_images/1476570476617080842/gBIqjK-A_normal.jpg</v>
      </c>
      <c r="G15" s="66"/>
      <c r="H15" s="70" t="s">
        <v>406</v>
      </c>
      <c r="I15" s="71" t="s">
        <v>4408</v>
      </c>
      <c r="J15" s="71" t="s">
        <v>75</v>
      </c>
      <c r="K15" s="70" t="s">
        <v>1823</v>
      </c>
      <c r="L15" s="74">
        <v>200.96</v>
      </c>
      <c r="M15" s="75">
        <v>3369.023193359375</v>
      </c>
      <c r="N15" s="75">
        <v>7259.4990234375</v>
      </c>
      <c r="O15" s="76"/>
      <c r="P15" s="77"/>
      <c r="Q15" s="77"/>
      <c r="R15" s="104"/>
      <c r="S15" s="49">
        <v>1</v>
      </c>
      <c r="T15" s="49">
        <v>0</v>
      </c>
      <c r="U15" s="50">
        <v>0</v>
      </c>
      <c r="V15" s="50">
        <v>0.166172</v>
      </c>
      <c r="W15" s="50">
        <v>0.004144</v>
      </c>
      <c r="X15" s="50">
        <v>0.004007</v>
      </c>
      <c r="Y15" s="50">
        <v>0</v>
      </c>
      <c r="Z15" s="50">
        <v>0</v>
      </c>
      <c r="AA15" s="72">
        <v>15</v>
      </c>
      <c r="AB15" s="72"/>
      <c r="AC15" s="73"/>
      <c r="AD15" s="89" t="s">
        <v>1179</v>
      </c>
      <c r="AE15" s="96" t="s">
        <v>1088</v>
      </c>
      <c r="AF15" s="89">
        <v>894</v>
      </c>
      <c r="AG15" s="89">
        <v>946</v>
      </c>
      <c r="AH15" s="89">
        <v>2983</v>
      </c>
      <c r="AI15" s="89">
        <v>29393</v>
      </c>
      <c r="AJ15" s="89"/>
      <c r="AK15" s="89" t="s">
        <v>1599</v>
      </c>
      <c r="AL15" s="89" t="s">
        <v>1766</v>
      </c>
      <c r="AM15" s="89"/>
      <c r="AN15" s="89"/>
      <c r="AO15" s="92">
        <v>44411.82465277778</v>
      </c>
      <c r="AP15" s="99" t="str">
        <f>HYPERLINK("https://pbs.twimg.com/profile_banners/1422645252045918210/1634326019")</f>
        <v>https://pbs.twimg.com/profile_banners/1422645252045918210/1634326019</v>
      </c>
      <c r="AQ15" s="89" t="b">
        <v>1</v>
      </c>
      <c r="AR15" s="89" t="b">
        <v>0</v>
      </c>
      <c r="AS15" s="89" t="b">
        <v>0</v>
      </c>
      <c r="AT15" s="89"/>
      <c r="AU15" s="89">
        <v>1</v>
      </c>
      <c r="AV15" s="89"/>
      <c r="AW15" s="89" t="b">
        <v>0</v>
      </c>
      <c r="AX15" s="89" t="s">
        <v>1811</v>
      </c>
      <c r="AY15" s="99" t="str">
        <f>HYPERLINK("https://twitter.com/meetslight")</f>
        <v>https://twitter.com/meetslight</v>
      </c>
      <c r="AZ15" s="89" t="s">
        <v>65</v>
      </c>
      <c r="BA15" s="8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225</v>
      </c>
      <c r="B16" s="66"/>
      <c r="C16" s="66" t="s">
        <v>46</v>
      </c>
      <c r="D16" s="67"/>
      <c r="E16" s="69"/>
      <c r="F16" s="111" t="str">
        <f>HYPERLINK("https://pbs.twimg.com/profile_images/1460388526961344516/Iq252bVI_normal.jpg")</f>
        <v>https://pbs.twimg.com/profile_images/1460388526961344516/Iq252bVI_normal.jpg</v>
      </c>
      <c r="G16" s="66"/>
      <c r="H16" s="70" t="s">
        <v>225</v>
      </c>
      <c r="I16" s="71" t="s">
        <v>4408</v>
      </c>
      <c r="J16" s="71" t="s">
        <v>73</v>
      </c>
      <c r="K16" s="70" t="s">
        <v>1824</v>
      </c>
      <c r="L16" s="74">
        <v>1</v>
      </c>
      <c r="M16" s="75">
        <v>1398.9251708984375</v>
      </c>
      <c r="N16" s="75">
        <v>8195.884765625</v>
      </c>
      <c r="O16" s="76"/>
      <c r="P16" s="77"/>
      <c r="Q16" s="77"/>
      <c r="R16" s="104"/>
      <c r="S16" s="49">
        <v>0</v>
      </c>
      <c r="T16" s="49">
        <v>1</v>
      </c>
      <c r="U16" s="50">
        <v>0</v>
      </c>
      <c r="V16" s="50">
        <v>0.210637</v>
      </c>
      <c r="W16" s="50">
        <v>0.031853</v>
      </c>
      <c r="X16" s="50">
        <v>0.003759</v>
      </c>
      <c r="Y16" s="50">
        <v>0</v>
      </c>
      <c r="Z16" s="50">
        <v>0</v>
      </c>
      <c r="AA16" s="72">
        <v>16</v>
      </c>
      <c r="AB16" s="72"/>
      <c r="AC16" s="73"/>
      <c r="AD16" s="89" t="s">
        <v>1180</v>
      </c>
      <c r="AE16" s="96" t="s">
        <v>1407</v>
      </c>
      <c r="AF16" s="89">
        <v>604</v>
      </c>
      <c r="AG16" s="89">
        <v>686</v>
      </c>
      <c r="AH16" s="89">
        <v>6830</v>
      </c>
      <c r="AI16" s="89">
        <v>41395</v>
      </c>
      <c r="AJ16" s="89"/>
      <c r="AK16" s="89" t="s">
        <v>1600</v>
      </c>
      <c r="AL16" s="89"/>
      <c r="AM16" s="89"/>
      <c r="AN16" s="89"/>
      <c r="AO16" s="92">
        <v>41596.90802083333</v>
      </c>
      <c r="AP16" s="99" t="str">
        <f>HYPERLINK("https://pbs.twimg.com/profile_banners/2202031068/1392932997")</f>
        <v>https://pbs.twimg.com/profile_banners/2202031068/1392932997</v>
      </c>
      <c r="AQ16" s="89" t="b">
        <v>1</v>
      </c>
      <c r="AR16" s="89" t="b">
        <v>0</v>
      </c>
      <c r="AS16" s="89" t="b">
        <v>0</v>
      </c>
      <c r="AT16" s="89"/>
      <c r="AU16" s="89">
        <v>3</v>
      </c>
      <c r="AV16" s="99" t="str">
        <f>HYPERLINK("https://abs.twimg.com/images/themes/theme1/bg.png")</f>
        <v>https://abs.twimg.com/images/themes/theme1/bg.png</v>
      </c>
      <c r="AW16" s="89" t="b">
        <v>0</v>
      </c>
      <c r="AX16" s="89" t="s">
        <v>1811</v>
      </c>
      <c r="AY16" s="99" t="str">
        <f>HYPERLINK("https://twitter.com/tatianadesancti")</f>
        <v>https://twitter.com/tatianadesancti</v>
      </c>
      <c r="AZ16" s="89" t="s">
        <v>66</v>
      </c>
      <c r="BA16" s="89" t="str">
        <f>REPLACE(INDEX(GroupVertices[Group],MATCH(Vertices[[#This Row],[Vertex]],GroupVertices[Vertex],0)),1,1,"")</f>
        <v>2</v>
      </c>
      <c r="BB16" s="49">
        <v>0</v>
      </c>
      <c r="BC16" s="50">
        <v>0</v>
      </c>
      <c r="BD16" s="49">
        <v>0</v>
      </c>
      <c r="BE16" s="50">
        <v>0</v>
      </c>
      <c r="BF16" s="49">
        <v>0</v>
      </c>
      <c r="BG16" s="50">
        <v>0</v>
      </c>
      <c r="BH16" s="49">
        <v>24</v>
      </c>
      <c r="BI16" s="50">
        <v>100</v>
      </c>
      <c r="BJ16" s="49">
        <v>24</v>
      </c>
      <c r="BK16" s="49"/>
      <c r="BL16" s="49"/>
      <c r="BM16" s="49"/>
      <c r="BN16" s="49"/>
      <c r="BO16" s="49"/>
      <c r="BP16" s="49"/>
      <c r="BQ16" s="123" t="s">
        <v>4185</v>
      </c>
      <c r="BR16" s="123" t="s">
        <v>4185</v>
      </c>
      <c r="BS16" s="123" t="s">
        <v>4306</v>
      </c>
      <c r="BT16" s="123" t="s">
        <v>4306</v>
      </c>
      <c r="BU16" s="2"/>
      <c r="BV16" s="3"/>
      <c r="BW16" s="3"/>
      <c r="BX16" s="3"/>
      <c r="BY16" s="3"/>
    </row>
    <row r="17" spans="1:77" ht="15">
      <c r="A17" s="65" t="s">
        <v>226</v>
      </c>
      <c r="B17" s="66"/>
      <c r="C17" s="66" t="s">
        <v>46</v>
      </c>
      <c r="D17" s="67"/>
      <c r="E17" s="69"/>
      <c r="F17" s="111" t="str">
        <f>HYPERLINK("https://pbs.twimg.com/profile_images/1475848578027466771/R-s7wARS_normal.jpg")</f>
        <v>https://pbs.twimg.com/profile_images/1475848578027466771/R-s7wARS_normal.jpg</v>
      </c>
      <c r="G17" s="66"/>
      <c r="H17" s="70" t="s">
        <v>226</v>
      </c>
      <c r="I17" s="71" t="s">
        <v>4408</v>
      </c>
      <c r="J17" s="71" t="s">
        <v>73</v>
      </c>
      <c r="K17" s="70" t="s">
        <v>1825</v>
      </c>
      <c r="L17" s="74">
        <v>1</v>
      </c>
      <c r="M17" s="75">
        <v>1342.24755859375</v>
      </c>
      <c r="N17" s="75">
        <v>9116.9765625</v>
      </c>
      <c r="O17" s="76"/>
      <c r="P17" s="77"/>
      <c r="Q17" s="77"/>
      <c r="R17" s="104"/>
      <c r="S17" s="49">
        <v>0</v>
      </c>
      <c r="T17" s="49">
        <v>1</v>
      </c>
      <c r="U17" s="50">
        <v>0</v>
      </c>
      <c r="V17" s="50">
        <v>0.210637</v>
      </c>
      <c r="W17" s="50">
        <v>0.031853</v>
      </c>
      <c r="X17" s="50">
        <v>0.003759</v>
      </c>
      <c r="Y17" s="50">
        <v>0</v>
      </c>
      <c r="Z17" s="50">
        <v>0</v>
      </c>
      <c r="AA17" s="72">
        <v>17</v>
      </c>
      <c r="AB17" s="72"/>
      <c r="AC17" s="73"/>
      <c r="AD17" s="89" t="s">
        <v>1181</v>
      </c>
      <c r="AE17" s="96" t="s">
        <v>1408</v>
      </c>
      <c r="AF17" s="89">
        <v>641</v>
      </c>
      <c r="AG17" s="89">
        <v>115</v>
      </c>
      <c r="AH17" s="89">
        <v>9790</v>
      </c>
      <c r="AI17" s="89">
        <v>20071</v>
      </c>
      <c r="AJ17" s="89"/>
      <c r="AK17" s="89" t="s">
        <v>1601</v>
      </c>
      <c r="AL17" s="89"/>
      <c r="AM17" s="89"/>
      <c r="AN17" s="89"/>
      <c r="AO17" s="92">
        <v>44172.33175925926</v>
      </c>
      <c r="AP17" s="89"/>
      <c r="AQ17" s="89" t="b">
        <v>1</v>
      </c>
      <c r="AR17" s="89" t="b">
        <v>0</v>
      </c>
      <c r="AS17" s="89" t="b">
        <v>0</v>
      </c>
      <c r="AT17" s="89"/>
      <c r="AU17" s="89">
        <v>0</v>
      </c>
      <c r="AV17" s="89"/>
      <c r="AW17" s="89" t="b">
        <v>0</v>
      </c>
      <c r="AX17" s="89" t="s">
        <v>1811</v>
      </c>
      <c r="AY17" s="99" t="str">
        <f>HYPERLINK("https://twitter.com/outis1917")</f>
        <v>https://twitter.com/outis1917</v>
      </c>
      <c r="AZ17" s="89" t="s">
        <v>66</v>
      </c>
      <c r="BA17" s="89" t="str">
        <f>REPLACE(INDEX(GroupVertices[Group],MATCH(Vertices[[#This Row],[Vertex]],GroupVertices[Vertex],0)),1,1,"")</f>
        <v>2</v>
      </c>
      <c r="BB17" s="49">
        <v>0</v>
      </c>
      <c r="BC17" s="50">
        <v>0</v>
      </c>
      <c r="BD17" s="49">
        <v>0</v>
      </c>
      <c r="BE17" s="50">
        <v>0</v>
      </c>
      <c r="BF17" s="49">
        <v>0</v>
      </c>
      <c r="BG17" s="50">
        <v>0</v>
      </c>
      <c r="BH17" s="49">
        <v>24</v>
      </c>
      <c r="BI17" s="50">
        <v>100</v>
      </c>
      <c r="BJ17" s="49">
        <v>24</v>
      </c>
      <c r="BK17" s="49"/>
      <c r="BL17" s="49"/>
      <c r="BM17" s="49"/>
      <c r="BN17" s="49"/>
      <c r="BO17" s="49"/>
      <c r="BP17" s="49"/>
      <c r="BQ17" s="123" t="s">
        <v>4185</v>
      </c>
      <c r="BR17" s="123" t="s">
        <v>4185</v>
      </c>
      <c r="BS17" s="123" t="s">
        <v>4306</v>
      </c>
      <c r="BT17" s="123" t="s">
        <v>4306</v>
      </c>
      <c r="BU17" s="2"/>
      <c r="BV17" s="3"/>
      <c r="BW17" s="3"/>
      <c r="BX17" s="3"/>
      <c r="BY17" s="3"/>
    </row>
    <row r="18" spans="1:77" ht="15">
      <c r="A18" s="65" t="s">
        <v>227</v>
      </c>
      <c r="B18" s="66"/>
      <c r="C18" s="66" t="s">
        <v>46</v>
      </c>
      <c r="D18" s="67"/>
      <c r="E18" s="69"/>
      <c r="F18" s="111" t="str">
        <f>HYPERLINK("https://pbs.twimg.com/profile_images/1387143026376577030/DBnX4TV6_normal.jpg")</f>
        <v>https://pbs.twimg.com/profile_images/1387143026376577030/DBnX4TV6_normal.jpg</v>
      </c>
      <c r="G18" s="66"/>
      <c r="H18" s="70" t="s">
        <v>227</v>
      </c>
      <c r="I18" s="71" t="s">
        <v>4408</v>
      </c>
      <c r="J18" s="71" t="s">
        <v>73</v>
      </c>
      <c r="K18" s="70" t="s">
        <v>1826</v>
      </c>
      <c r="L18" s="74">
        <v>1</v>
      </c>
      <c r="M18" s="75">
        <v>2118.046142578125</v>
      </c>
      <c r="N18" s="75">
        <v>9764.8310546875</v>
      </c>
      <c r="O18" s="76"/>
      <c r="P18" s="77"/>
      <c r="Q18" s="77"/>
      <c r="R18" s="104"/>
      <c r="S18" s="49">
        <v>0</v>
      </c>
      <c r="T18" s="49">
        <v>1</v>
      </c>
      <c r="U18" s="50">
        <v>0</v>
      </c>
      <c r="V18" s="50">
        <v>0.210637</v>
      </c>
      <c r="W18" s="50">
        <v>0.031853</v>
      </c>
      <c r="X18" s="50">
        <v>0.003759</v>
      </c>
      <c r="Y18" s="50">
        <v>0</v>
      </c>
      <c r="Z18" s="50">
        <v>0</v>
      </c>
      <c r="AA18" s="72">
        <v>18</v>
      </c>
      <c r="AB18" s="72"/>
      <c r="AC18" s="73"/>
      <c r="AD18" s="89" t="s">
        <v>1182</v>
      </c>
      <c r="AE18" s="96" t="s">
        <v>1409</v>
      </c>
      <c r="AF18" s="89">
        <v>403</v>
      </c>
      <c r="AG18" s="89">
        <v>118</v>
      </c>
      <c r="AH18" s="89">
        <v>4873</v>
      </c>
      <c r="AI18" s="89">
        <v>47719</v>
      </c>
      <c r="AJ18" s="89"/>
      <c r="AK18" s="89" t="s">
        <v>1602</v>
      </c>
      <c r="AL18" s="89"/>
      <c r="AM18" s="89"/>
      <c r="AN18" s="89"/>
      <c r="AO18" s="92">
        <v>41885.328368055554</v>
      </c>
      <c r="AP18" s="99" t="str">
        <f>HYPERLINK("https://pbs.twimg.com/profile_banners/2760177509/1628404600")</f>
        <v>https://pbs.twimg.com/profile_banners/2760177509/1628404600</v>
      </c>
      <c r="AQ18" s="89" t="b">
        <v>1</v>
      </c>
      <c r="AR18" s="89" t="b">
        <v>0</v>
      </c>
      <c r="AS18" s="89" t="b">
        <v>0</v>
      </c>
      <c r="AT18" s="89"/>
      <c r="AU18" s="89">
        <v>0</v>
      </c>
      <c r="AV18" s="99" t="str">
        <f>HYPERLINK("https://abs.twimg.com/images/themes/theme1/bg.png")</f>
        <v>https://abs.twimg.com/images/themes/theme1/bg.png</v>
      </c>
      <c r="AW18" s="89" t="b">
        <v>0</v>
      </c>
      <c r="AX18" s="89" t="s">
        <v>1811</v>
      </c>
      <c r="AY18" s="99" t="str">
        <f>HYPERLINK("https://twitter.com/disgustbird")</f>
        <v>https://twitter.com/disgustbird</v>
      </c>
      <c r="AZ18" s="89" t="s">
        <v>66</v>
      </c>
      <c r="BA18" s="89" t="str">
        <f>REPLACE(INDEX(GroupVertices[Group],MATCH(Vertices[[#This Row],[Vertex]],GroupVertices[Vertex],0)),1,1,"")</f>
        <v>2</v>
      </c>
      <c r="BB18" s="49">
        <v>0</v>
      </c>
      <c r="BC18" s="50">
        <v>0</v>
      </c>
      <c r="BD18" s="49">
        <v>0</v>
      </c>
      <c r="BE18" s="50">
        <v>0</v>
      </c>
      <c r="BF18" s="49">
        <v>0</v>
      </c>
      <c r="BG18" s="50">
        <v>0</v>
      </c>
      <c r="BH18" s="49">
        <v>24</v>
      </c>
      <c r="BI18" s="50">
        <v>100</v>
      </c>
      <c r="BJ18" s="49">
        <v>24</v>
      </c>
      <c r="BK18" s="49"/>
      <c r="BL18" s="49"/>
      <c r="BM18" s="49"/>
      <c r="BN18" s="49"/>
      <c r="BO18" s="49"/>
      <c r="BP18" s="49"/>
      <c r="BQ18" s="123" t="s">
        <v>4185</v>
      </c>
      <c r="BR18" s="123" t="s">
        <v>4185</v>
      </c>
      <c r="BS18" s="123" t="s">
        <v>4306</v>
      </c>
      <c r="BT18" s="123" t="s">
        <v>4306</v>
      </c>
      <c r="BU18" s="2"/>
      <c r="BV18" s="3"/>
      <c r="BW18" s="3"/>
      <c r="BX18" s="3"/>
      <c r="BY18" s="3"/>
    </row>
    <row r="19" spans="1:77" ht="15">
      <c r="A19" s="65" t="s">
        <v>228</v>
      </c>
      <c r="B19" s="66"/>
      <c r="C19" s="66" t="s">
        <v>46</v>
      </c>
      <c r="D19" s="67"/>
      <c r="E19" s="69"/>
      <c r="F19" s="111" t="str">
        <f>HYPERLINK("https://pbs.twimg.com/profile_images/1237813266212102145/EJtqDetJ_normal.jpg")</f>
        <v>https://pbs.twimg.com/profile_images/1237813266212102145/EJtqDetJ_normal.jpg</v>
      </c>
      <c r="G19" s="66"/>
      <c r="H19" s="70" t="s">
        <v>228</v>
      </c>
      <c r="I19" s="71" t="s">
        <v>4408</v>
      </c>
      <c r="J19" s="71" t="s">
        <v>73</v>
      </c>
      <c r="K19" s="70" t="s">
        <v>1827</v>
      </c>
      <c r="L19" s="74">
        <v>1</v>
      </c>
      <c r="M19" s="75">
        <v>2762.3544921875</v>
      </c>
      <c r="N19" s="75">
        <v>8630.619140625</v>
      </c>
      <c r="O19" s="76"/>
      <c r="P19" s="77"/>
      <c r="Q19" s="77"/>
      <c r="R19" s="104"/>
      <c r="S19" s="49">
        <v>0</v>
      </c>
      <c r="T19" s="49">
        <v>1</v>
      </c>
      <c r="U19" s="50">
        <v>0</v>
      </c>
      <c r="V19" s="50">
        <v>0.210637</v>
      </c>
      <c r="W19" s="50">
        <v>0.031853</v>
      </c>
      <c r="X19" s="50">
        <v>0.003759</v>
      </c>
      <c r="Y19" s="50">
        <v>0</v>
      </c>
      <c r="Z19" s="50">
        <v>0</v>
      </c>
      <c r="AA19" s="72">
        <v>19</v>
      </c>
      <c r="AB19" s="72"/>
      <c r="AC19" s="73"/>
      <c r="AD19" s="89" t="s">
        <v>1183</v>
      </c>
      <c r="AE19" s="96" t="s">
        <v>1410</v>
      </c>
      <c r="AF19" s="89">
        <v>267</v>
      </c>
      <c r="AG19" s="89">
        <v>90</v>
      </c>
      <c r="AH19" s="89">
        <v>8069</v>
      </c>
      <c r="AI19" s="89">
        <v>8256</v>
      </c>
      <c r="AJ19" s="89"/>
      <c r="AK19" s="89" t="s">
        <v>1603</v>
      </c>
      <c r="AL19" s="89"/>
      <c r="AM19" s="99" t="str">
        <f>HYPERLINK("https://t.co/bkeCn2CR10")</f>
        <v>https://t.co/bkeCn2CR10</v>
      </c>
      <c r="AN19" s="89"/>
      <c r="AO19" s="92">
        <v>41514.814039351855</v>
      </c>
      <c r="AP19" s="89"/>
      <c r="AQ19" s="89" t="b">
        <v>1</v>
      </c>
      <c r="AR19" s="89" t="b">
        <v>0</v>
      </c>
      <c r="AS19" s="89" t="b">
        <v>0</v>
      </c>
      <c r="AT19" s="89"/>
      <c r="AU19" s="89">
        <v>0</v>
      </c>
      <c r="AV19" s="99" t="str">
        <f>HYPERLINK("https://abs.twimg.com/images/themes/theme1/bg.png")</f>
        <v>https://abs.twimg.com/images/themes/theme1/bg.png</v>
      </c>
      <c r="AW19" s="89" t="b">
        <v>0</v>
      </c>
      <c r="AX19" s="89" t="s">
        <v>1811</v>
      </c>
      <c r="AY19" s="99" t="str">
        <f>HYPERLINK("https://twitter.com/_flashman_harry")</f>
        <v>https://twitter.com/_flashman_harry</v>
      </c>
      <c r="AZ19" s="89" t="s">
        <v>66</v>
      </c>
      <c r="BA19" s="89" t="str">
        <f>REPLACE(INDEX(GroupVertices[Group],MATCH(Vertices[[#This Row],[Vertex]],GroupVertices[Vertex],0)),1,1,"")</f>
        <v>2</v>
      </c>
      <c r="BB19" s="49">
        <v>0</v>
      </c>
      <c r="BC19" s="50">
        <v>0</v>
      </c>
      <c r="BD19" s="49">
        <v>0</v>
      </c>
      <c r="BE19" s="50">
        <v>0</v>
      </c>
      <c r="BF19" s="49">
        <v>0</v>
      </c>
      <c r="BG19" s="50">
        <v>0</v>
      </c>
      <c r="BH19" s="49">
        <v>24</v>
      </c>
      <c r="BI19" s="50">
        <v>100</v>
      </c>
      <c r="BJ19" s="49">
        <v>24</v>
      </c>
      <c r="BK19" s="49"/>
      <c r="BL19" s="49"/>
      <c r="BM19" s="49"/>
      <c r="BN19" s="49"/>
      <c r="BO19" s="49"/>
      <c r="BP19" s="49"/>
      <c r="BQ19" s="123" t="s">
        <v>4185</v>
      </c>
      <c r="BR19" s="123" t="s">
        <v>4185</v>
      </c>
      <c r="BS19" s="123" t="s">
        <v>4306</v>
      </c>
      <c r="BT19" s="123" t="s">
        <v>4306</v>
      </c>
      <c r="BU19" s="2"/>
      <c r="BV19" s="3"/>
      <c r="BW19" s="3"/>
      <c r="BX19" s="3"/>
      <c r="BY19" s="3"/>
    </row>
    <row r="20" spans="1:77" ht="15">
      <c r="A20" s="65" t="s">
        <v>229</v>
      </c>
      <c r="B20" s="66"/>
      <c r="C20" s="66" t="s">
        <v>46</v>
      </c>
      <c r="D20" s="67"/>
      <c r="E20" s="69"/>
      <c r="F20" s="111" t="str">
        <f>HYPERLINK("https://pbs.twimg.com/profile_images/1469370096875413510/_Q4IGbi7_normal.jpg")</f>
        <v>https://pbs.twimg.com/profile_images/1469370096875413510/_Q4IGbi7_normal.jpg</v>
      </c>
      <c r="G20" s="66"/>
      <c r="H20" s="70" t="s">
        <v>229</v>
      </c>
      <c r="I20" s="71" t="s">
        <v>4407</v>
      </c>
      <c r="J20" s="71" t="s">
        <v>73</v>
      </c>
      <c r="K20" s="70" t="s">
        <v>1828</v>
      </c>
      <c r="L20" s="74">
        <v>1</v>
      </c>
      <c r="M20" s="75">
        <v>9739.0830078125</v>
      </c>
      <c r="N20" s="75">
        <v>8353.90234375</v>
      </c>
      <c r="O20" s="76"/>
      <c r="P20" s="77"/>
      <c r="Q20" s="77"/>
      <c r="R20" s="104"/>
      <c r="S20" s="49">
        <v>0</v>
      </c>
      <c r="T20" s="49">
        <v>1</v>
      </c>
      <c r="U20" s="50">
        <v>0</v>
      </c>
      <c r="V20" s="50">
        <v>0.163412</v>
      </c>
      <c r="W20" s="50">
        <v>0.007398</v>
      </c>
      <c r="X20" s="50">
        <v>0.003783</v>
      </c>
      <c r="Y20" s="50">
        <v>0</v>
      </c>
      <c r="Z20" s="50">
        <v>0</v>
      </c>
      <c r="AA20" s="72">
        <v>20</v>
      </c>
      <c r="AB20" s="72"/>
      <c r="AC20" s="73"/>
      <c r="AD20" s="89" t="s">
        <v>1184</v>
      </c>
      <c r="AE20" s="96" t="s">
        <v>1411</v>
      </c>
      <c r="AF20" s="89">
        <v>149</v>
      </c>
      <c r="AG20" s="89">
        <v>205</v>
      </c>
      <c r="AH20" s="89">
        <v>3225</v>
      </c>
      <c r="AI20" s="89">
        <v>32272</v>
      </c>
      <c r="AJ20" s="89"/>
      <c r="AK20" s="89"/>
      <c r="AL20" s="89"/>
      <c r="AM20" s="89"/>
      <c r="AN20" s="89"/>
      <c r="AO20" s="92">
        <v>43905.73596064815</v>
      </c>
      <c r="AP20" s="89"/>
      <c r="AQ20" s="89" t="b">
        <v>1</v>
      </c>
      <c r="AR20" s="89" t="b">
        <v>0</v>
      </c>
      <c r="AS20" s="89" t="b">
        <v>0</v>
      </c>
      <c r="AT20" s="89"/>
      <c r="AU20" s="89">
        <v>1</v>
      </c>
      <c r="AV20" s="89"/>
      <c r="AW20" s="89" t="b">
        <v>0</v>
      </c>
      <c r="AX20" s="89" t="s">
        <v>1811</v>
      </c>
      <c r="AY20" s="99" t="str">
        <f>HYPERLINK("https://twitter.com/karvonen_v")</f>
        <v>https://twitter.com/karvonen_v</v>
      </c>
      <c r="AZ20" s="89" t="s">
        <v>66</v>
      </c>
      <c r="BA20" s="89" t="str">
        <f>REPLACE(INDEX(GroupVertices[Group],MATCH(Vertices[[#This Row],[Vertex]],GroupVertices[Vertex],0)),1,1,"")</f>
        <v>6</v>
      </c>
      <c r="BB20" s="49">
        <v>0</v>
      </c>
      <c r="BC20" s="50">
        <v>0</v>
      </c>
      <c r="BD20" s="49">
        <v>0</v>
      </c>
      <c r="BE20" s="50">
        <v>0</v>
      </c>
      <c r="BF20" s="49">
        <v>0</v>
      </c>
      <c r="BG20" s="50">
        <v>0</v>
      </c>
      <c r="BH20" s="49">
        <v>29</v>
      </c>
      <c r="BI20" s="50">
        <v>100</v>
      </c>
      <c r="BJ20" s="49">
        <v>29</v>
      </c>
      <c r="BK20" s="49"/>
      <c r="BL20" s="49"/>
      <c r="BM20" s="49"/>
      <c r="BN20" s="49"/>
      <c r="BO20" s="49" t="s">
        <v>555</v>
      </c>
      <c r="BP20" s="49" t="s">
        <v>555</v>
      </c>
      <c r="BQ20" s="123" t="s">
        <v>4183</v>
      </c>
      <c r="BR20" s="123" t="s">
        <v>4183</v>
      </c>
      <c r="BS20" s="123" t="s">
        <v>4305</v>
      </c>
      <c r="BT20" s="123" t="s">
        <v>4305</v>
      </c>
      <c r="BU20" s="2"/>
      <c r="BV20" s="3"/>
      <c r="BW20" s="3"/>
      <c r="BX20" s="3"/>
      <c r="BY20" s="3"/>
    </row>
    <row r="21" spans="1:77" ht="15">
      <c r="A21" s="65" t="s">
        <v>230</v>
      </c>
      <c r="B21" s="66"/>
      <c r="C21" s="66" t="s">
        <v>46</v>
      </c>
      <c r="D21" s="67"/>
      <c r="E21" s="69"/>
      <c r="F21" s="111" t="str">
        <f>HYPERLINK("https://pbs.twimg.com/profile_images/1379467369584734210/fjddVwht_normal.jpg")</f>
        <v>https://pbs.twimg.com/profile_images/1379467369584734210/fjddVwht_normal.jpg</v>
      </c>
      <c r="G21" s="66"/>
      <c r="H21" s="70" t="s">
        <v>230</v>
      </c>
      <c r="I21" s="71" t="s">
        <v>4408</v>
      </c>
      <c r="J21" s="71" t="s">
        <v>73</v>
      </c>
      <c r="K21" s="70" t="s">
        <v>1829</v>
      </c>
      <c r="L21" s="74">
        <v>1</v>
      </c>
      <c r="M21" s="75">
        <v>2557.430908203125</v>
      </c>
      <c r="N21" s="75">
        <v>9400.1728515625</v>
      </c>
      <c r="O21" s="76"/>
      <c r="P21" s="77"/>
      <c r="Q21" s="77"/>
      <c r="R21" s="104"/>
      <c r="S21" s="49">
        <v>0</v>
      </c>
      <c r="T21" s="49">
        <v>1</v>
      </c>
      <c r="U21" s="50">
        <v>0</v>
      </c>
      <c r="V21" s="50">
        <v>0.210637</v>
      </c>
      <c r="W21" s="50">
        <v>0.031853</v>
      </c>
      <c r="X21" s="50">
        <v>0.003759</v>
      </c>
      <c r="Y21" s="50">
        <v>0</v>
      </c>
      <c r="Z21" s="50">
        <v>0</v>
      </c>
      <c r="AA21" s="72">
        <v>21</v>
      </c>
      <c r="AB21" s="72"/>
      <c r="AC21" s="73"/>
      <c r="AD21" s="89" t="s">
        <v>1185</v>
      </c>
      <c r="AE21" s="96" t="s">
        <v>1412</v>
      </c>
      <c r="AF21" s="89">
        <v>690</v>
      </c>
      <c r="AG21" s="89">
        <v>107</v>
      </c>
      <c r="AH21" s="89">
        <v>1281</v>
      </c>
      <c r="AI21" s="89">
        <v>3290</v>
      </c>
      <c r="AJ21" s="89"/>
      <c r="AK21" s="89" t="s">
        <v>1604</v>
      </c>
      <c r="AL21" s="89" t="s">
        <v>1140</v>
      </c>
      <c r="AM21" s="89"/>
      <c r="AN21" s="89"/>
      <c r="AO21" s="92">
        <v>41374.92627314815</v>
      </c>
      <c r="AP21" s="99" t="str">
        <f>HYPERLINK("https://pbs.twimg.com/profile_banners/1342985486/1617725659")</f>
        <v>https://pbs.twimg.com/profile_banners/1342985486/1617725659</v>
      </c>
      <c r="AQ21" s="89" t="b">
        <v>0</v>
      </c>
      <c r="AR21" s="89" t="b">
        <v>0</v>
      </c>
      <c r="AS21" s="89" t="b">
        <v>0</v>
      </c>
      <c r="AT21" s="89"/>
      <c r="AU21" s="89">
        <v>1</v>
      </c>
      <c r="AV21" s="99" t="str">
        <f>HYPERLINK("https://abs.twimg.com/images/themes/theme9/bg.gif")</f>
        <v>https://abs.twimg.com/images/themes/theme9/bg.gif</v>
      </c>
      <c r="AW21" s="89" t="b">
        <v>0</v>
      </c>
      <c r="AX21" s="89" t="s">
        <v>1811</v>
      </c>
      <c r="AY21" s="99" t="str">
        <f>HYPERLINK("https://twitter.com/crypto_viserion")</f>
        <v>https://twitter.com/crypto_viserion</v>
      </c>
      <c r="AZ21" s="89" t="s">
        <v>66</v>
      </c>
      <c r="BA21" s="89" t="str">
        <f>REPLACE(INDEX(GroupVertices[Group],MATCH(Vertices[[#This Row],[Vertex]],GroupVertices[Vertex],0)),1,1,"")</f>
        <v>2</v>
      </c>
      <c r="BB21" s="49">
        <v>0</v>
      </c>
      <c r="BC21" s="50">
        <v>0</v>
      </c>
      <c r="BD21" s="49">
        <v>0</v>
      </c>
      <c r="BE21" s="50">
        <v>0</v>
      </c>
      <c r="BF21" s="49">
        <v>0</v>
      </c>
      <c r="BG21" s="50">
        <v>0</v>
      </c>
      <c r="BH21" s="49">
        <v>24</v>
      </c>
      <c r="BI21" s="50">
        <v>100</v>
      </c>
      <c r="BJ21" s="49">
        <v>24</v>
      </c>
      <c r="BK21" s="49"/>
      <c r="BL21" s="49"/>
      <c r="BM21" s="49"/>
      <c r="BN21" s="49"/>
      <c r="BO21" s="49"/>
      <c r="BP21" s="49"/>
      <c r="BQ21" s="123" t="s">
        <v>4185</v>
      </c>
      <c r="BR21" s="123" t="s">
        <v>4185</v>
      </c>
      <c r="BS21" s="123" t="s">
        <v>4306</v>
      </c>
      <c r="BT21" s="123" t="s">
        <v>4306</v>
      </c>
      <c r="BU21" s="2"/>
      <c r="BV21" s="3"/>
      <c r="BW21" s="3"/>
      <c r="BX21" s="3"/>
      <c r="BY21" s="3"/>
    </row>
    <row r="22" spans="1:77" ht="15">
      <c r="A22" s="65" t="s">
        <v>231</v>
      </c>
      <c r="B22" s="66"/>
      <c r="C22" s="66" t="s">
        <v>46</v>
      </c>
      <c r="D22" s="67"/>
      <c r="E22" s="69"/>
      <c r="F22" s="111" t="str">
        <f>HYPERLINK("https://pbs.twimg.com/profile_images/1470808603972050955/24icxW1v_normal.jpg")</f>
        <v>https://pbs.twimg.com/profile_images/1470808603972050955/24icxW1v_normal.jpg</v>
      </c>
      <c r="G22" s="66"/>
      <c r="H22" s="70" t="s">
        <v>231</v>
      </c>
      <c r="I22" s="71" t="s">
        <v>4408</v>
      </c>
      <c r="J22" s="71" t="s">
        <v>73</v>
      </c>
      <c r="K22" s="70" t="s">
        <v>1830</v>
      </c>
      <c r="L22" s="74">
        <v>1</v>
      </c>
      <c r="M22" s="75">
        <v>1692.30712890625</v>
      </c>
      <c r="N22" s="75">
        <v>9682.6337890625</v>
      </c>
      <c r="O22" s="76"/>
      <c r="P22" s="77"/>
      <c r="Q22" s="77"/>
      <c r="R22" s="104"/>
      <c r="S22" s="49">
        <v>0</v>
      </c>
      <c r="T22" s="49">
        <v>1</v>
      </c>
      <c r="U22" s="50">
        <v>0</v>
      </c>
      <c r="V22" s="50">
        <v>0.210637</v>
      </c>
      <c r="W22" s="50">
        <v>0.031853</v>
      </c>
      <c r="X22" s="50">
        <v>0.003759</v>
      </c>
      <c r="Y22" s="50">
        <v>0</v>
      </c>
      <c r="Z22" s="50">
        <v>0</v>
      </c>
      <c r="AA22" s="72">
        <v>22</v>
      </c>
      <c r="AB22" s="72"/>
      <c r="AC22" s="73"/>
      <c r="AD22" s="89" t="s">
        <v>1186</v>
      </c>
      <c r="AE22" s="96" t="s">
        <v>1413</v>
      </c>
      <c r="AF22" s="89">
        <v>20</v>
      </c>
      <c r="AG22" s="89">
        <v>22</v>
      </c>
      <c r="AH22" s="89">
        <v>1072</v>
      </c>
      <c r="AI22" s="89">
        <v>3</v>
      </c>
      <c r="AJ22" s="89"/>
      <c r="AK22" s="89"/>
      <c r="AL22" s="89"/>
      <c r="AM22" s="89"/>
      <c r="AN22" s="89"/>
      <c r="AO22" s="92">
        <v>44543.63167824074</v>
      </c>
      <c r="AP22" s="89"/>
      <c r="AQ22" s="89" t="b">
        <v>1</v>
      </c>
      <c r="AR22" s="89" t="b">
        <v>0</v>
      </c>
      <c r="AS22" s="89" t="b">
        <v>0</v>
      </c>
      <c r="AT22" s="89"/>
      <c r="AU22" s="89">
        <v>0</v>
      </c>
      <c r="AV22" s="89"/>
      <c r="AW22" s="89" t="b">
        <v>0</v>
      </c>
      <c r="AX22" s="89" t="s">
        <v>1811</v>
      </c>
      <c r="AY22" s="99" t="str">
        <f>HYPERLINK("https://twitter.com/tapiokarja")</f>
        <v>https://twitter.com/tapiokarja</v>
      </c>
      <c r="AZ22" s="89" t="s">
        <v>66</v>
      </c>
      <c r="BA22" s="89" t="str">
        <f>REPLACE(INDEX(GroupVertices[Group],MATCH(Vertices[[#This Row],[Vertex]],GroupVertices[Vertex],0)),1,1,"")</f>
        <v>2</v>
      </c>
      <c r="BB22" s="49">
        <v>0</v>
      </c>
      <c r="BC22" s="50">
        <v>0</v>
      </c>
      <c r="BD22" s="49">
        <v>0</v>
      </c>
      <c r="BE22" s="50">
        <v>0</v>
      </c>
      <c r="BF22" s="49">
        <v>0</v>
      </c>
      <c r="BG22" s="50">
        <v>0</v>
      </c>
      <c r="BH22" s="49">
        <v>24</v>
      </c>
      <c r="BI22" s="50">
        <v>100</v>
      </c>
      <c r="BJ22" s="49">
        <v>24</v>
      </c>
      <c r="BK22" s="49"/>
      <c r="BL22" s="49"/>
      <c r="BM22" s="49"/>
      <c r="BN22" s="49"/>
      <c r="BO22" s="49"/>
      <c r="BP22" s="49"/>
      <c r="BQ22" s="123" t="s">
        <v>4185</v>
      </c>
      <c r="BR22" s="123" t="s">
        <v>4185</v>
      </c>
      <c r="BS22" s="123" t="s">
        <v>4306</v>
      </c>
      <c r="BT22" s="123" t="s">
        <v>4306</v>
      </c>
      <c r="BU22" s="2"/>
      <c r="BV22" s="3"/>
      <c r="BW22" s="3"/>
      <c r="BX22" s="3"/>
      <c r="BY22" s="3"/>
    </row>
    <row r="23" spans="1:77" ht="15">
      <c r="A23" s="65" t="s">
        <v>232</v>
      </c>
      <c r="B23" s="66"/>
      <c r="C23" s="66" t="s">
        <v>46</v>
      </c>
      <c r="D23" s="67"/>
      <c r="E23" s="69"/>
      <c r="F23" s="111" t="str">
        <f>HYPERLINK("https://pbs.twimg.com/profile_images/1336658010178002945/grzHrjTt_normal.jpg")</f>
        <v>https://pbs.twimg.com/profile_images/1336658010178002945/grzHrjTt_normal.jpg</v>
      </c>
      <c r="G23" s="66"/>
      <c r="H23" s="70" t="s">
        <v>232</v>
      </c>
      <c r="I23" s="71" t="s">
        <v>4407</v>
      </c>
      <c r="J23" s="71" t="s">
        <v>73</v>
      </c>
      <c r="K23" s="70" t="s">
        <v>1831</v>
      </c>
      <c r="L23" s="74">
        <v>1</v>
      </c>
      <c r="M23" s="75">
        <v>9689.4970703125</v>
      </c>
      <c r="N23" s="75">
        <v>5995.1064453125</v>
      </c>
      <c r="O23" s="76"/>
      <c r="P23" s="77"/>
      <c r="Q23" s="77"/>
      <c r="R23" s="104"/>
      <c r="S23" s="49">
        <v>0</v>
      </c>
      <c r="T23" s="49">
        <v>2</v>
      </c>
      <c r="U23" s="50">
        <v>298.165657</v>
      </c>
      <c r="V23" s="50">
        <v>0.216598</v>
      </c>
      <c r="W23" s="50">
        <v>0.03925</v>
      </c>
      <c r="X23" s="50">
        <v>0.003863</v>
      </c>
      <c r="Y23" s="50">
        <v>0</v>
      </c>
      <c r="Z23" s="50">
        <v>0</v>
      </c>
      <c r="AA23" s="72">
        <v>23</v>
      </c>
      <c r="AB23" s="72"/>
      <c r="AC23" s="73"/>
      <c r="AD23" s="89" t="s">
        <v>1187</v>
      </c>
      <c r="AE23" s="96" t="s">
        <v>1414</v>
      </c>
      <c r="AF23" s="89">
        <v>10</v>
      </c>
      <c r="AG23" s="89">
        <v>20</v>
      </c>
      <c r="AH23" s="89">
        <v>2595</v>
      </c>
      <c r="AI23" s="89">
        <v>1071</v>
      </c>
      <c r="AJ23" s="89"/>
      <c r="AK23" s="89"/>
      <c r="AL23" s="89"/>
      <c r="AM23" s="89"/>
      <c r="AN23" s="89"/>
      <c r="AO23" s="92">
        <v>44174.54431712963</v>
      </c>
      <c r="AP23" s="89"/>
      <c r="AQ23" s="89" t="b">
        <v>1</v>
      </c>
      <c r="AR23" s="89" t="b">
        <v>0</v>
      </c>
      <c r="AS23" s="89" t="b">
        <v>0</v>
      </c>
      <c r="AT23" s="89"/>
      <c r="AU23" s="89">
        <v>0</v>
      </c>
      <c r="AV23" s="89"/>
      <c r="AW23" s="89" t="b">
        <v>0</v>
      </c>
      <c r="AX23" s="89" t="s">
        <v>1811</v>
      </c>
      <c r="AY23" s="99" t="str">
        <f>HYPERLINK("https://twitter.com/mikael7110")</f>
        <v>https://twitter.com/mikael7110</v>
      </c>
      <c r="AZ23" s="89" t="s">
        <v>66</v>
      </c>
      <c r="BA23" s="89" t="str">
        <f>REPLACE(INDEX(GroupVertices[Group],MATCH(Vertices[[#This Row],[Vertex]],GroupVertices[Vertex],0)),1,1,"")</f>
        <v>6</v>
      </c>
      <c r="BB23" s="49">
        <v>0</v>
      </c>
      <c r="BC23" s="50">
        <v>0</v>
      </c>
      <c r="BD23" s="49">
        <v>0</v>
      </c>
      <c r="BE23" s="50">
        <v>0</v>
      </c>
      <c r="BF23" s="49">
        <v>0</v>
      </c>
      <c r="BG23" s="50">
        <v>0</v>
      </c>
      <c r="BH23" s="49">
        <v>30</v>
      </c>
      <c r="BI23" s="50">
        <v>100</v>
      </c>
      <c r="BJ23" s="49">
        <v>30</v>
      </c>
      <c r="BK23" s="49"/>
      <c r="BL23" s="49"/>
      <c r="BM23" s="49"/>
      <c r="BN23" s="49"/>
      <c r="BO23" s="49"/>
      <c r="BP23" s="49"/>
      <c r="BQ23" s="123" t="s">
        <v>4187</v>
      </c>
      <c r="BR23" s="123" t="s">
        <v>4278</v>
      </c>
      <c r="BS23" s="123" t="s">
        <v>4308</v>
      </c>
      <c r="BT23" s="123" t="s">
        <v>4392</v>
      </c>
      <c r="BU23" s="2"/>
      <c r="BV23" s="3"/>
      <c r="BW23" s="3"/>
      <c r="BX23" s="3"/>
      <c r="BY23" s="3"/>
    </row>
    <row r="24" spans="1:77" ht="15">
      <c r="A24" s="65" t="s">
        <v>233</v>
      </c>
      <c r="B24" s="66"/>
      <c r="C24" s="66" t="s">
        <v>46</v>
      </c>
      <c r="D24" s="67"/>
      <c r="E24" s="69"/>
      <c r="F24" s="111" t="str">
        <f>HYPERLINK("https://pbs.twimg.com/profile_images/1199360839750426625/QCv1qg3W_normal.jpg")</f>
        <v>https://pbs.twimg.com/profile_images/1199360839750426625/QCv1qg3W_normal.jpg</v>
      </c>
      <c r="G24" s="66"/>
      <c r="H24" s="70" t="s">
        <v>233</v>
      </c>
      <c r="I24" s="71" t="s">
        <v>4409</v>
      </c>
      <c r="J24" s="71" t="s">
        <v>73</v>
      </c>
      <c r="K24" s="70" t="s">
        <v>1832</v>
      </c>
      <c r="L24" s="74">
        <v>1</v>
      </c>
      <c r="M24" s="75">
        <v>7151.41015625</v>
      </c>
      <c r="N24" s="75">
        <v>3563.004638671875</v>
      </c>
      <c r="O24" s="76"/>
      <c r="P24" s="77"/>
      <c r="Q24" s="77"/>
      <c r="R24" s="104"/>
      <c r="S24" s="49">
        <v>0</v>
      </c>
      <c r="T24" s="49">
        <v>9</v>
      </c>
      <c r="U24" s="50">
        <v>72</v>
      </c>
      <c r="V24" s="50">
        <v>0.03913</v>
      </c>
      <c r="W24" s="50">
        <v>0</v>
      </c>
      <c r="X24" s="50">
        <v>0.008847</v>
      </c>
      <c r="Y24" s="50">
        <v>0</v>
      </c>
      <c r="Z24" s="50">
        <v>0</v>
      </c>
      <c r="AA24" s="72">
        <v>24</v>
      </c>
      <c r="AB24" s="72"/>
      <c r="AC24" s="73"/>
      <c r="AD24" s="89" t="s">
        <v>1188</v>
      </c>
      <c r="AE24" s="96" t="s">
        <v>1415</v>
      </c>
      <c r="AF24" s="89">
        <v>806</v>
      </c>
      <c r="AG24" s="89">
        <v>211</v>
      </c>
      <c r="AH24" s="89">
        <v>11444</v>
      </c>
      <c r="AI24" s="89">
        <v>14166</v>
      </c>
      <c r="AJ24" s="89"/>
      <c r="AK24" s="89" t="s">
        <v>1605</v>
      </c>
      <c r="AL24" s="89"/>
      <c r="AM24" s="89"/>
      <c r="AN24" s="89"/>
      <c r="AO24" s="92">
        <v>42637.350902777776</v>
      </c>
      <c r="AP24" s="89"/>
      <c r="AQ24" s="89" t="b">
        <v>1</v>
      </c>
      <c r="AR24" s="89" t="b">
        <v>0</v>
      </c>
      <c r="AS24" s="89" t="b">
        <v>0</v>
      </c>
      <c r="AT24" s="89"/>
      <c r="AU24" s="89">
        <v>0</v>
      </c>
      <c r="AV24" s="89"/>
      <c r="AW24" s="89" t="b">
        <v>0</v>
      </c>
      <c r="AX24" s="89" t="s">
        <v>1811</v>
      </c>
      <c r="AY24" s="99" t="str">
        <f>HYPERLINK("https://twitter.com/santeri__")</f>
        <v>https://twitter.com/santeri__</v>
      </c>
      <c r="AZ24" s="89" t="s">
        <v>66</v>
      </c>
      <c r="BA24" s="89" t="str">
        <f>REPLACE(INDEX(GroupVertices[Group],MATCH(Vertices[[#This Row],[Vertex]],GroupVertices[Vertex],0)),1,1,"")</f>
        <v>8</v>
      </c>
      <c r="BB24" s="49">
        <v>0</v>
      </c>
      <c r="BC24" s="50">
        <v>0</v>
      </c>
      <c r="BD24" s="49">
        <v>0</v>
      </c>
      <c r="BE24" s="50">
        <v>0</v>
      </c>
      <c r="BF24" s="49">
        <v>0</v>
      </c>
      <c r="BG24" s="50">
        <v>0</v>
      </c>
      <c r="BH24" s="49">
        <v>34</v>
      </c>
      <c r="BI24" s="50">
        <v>100</v>
      </c>
      <c r="BJ24" s="49">
        <v>34</v>
      </c>
      <c r="BK24" s="49"/>
      <c r="BL24" s="49"/>
      <c r="BM24" s="49"/>
      <c r="BN24" s="49"/>
      <c r="BO24" s="49" t="s">
        <v>557</v>
      </c>
      <c r="BP24" s="49" t="s">
        <v>557</v>
      </c>
      <c r="BQ24" s="123" t="s">
        <v>4188</v>
      </c>
      <c r="BR24" s="123" t="s">
        <v>4188</v>
      </c>
      <c r="BS24" s="123" t="s">
        <v>4309</v>
      </c>
      <c r="BT24" s="123" t="s">
        <v>4309</v>
      </c>
      <c r="BU24" s="2"/>
      <c r="BV24" s="3"/>
      <c r="BW24" s="3"/>
      <c r="BX24" s="3"/>
      <c r="BY24" s="3"/>
    </row>
    <row r="25" spans="1:77" ht="15">
      <c r="A25" s="65" t="s">
        <v>407</v>
      </c>
      <c r="B25" s="66"/>
      <c r="C25" s="66" t="s">
        <v>46</v>
      </c>
      <c r="D25" s="67">
        <v>10</v>
      </c>
      <c r="E25" s="69"/>
      <c r="F25" s="111" t="str">
        <f>HYPERLINK("https://pbs.twimg.com/profile_images/1413501420842725377/A1JnTuTg_normal.jpg")</f>
        <v>https://pbs.twimg.com/profile_images/1413501420842725377/A1JnTuTg_normal.jpg</v>
      </c>
      <c r="G25" s="66"/>
      <c r="H25" s="70" t="s">
        <v>407</v>
      </c>
      <c r="I25" s="71" t="s">
        <v>4409</v>
      </c>
      <c r="J25" s="71" t="s">
        <v>75</v>
      </c>
      <c r="K25" s="70" t="s">
        <v>1833</v>
      </c>
      <c r="L25" s="74">
        <v>200.96</v>
      </c>
      <c r="M25" s="75">
        <v>7645.5087890625</v>
      </c>
      <c r="N25" s="75">
        <v>3025.888427734375</v>
      </c>
      <c r="O25" s="76"/>
      <c r="P25" s="77"/>
      <c r="Q25" s="77"/>
      <c r="R25" s="104"/>
      <c r="S25" s="49">
        <v>1</v>
      </c>
      <c r="T25" s="49">
        <v>0</v>
      </c>
      <c r="U25" s="50">
        <v>0</v>
      </c>
      <c r="V25" s="50">
        <v>0.020716</v>
      </c>
      <c r="W25" s="50">
        <v>0</v>
      </c>
      <c r="X25" s="50">
        <v>0.003827</v>
      </c>
      <c r="Y25" s="50">
        <v>0</v>
      </c>
      <c r="Z25" s="50">
        <v>0</v>
      </c>
      <c r="AA25" s="72">
        <v>25</v>
      </c>
      <c r="AB25" s="72"/>
      <c r="AC25" s="73"/>
      <c r="AD25" s="89" t="s">
        <v>1189</v>
      </c>
      <c r="AE25" s="96" t="s">
        <v>1416</v>
      </c>
      <c r="AF25" s="89">
        <v>886</v>
      </c>
      <c r="AG25" s="89">
        <v>31311</v>
      </c>
      <c r="AH25" s="89">
        <v>17147</v>
      </c>
      <c r="AI25" s="89">
        <v>4779</v>
      </c>
      <c r="AJ25" s="89"/>
      <c r="AK25" s="89" t="s">
        <v>1606</v>
      </c>
      <c r="AL25" s="89" t="s">
        <v>1140</v>
      </c>
      <c r="AM25" s="99" t="str">
        <f>HYPERLINK("https://t.co/ynoR6EFpUo")</f>
        <v>https://t.co/ynoR6EFpUo</v>
      </c>
      <c r="AN25" s="89"/>
      <c r="AO25" s="92">
        <v>39872.626909722225</v>
      </c>
      <c r="AP25" s="99" t="str">
        <f>HYPERLINK("https://pbs.twimg.com/profile_banners/22262225/1637408161")</f>
        <v>https://pbs.twimg.com/profile_banners/22262225/1637408161</v>
      </c>
      <c r="AQ25" s="89" t="b">
        <v>0</v>
      </c>
      <c r="AR25" s="89" t="b">
        <v>0</v>
      </c>
      <c r="AS25" s="89" t="b">
        <v>1</v>
      </c>
      <c r="AT25" s="89"/>
      <c r="AU25" s="89">
        <v>256</v>
      </c>
      <c r="AV25" s="99" t="str">
        <f>HYPERLINK("https://abs.twimg.com/images/themes/theme12/bg.gif")</f>
        <v>https://abs.twimg.com/images/themes/theme12/bg.gif</v>
      </c>
      <c r="AW25" s="89" t="b">
        <v>1</v>
      </c>
      <c r="AX25" s="89" t="s">
        <v>1811</v>
      </c>
      <c r="AY25" s="99" t="str">
        <f>HYPERLINK("https://twitter.com/demarit")</f>
        <v>https://twitter.com/demarit</v>
      </c>
      <c r="AZ25" s="89" t="s">
        <v>65</v>
      </c>
      <c r="BA25" s="89"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408</v>
      </c>
      <c r="B26" s="66"/>
      <c r="C26" s="66" t="s">
        <v>46</v>
      </c>
      <c r="D26" s="67">
        <v>10</v>
      </c>
      <c r="E26" s="69"/>
      <c r="F26" s="111" t="str">
        <f>HYPERLINK("https://pbs.twimg.com/profile_images/1413489127421583360/BfR6Ypie_normal.jpg")</f>
        <v>https://pbs.twimg.com/profile_images/1413489127421583360/BfR6Ypie_normal.jpg</v>
      </c>
      <c r="G26" s="66"/>
      <c r="H26" s="70" t="s">
        <v>408</v>
      </c>
      <c r="I26" s="71" t="s">
        <v>4409</v>
      </c>
      <c r="J26" s="71" t="s">
        <v>75</v>
      </c>
      <c r="K26" s="70" t="s">
        <v>1834</v>
      </c>
      <c r="L26" s="74">
        <v>200.96</v>
      </c>
      <c r="M26" s="75">
        <v>6739.4453125</v>
      </c>
      <c r="N26" s="75">
        <v>4660.02685546875</v>
      </c>
      <c r="O26" s="76"/>
      <c r="P26" s="77"/>
      <c r="Q26" s="77"/>
      <c r="R26" s="104"/>
      <c r="S26" s="49">
        <v>1</v>
      </c>
      <c r="T26" s="49">
        <v>0</v>
      </c>
      <c r="U26" s="50">
        <v>0</v>
      </c>
      <c r="V26" s="50">
        <v>0.020716</v>
      </c>
      <c r="W26" s="50">
        <v>0</v>
      </c>
      <c r="X26" s="50">
        <v>0.003827</v>
      </c>
      <c r="Y26" s="50">
        <v>0</v>
      </c>
      <c r="Z26" s="50">
        <v>0</v>
      </c>
      <c r="AA26" s="72">
        <v>26</v>
      </c>
      <c r="AB26" s="72"/>
      <c r="AC26" s="73"/>
      <c r="AD26" s="89" t="s">
        <v>1190</v>
      </c>
      <c r="AE26" s="96" t="s">
        <v>1417</v>
      </c>
      <c r="AF26" s="89">
        <v>753</v>
      </c>
      <c r="AG26" s="89">
        <v>35908</v>
      </c>
      <c r="AH26" s="89">
        <v>12704</v>
      </c>
      <c r="AI26" s="89">
        <v>6093</v>
      </c>
      <c r="AJ26" s="89"/>
      <c r="AK26" s="89" t="s">
        <v>1607</v>
      </c>
      <c r="AL26" s="89" t="s">
        <v>1140</v>
      </c>
      <c r="AM26" s="99" t="str">
        <f>HYPERLINK("https://t.co/yIy4MK516N")</f>
        <v>https://t.co/yIy4MK516N</v>
      </c>
      <c r="AN26" s="89"/>
      <c r="AO26" s="92">
        <v>39892.510729166665</v>
      </c>
      <c r="AP26" s="99" t="str">
        <f>HYPERLINK("https://pbs.twimg.com/profile_banners/25494061/1639847357")</f>
        <v>https://pbs.twimg.com/profile_banners/25494061/1639847357</v>
      </c>
      <c r="AQ26" s="89" t="b">
        <v>0</v>
      </c>
      <c r="AR26" s="89" t="b">
        <v>0</v>
      </c>
      <c r="AS26" s="89" t="b">
        <v>1</v>
      </c>
      <c r="AT26" s="89"/>
      <c r="AU26" s="89">
        <v>237</v>
      </c>
      <c r="AV26" s="99" t="str">
        <f>HYPERLINK("https://abs.twimg.com/images/themes/theme7/bg.gif")</f>
        <v>https://abs.twimg.com/images/themes/theme7/bg.gif</v>
      </c>
      <c r="AW26" s="89" t="b">
        <v>0</v>
      </c>
      <c r="AX26" s="89" t="s">
        <v>1811</v>
      </c>
      <c r="AY26" s="99" t="str">
        <f>HYPERLINK("https://twitter.com/vasemmisto")</f>
        <v>https://twitter.com/vasemmisto</v>
      </c>
      <c r="AZ26" s="89" t="s">
        <v>65</v>
      </c>
      <c r="BA26" s="89"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409</v>
      </c>
      <c r="B27" s="66"/>
      <c r="C27" s="66" t="s">
        <v>46</v>
      </c>
      <c r="D27" s="67">
        <v>10</v>
      </c>
      <c r="E27" s="69"/>
      <c r="F27" s="111" t="str">
        <f>HYPERLINK("https://pbs.twimg.com/profile_images/1330895978363228161/K6PAY7hv_normal.jpg")</f>
        <v>https://pbs.twimg.com/profile_images/1330895978363228161/K6PAY7hv_normal.jpg</v>
      </c>
      <c r="G27" s="66"/>
      <c r="H27" s="70" t="s">
        <v>409</v>
      </c>
      <c r="I27" s="71" t="s">
        <v>4409</v>
      </c>
      <c r="J27" s="71" t="s">
        <v>75</v>
      </c>
      <c r="K27" s="70" t="s">
        <v>1835</v>
      </c>
      <c r="L27" s="74">
        <v>200.96</v>
      </c>
      <c r="M27" s="75">
        <v>7627.51416015625</v>
      </c>
      <c r="N27" s="75">
        <v>4267.732421875</v>
      </c>
      <c r="O27" s="76"/>
      <c r="P27" s="77"/>
      <c r="Q27" s="77"/>
      <c r="R27" s="104"/>
      <c r="S27" s="49">
        <v>1</v>
      </c>
      <c r="T27" s="49">
        <v>0</v>
      </c>
      <c r="U27" s="50">
        <v>0</v>
      </c>
      <c r="V27" s="50">
        <v>0.020716</v>
      </c>
      <c r="W27" s="50">
        <v>0</v>
      </c>
      <c r="X27" s="50">
        <v>0.003827</v>
      </c>
      <c r="Y27" s="50">
        <v>0</v>
      </c>
      <c r="Z27" s="50">
        <v>0</v>
      </c>
      <c r="AA27" s="72">
        <v>27</v>
      </c>
      <c r="AB27" s="72"/>
      <c r="AC27" s="73"/>
      <c r="AD27" s="89" t="s">
        <v>1191</v>
      </c>
      <c r="AE27" s="96" t="s">
        <v>1418</v>
      </c>
      <c r="AF27" s="89">
        <v>1751</v>
      </c>
      <c r="AG27" s="89">
        <v>10073</v>
      </c>
      <c r="AH27" s="89">
        <v>2482</v>
      </c>
      <c r="AI27" s="89">
        <v>1798</v>
      </c>
      <c r="AJ27" s="89"/>
      <c r="AK27" s="89" t="s">
        <v>1608</v>
      </c>
      <c r="AL27" s="89"/>
      <c r="AM27" s="89"/>
      <c r="AN27" s="89"/>
      <c r="AO27" s="92">
        <v>41480.33261574074</v>
      </c>
      <c r="AP27" s="99" t="str">
        <f>HYPERLINK("https://pbs.twimg.com/profile_banners/1619776406/1570970731")</f>
        <v>https://pbs.twimg.com/profile_banners/1619776406/1570970731</v>
      </c>
      <c r="AQ27" s="89" t="b">
        <v>1</v>
      </c>
      <c r="AR27" s="89" t="b">
        <v>0</v>
      </c>
      <c r="AS27" s="89" t="b">
        <v>0</v>
      </c>
      <c r="AT27" s="89"/>
      <c r="AU27" s="89">
        <v>98</v>
      </c>
      <c r="AV27" s="99" t="str">
        <f>HYPERLINK("https://abs.twimg.com/images/themes/theme1/bg.png")</f>
        <v>https://abs.twimg.com/images/themes/theme1/bg.png</v>
      </c>
      <c r="AW27" s="89" t="b">
        <v>1</v>
      </c>
      <c r="AX27" s="89" t="s">
        <v>1811</v>
      </c>
      <c r="AY27" s="99" t="str">
        <f>HYPERLINK("https://twitter.com/tuulahaatainen")</f>
        <v>https://twitter.com/tuulahaatainen</v>
      </c>
      <c r="AZ27" s="89" t="s">
        <v>65</v>
      </c>
      <c r="BA27" s="89"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410</v>
      </c>
      <c r="B28" s="66"/>
      <c r="C28" s="66" t="s">
        <v>46</v>
      </c>
      <c r="D28" s="67">
        <v>10</v>
      </c>
      <c r="E28" s="69"/>
      <c r="F28" s="111" t="str">
        <f>HYPERLINK("https://pbs.twimg.com/profile_images/1359466716154200068/K7N5DIMa_normal.jpg")</f>
        <v>https://pbs.twimg.com/profile_images/1359466716154200068/K7N5DIMa_normal.jpg</v>
      </c>
      <c r="G28" s="66"/>
      <c r="H28" s="70" t="s">
        <v>410</v>
      </c>
      <c r="I28" s="71" t="s">
        <v>4409</v>
      </c>
      <c r="J28" s="71" t="s">
        <v>75</v>
      </c>
      <c r="K28" s="70" t="s">
        <v>1836</v>
      </c>
      <c r="L28" s="74">
        <v>200.96</v>
      </c>
      <c r="M28" s="75">
        <v>7087.0986328125</v>
      </c>
      <c r="N28" s="75">
        <v>1756.265380859375</v>
      </c>
      <c r="O28" s="76"/>
      <c r="P28" s="77"/>
      <c r="Q28" s="77"/>
      <c r="R28" s="104"/>
      <c r="S28" s="49">
        <v>1</v>
      </c>
      <c r="T28" s="49">
        <v>0</v>
      </c>
      <c r="U28" s="50">
        <v>0</v>
      </c>
      <c r="V28" s="50">
        <v>0.020716</v>
      </c>
      <c r="W28" s="50">
        <v>0</v>
      </c>
      <c r="X28" s="50">
        <v>0.003827</v>
      </c>
      <c r="Y28" s="50">
        <v>0</v>
      </c>
      <c r="Z28" s="50">
        <v>0</v>
      </c>
      <c r="AA28" s="72">
        <v>28</v>
      </c>
      <c r="AB28" s="72"/>
      <c r="AC28" s="73"/>
      <c r="AD28" s="89" t="s">
        <v>1192</v>
      </c>
      <c r="AE28" s="96" t="s">
        <v>1419</v>
      </c>
      <c r="AF28" s="89">
        <v>603</v>
      </c>
      <c r="AG28" s="89">
        <v>17422</v>
      </c>
      <c r="AH28" s="89">
        <v>2542</v>
      </c>
      <c r="AI28" s="89">
        <v>9212</v>
      </c>
      <c r="AJ28" s="89"/>
      <c r="AK28" s="89" t="s">
        <v>1609</v>
      </c>
      <c r="AL28" s="89" t="s">
        <v>1767</v>
      </c>
      <c r="AM28" s="99" t="str">
        <f>HYPERLINK("https://t.co/9Xsh1tqT7l")</f>
        <v>https://t.co/9Xsh1tqT7l</v>
      </c>
      <c r="AN28" s="89"/>
      <c r="AO28" s="92">
        <v>42019.640185185184</v>
      </c>
      <c r="AP28" s="99" t="str">
        <f>HYPERLINK("https://pbs.twimg.com/profile_banners/2979870159/1485504938")</f>
        <v>https://pbs.twimg.com/profile_banners/2979870159/1485504938</v>
      </c>
      <c r="AQ28" s="89" t="b">
        <v>0</v>
      </c>
      <c r="AR28" s="89" t="b">
        <v>0</v>
      </c>
      <c r="AS28" s="89" t="b">
        <v>0</v>
      </c>
      <c r="AT28" s="89"/>
      <c r="AU28" s="89">
        <v>123</v>
      </c>
      <c r="AV28" s="99" t="str">
        <f>HYPERLINK("https://abs.twimg.com/images/themes/theme1/bg.png")</f>
        <v>https://abs.twimg.com/images/themes/theme1/bg.png</v>
      </c>
      <c r="AW28" s="89" t="b">
        <v>1</v>
      </c>
      <c r="AX28" s="89" t="s">
        <v>1811</v>
      </c>
      <c r="AY28" s="99" t="str">
        <f>HYPERLINK("https://twitter.com/mikalintila")</f>
        <v>https://twitter.com/mikalintila</v>
      </c>
      <c r="AZ28" s="89" t="s">
        <v>65</v>
      </c>
      <c r="BA28" s="89"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411</v>
      </c>
      <c r="B29" s="66"/>
      <c r="C29" s="66" t="s">
        <v>46</v>
      </c>
      <c r="D29" s="67">
        <v>10</v>
      </c>
      <c r="E29" s="69"/>
      <c r="F29" s="111" t="str">
        <f>HYPERLINK("https://pbs.twimg.com/profile_images/1351814525406871553/f-Xt5AZr_normal.jpg")</f>
        <v>https://pbs.twimg.com/profile_images/1351814525406871553/f-Xt5AZr_normal.jpg</v>
      </c>
      <c r="G29" s="66"/>
      <c r="H29" s="70" t="s">
        <v>411</v>
      </c>
      <c r="I29" s="71" t="s">
        <v>4409</v>
      </c>
      <c r="J29" s="71" t="s">
        <v>75</v>
      </c>
      <c r="K29" s="70" t="s">
        <v>1837</v>
      </c>
      <c r="L29" s="74">
        <v>200.96</v>
      </c>
      <c r="M29" s="75">
        <v>7036.0166015625</v>
      </c>
      <c r="N29" s="75">
        <v>5339.0458984375</v>
      </c>
      <c r="O29" s="76"/>
      <c r="P29" s="77"/>
      <c r="Q29" s="77"/>
      <c r="R29" s="104"/>
      <c r="S29" s="49">
        <v>1</v>
      </c>
      <c r="T29" s="49">
        <v>0</v>
      </c>
      <c r="U29" s="50">
        <v>0</v>
      </c>
      <c r="V29" s="50">
        <v>0.020716</v>
      </c>
      <c r="W29" s="50">
        <v>0</v>
      </c>
      <c r="X29" s="50">
        <v>0.003827</v>
      </c>
      <c r="Y29" s="50">
        <v>0</v>
      </c>
      <c r="Z29" s="50">
        <v>0</v>
      </c>
      <c r="AA29" s="72">
        <v>29</v>
      </c>
      <c r="AB29" s="72"/>
      <c r="AC29" s="73"/>
      <c r="AD29" s="89" t="s">
        <v>1193</v>
      </c>
      <c r="AE29" s="96" t="s">
        <v>1420</v>
      </c>
      <c r="AF29" s="89">
        <v>1389</v>
      </c>
      <c r="AG29" s="89">
        <v>28805</v>
      </c>
      <c r="AH29" s="89">
        <v>1557</v>
      </c>
      <c r="AI29" s="89">
        <v>915</v>
      </c>
      <c r="AJ29" s="89"/>
      <c r="AK29" s="89" t="s">
        <v>1610</v>
      </c>
      <c r="AL29" s="89" t="s">
        <v>1768</v>
      </c>
      <c r="AM29" s="99" t="str">
        <f>HYPERLINK("https://t.co/7vTcSoIJQX")</f>
        <v>https://t.co/7vTcSoIJQX</v>
      </c>
      <c r="AN29" s="89"/>
      <c r="AO29" s="92">
        <v>40293.61515046296</v>
      </c>
      <c r="AP29" s="99" t="str">
        <f>HYPERLINK("https://pbs.twimg.com/profile_banners/137013308/1590000852")</f>
        <v>https://pbs.twimg.com/profile_banners/137013308/1590000852</v>
      </c>
      <c r="AQ29" s="89" t="b">
        <v>1</v>
      </c>
      <c r="AR29" s="89" t="b">
        <v>0</v>
      </c>
      <c r="AS29" s="89" t="b">
        <v>1</v>
      </c>
      <c r="AT29" s="89"/>
      <c r="AU29" s="89">
        <v>162</v>
      </c>
      <c r="AV29" s="99" t="str">
        <f>HYPERLINK("https://abs.twimg.com/images/themes/theme1/bg.png")</f>
        <v>https://abs.twimg.com/images/themes/theme1/bg.png</v>
      </c>
      <c r="AW29" s="89" t="b">
        <v>1</v>
      </c>
      <c r="AX29" s="89" t="s">
        <v>1811</v>
      </c>
      <c r="AY29" s="99" t="str">
        <f>HYPERLINK("https://twitter.com/annikasaarikko")</f>
        <v>https://twitter.com/annikasaarikko</v>
      </c>
      <c r="AZ29" s="89" t="s">
        <v>65</v>
      </c>
      <c r="BA29" s="89"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412</v>
      </c>
      <c r="B30" s="66"/>
      <c r="C30" s="66" t="s">
        <v>46</v>
      </c>
      <c r="D30" s="67">
        <v>10</v>
      </c>
      <c r="E30" s="69"/>
      <c r="F30" s="111" t="str">
        <f>HYPERLINK("https://pbs.twimg.com/profile_images/1168442821419905025/rU67j75Z_normal.jpg")</f>
        <v>https://pbs.twimg.com/profile_images/1168442821419905025/rU67j75Z_normal.jpg</v>
      </c>
      <c r="G30" s="66"/>
      <c r="H30" s="70" t="s">
        <v>412</v>
      </c>
      <c r="I30" s="71" t="s">
        <v>4409</v>
      </c>
      <c r="J30" s="71" t="s">
        <v>75</v>
      </c>
      <c r="K30" s="70" t="s">
        <v>1838</v>
      </c>
      <c r="L30" s="74">
        <v>200.96</v>
      </c>
      <c r="M30" s="75">
        <v>6634.97216796875</v>
      </c>
      <c r="N30" s="75">
        <v>3471.22802734375</v>
      </c>
      <c r="O30" s="76"/>
      <c r="P30" s="77"/>
      <c r="Q30" s="77"/>
      <c r="R30" s="104"/>
      <c r="S30" s="49">
        <v>1</v>
      </c>
      <c r="T30" s="49">
        <v>0</v>
      </c>
      <c r="U30" s="50">
        <v>0</v>
      </c>
      <c r="V30" s="50">
        <v>0.020716</v>
      </c>
      <c r="W30" s="50">
        <v>0</v>
      </c>
      <c r="X30" s="50">
        <v>0.003827</v>
      </c>
      <c r="Y30" s="50">
        <v>0</v>
      </c>
      <c r="Z30" s="50">
        <v>0</v>
      </c>
      <c r="AA30" s="72">
        <v>30</v>
      </c>
      <c r="AB30" s="72"/>
      <c r="AC30" s="73"/>
      <c r="AD30" s="89" t="s">
        <v>1194</v>
      </c>
      <c r="AE30" s="96" t="s">
        <v>1421</v>
      </c>
      <c r="AF30" s="89">
        <v>704</v>
      </c>
      <c r="AG30" s="89">
        <v>265930</v>
      </c>
      <c r="AH30" s="89">
        <v>12922</v>
      </c>
      <c r="AI30" s="89">
        <v>7955</v>
      </c>
      <c r="AJ30" s="89"/>
      <c r="AK30" s="89" t="s">
        <v>1611</v>
      </c>
      <c r="AL30" s="89"/>
      <c r="AM30" s="99" t="str">
        <f>HYPERLINK("https://t.co/ipNj9RYgn0")</f>
        <v>https://t.co/ipNj9RYgn0</v>
      </c>
      <c r="AN30" s="89"/>
      <c r="AO30" s="92">
        <v>41287.638657407406</v>
      </c>
      <c r="AP30" s="99" t="str">
        <f>HYPERLINK("https://pbs.twimg.com/profile_banners/1086378912/1567413453")</f>
        <v>https://pbs.twimg.com/profile_banners/1086378912/1567413453</v>
      </c>
      <c r="AQ30" s="89" t="b">
        <v>0</v>
      </c>
      <c r="AR30" s="89" t="b">
        <v>0</v>
      </c>
      <c r="AS30" s="89" t="b">
        <v>1</v>
      </c>
      <c r="AT30" s="89"/>
      <c r="AU30" s="89">
        <v>718</v>
      </c>
      <c r="AV30" s="99" t="str">
        <f>HYPERLINK("https://abs.twimg.com/images/themes/theme17/bg.gif")</f>
        <v>https://abs.twimg.com/images/themes/theme17/bg.gif</v>
      </c>
      <c r="AW30" s="89" t="b">
        <v>1</v>
      </c>
      <c r="AX30" s="89" t="s">
        <v>1811</v>
      </c>
      <c r="AY30" s="99" t="str">
        <f>HYPERLINK("https://twitter.com/marinsanna")</f>
        <v>https://twitter.com/marinsanna</v>
      </c>
      <c r="AZ30" s="89" t="s">
        <v>65</v>
      </c>
      <c r="BA30" s="89"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413</v>
      </c>
      <c r="B31" s="66"/>
      <c r="C31" s="66" t="s">
        <v>46</v>
      </c>
      <c r="D31" s="67">
        <v>10</v>
      </c>
      <c r="E31" s="69"/>
      <c r="F31" s="111" t="str">
        <f>HYPERLINK("https://pbs.twimg.com/profile_images/378800000333825319/b70084791b49c4fed6cfbf4fda1d60be_normal.jpeg")</f>
        <v>https://pbs.twimg.com/profile_images/378800000333825319/b70084791b49c4fed6cfbf4fda1d60be_normal.jpeg</v>
      </c>
      <c r="G31" s="66"/>
      <c r="H31" s="70" t="s">
        <v>413</v>
      </c>
      <c r="I31" s="71" t="s">
        <v>4409</v>
      </c>
      <c r="J31" s="71" t="s">
        <v>75</v>
      </c>
      <c r="K31" s="70" t="s">
        <v>1839</v>
      </c>
      <c r="L31" s="74">
        <v>200.96</v>
      </c>
      <c r="M31" s="75">
        <v>7431.94970703125</v>
      </c>
      <c r="N31" s="75">
        <v>2033.8052978515625</v>
      </c>
      <c r="O31" s="76"/>
      <c r="P31" s="77"/>
      <c r="Q31" s="77"/>
      <c r="R31" s="104"/>
      <c r="S31" s="49">
        <v>1</v>
      </c>
      <c r="T31" s="49">
        <v>0</v>
      </c>
      <c r="U31" s="50">
        <v>0</v>
      </c>
      <c r="V31" s="50">
        <v>0.020716</v>
      </c>
      <c r="W31" s="50">
        <v>0</v>
      </c>
      <c r="X31" s="50">
        <v>0.003827</v>
      </c>
      <c r="Y31" s="50">
        <v>0</v>
      </c>
      <c r="Z31" s="50">
        <v>0</v>
      </c>
      <c r="AA31" s="72">
        <v>31</v>
      </c>
      <c r="AB31" s="72"/>
      <c r="AC31" s="73"/>
      <c r="AD31" s="89" t="s">
        <v>1195</v>
      </c>
      <c r="AE31" s="96" t="s">
        <v>1422</v>
      </c>
      <c r="AF31" s="89">
        <v>828</v>
      </c>
      <c r="AG31" s="89">
        <v>2673</v>
      </c>
      <c r="AH31" s="89">
        <v>3865</v>
      </c>
      <c r="AI31" s="89">
        <v>1825</v>
      </c>
      <c r="AJ31" s="89"/>
      <c r="AK31" s="89" t="s">
        <v>1612</v>
      </c>
      <c r="AL31" s="89" t="s">
        <v>1769</v>
      </c>
      <c r="AM31" s="99" t="str">
        <f>HYPERLINK("http://t.co/NZLrg0ecim")</f>
        <v>http://t.co/NZLrg0ecim</v>
      </c>
      <c r="AN31" s="89"/>
      <c r="AO31" s="92">
        <v>41507.53292824074</v>
      </c>
      <c r="AP31" s="99" t="str">
        <f>HYPERLINK("https://pbs.twimg.com/profile_banners/1688258905/1509093028")</f>
        <v>https://pbs.twimg.com/profile_banners/1688258905/1509093028</v>
      </c>
      <c r="AQ31" s="89" t="b">
        <v>0</v>
      </c>
      <c r="AR31" s="89" t="b">
        <v>0</v>
      </c>
      <c r="AS31" s="89" t="b">
        <v>1</v>
      </c>
      <c r="AT31" s="89"/>
      <c r="AU31" s="89">
        <v>32</v>
      </c>
      <c r="AV31" s="99" t="str">
        <f>HYPERLINK("https://abs.twimg.com/images/themes/theme1/bg.png")</f>
        <v>https://abs.twimg.com/images/themes/theme1/bg.png</v>
      </c>
      <c r="AW31" s="89" t="b">
        <v>0</v>
      </c>
      <c r="AX31" s="89" t="s">
        <v>1811</v>
      </c>
      <c r="AY31" s="99" t="str">
        <f>HYPERLINK("https://twitter.com/wwwmarafi")</f>
        <v>https://twitter.com/wwwmarafi</v>
      </c>
      <c r="AZ31" s="89" t="s">
        <v>65</v>
      </c>
      <c r="BA31" s="89"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414</v>
      </c>
      <c r="B32" s="66"/>
      <c r="C32" s="66" t="s">
        <v>46</v>
      </c>
      <c r="D32" s="67">
        <v>10</v>
      </c>
      <c r="E32" s="69"/>
      <c r="F32" s="111" t="str">
        <f>HYPERLINK("https://pbs.twimg.com/profile_images/1271709598823694336/Kc_eR4e3_normal.jpg")</f>
        <v>https://pbs.twimg.com/profile_images/1271709598823694336/Kc_eR4e3_normal.jpg</v>
      </c>
      <c r="G32" s="66"/>
      <c r="H32" s="70" t="s">
        <v>414</v>
      </c>
      <c r="I32" s="71" t="s">
        <v>4409</v>
      </c>
      <c r="J32" s="71" t="s">
        <v>75</v>
      </c>
      <c r="K32" s="70" t="s">
        <v>1840</v>
      </c>
      <c r="L32" s="74">
        <v>200.96</v>
      </c>
      <c r="M32" s="75">
        <v>7387.20458984375</v>
      </c>
      <c r="N32" s="75">
        <v>5182.248046875</v>
      </c>
      <c r="O32" s="76"/>
      <c r="P32" s="77"/>
      <c r="Q32" s="77"/>
      <c r="R32" s="104"/>
      <c r="S32" s="49">
        <v>1</v>
      </c>
      <c r="T32" s="49">
        <v>0</v>
      </c>
      <c r="U32" s="50">
        <v>0</v>
      </c>
      <c r="V32" s="50">
        <v>0.020716</v>
      </c>
      <c r="W32" s="50">
        <v>0</v>
      </c>
      <c r="X32" s="50">
        <v>0.003827</v>
      </c>
      <c r="Y32" s="50">
        <v>0</v>
      </c>
      <c r="Z32" s="50">
        <v>0</v>
      </c>
      <c r="AA32" s="72">
        <v>32</v>
      </c>
      <c r="AB32" s="72"/>
      <c r="AC32" s="73"/>
      <c r="AD32" s="89" t="s">
        <v>1196</v>
      </c>
      <c r="AE32" s="96" t="s">
        <v>1423</v>
      </c>
      <c r="AF32" s="89">
        <v>1109</v>
      </c>
      <c r="AG32" s="89">
        <v>25874</v>
      </c>
      <c r="AH32" s="89">
        <v>16135</v>
      </c>
      <c r="AI32" s="89">
        <v>7647</v>
      </c>
      <c r="AJ32" s="89"/>
      <c r="AK32" s="89" t="s">
        <v>1613</v>
      </c>
      <c r="AL32" s="89"/>
      <c r="AM32" s="99" t="str">
        <f>HYPERLINK("https://t.co/HGhzw1rZyX")</f>
        <v>https://t.co/HGhzw1rZyX</v>
      </c>
      <c r="AN32" s="89"/>
      <c r="AO32" s="92">
        <v>39863.452418981484</v>
      </c>
      <c r="AP32" s="99" t="str">
        <f>HYPERLINK("https://pbs.twimg.com/profile_banners/21289183/1634818385")</f>
        <v>https://pbs.twimg.com/profile_banners/21289183/1634818385</v>
      </c>
      <c r="AQ32" s="89" t="b">
        <v>0</v>
      </c>
      <c r="AR32" s="89" t="b">
        <v>0</v>
      </c>
      <c r="AS32" s="89" t="b">
        <v>1</v>
      </c>
      <c r="AT32" s="89"/>
      <c r="AU32" s="89">
        <v>234</v>
      </c>
      <c r="AV32" s="99" t="str">
        <f>HYPERLINK("https://abs.twimg.com/images/themes/theme13/bg.gif")</f>
        <v>https://abs.twimg.com/images/themes/theme13/bg.gif</v>
      </c>
      <c r="AW32" s="89" t="b">
        <v>1</v>
      </c>
      <c r="AX32" s="89" t="s">
        <v>1811</v>
      </c>
      <c r="AY32" s="99" t="str">
        <f>HYPERLINK("https://twitter.com/keskusta")</f>
        <v>https://twitter.com/keskusta</v>
      </c>
      <c r="AZ32" s="89" t="s">
        <v>65</v>
      </c>
      <c r="BA32" s="89"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415</v>
      </c>
      <c r="B33" s="66"/>
      <c r="C33" s="66" t="s">
        <v>46</v>
      </c>
      <c r="D33" s="67">
        <v>10</v>
      </c>
      <c r="E33" s="69"/>
      <c r="F33" s="111" t="str">
        <f>HYPERLINK("https://pbs.twimg.com/profile_images/1011602735454711811/DcvnSCDT_normal.jpg")</f>
        <v>https://pbs.twimg.com/profile_images/1011602735454711811/DcvnSCDT_normal.jpg</v>
      </c>
      <c r="G33" s="66"/>
      <c r="H33" s="70" t="s">
        <v>415</v>
      </c>
      <c r="I33" s="71" t="s">
        <v>4409</v>
      </c>
      <c r="J33" s="71" t="s">
        <v>75</v>
      </c>
      <c r="K33" s="70" t="s">
        <v>1841</v>
      </c>
      <c r="L33" s="74">
        <v>200.96</v>
      </c>
      <c r="M33" s="75">
        <v>6772.35595703125</v>
      </c>
      <c r="N33" s="75">
        <v>2323.803466796875</v>
      </c>
      <c r="O33" s="76"/>
      <c r="P33" s="77"/>
      <c r="Q33" s="77"/>
      <c r="R33" s="104"/>
      <c r="S33" s="49">
        <v>1</v>
      </c>
      <c r="T33" s="49">
        <v>0</v>
      </c>
      <c r="U33" s="50">
        <v>0</v>
      </c>
      <c r="V33" s="50">
        <v>0.020716</v>
      </c>
      <c r="W33" s="50">
        <v>0</v>
      </c>
      <c r="X33" s="50">
        <v>0.003827</v>
      </c>
      <c r="Y33" s="50">
        <v>0</v>
      </c>
      <c r="Z33" s="50">
        <v>0</v>
      </c>
      <c r="AA33" s="72">
        <v>33</v>
      </c>
      <c r="AB33" s="72"/>
      <c r="AC33" s="73"/>
      <c r="AD33" s="89" t="s">
        <v>1197</v>
      </c>
      <c r="AE33" s="96" t="s">
        <v>1091</v>
      </c>
      <c r="AF33" s="89">
        <v>3816</v>
      </c>
      <c r="AG33" s="89">
        <v>13647</v>
      </c>
      <c r="AH33" s="89">
        <v>43812</v>
      </c>
      <c r="AI33" s="89">
        <v>24469</v>
      </c>
      <c r="AJ33" s="89"/>
      <c r="AK33" s="89" t="s">
        <v>1614</v>
      </c>
      <c r="AL33" s="89" t="s">
        <v>1770</v>
      </c>
      <c r="AM33" s="99" t="str">
        <f>HYPERLINK("https://t.co/9IRG3B99W1")</f>
        <v>https://t.co/9IRG3B99W1</v>
      </c>
      <c r="AN33" s="89"/>
      <c r="AO33" s="92">
        <v>39900.41206018518</v>
      </c>
      <c r="AP33" s="99" t="str">
        <f>HYPERLINK("https://pbs.twimg.com/profile_banners/27205855/1530019867")</f>
        <v>https://pbs.twimg.com/profile_banners/27205855/1530019867</v>
      </c>
      <c r="AQ33" s="89" t="b">
        <v>0</v>
      </c>
      <c r="AR33" s="89" t="b">
        <v>0</v>
      </c>
      <c r="AS33" s="89" t="b">
        <v>1</v>
      </c>
      <c r="AT33" s="89"/>
      <c r="AU33" s="89">
        <v>134</v>
      </c>
      <c r="AV33" s="99" t="str">
        <f>HYPERLINK("https://abs.twimg.com/images/themes/theme9/bg.gif")</f>
        <v>https://abs.twimg.com/images/themes/theme9/bg.gif</v>
      </c>
      <c r="AW33" s="89" t="b">
        <v>0</v>
      </c>
      <c r="AX33" s="89" t="s">
        <v>1811</v>
      </c>
      <c r="AY33" s="99" t="str">
        <f>HYPERLINK("https://twitter.com/timoheinonen")</f>
        <v>https://twitter.com/timoheinonen</v>
      </c>
      <c r="AZ33" s="89" t="s">
        <v>65</v>
      </c>
      <c r="BA33" s="89"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234</v>
      </c>
      <c r="B34" s="66"/>
      <c r="C34" s="66" t="s">
        <v>46</v>
      </c>
      <c r="D34" s="67"/>
      <c r="E34" s="69"/>
      <c r="F34" s="111" t="str">
        <f>HYPERLINK("https://pbs.twimg.com/profile_images/1420461480298885128/MUwzRCFf_normal.jpg")</f>
        <v>https://pbs.twimg.com/profile_images/1420461480298885128/MUwzRCFf_normal.jpg</v>
      </c>
      <c r="G34" s="66"/>
      <c r="H34" s="70" t="s">
        <v>234</v>
      </c>
      <c r="I34" s="71" t="s">
        <v>4408</v>
      </c>
      <c r="J34" s="71" t="s">
        <v>73</v>
      </c>
      <c r="K34" s="70" t="s">
        <v>1842</v>
      </c>
      <c r="L34" s="74">
        <v>1</v>
      </c>
      <c r="M34" s="75">
        <v>1356.8507080078125</v>
      </c>
      <c r="N34" s="75">
        <v>7172.42041015625</v>
      </c>
      <c r="O34" s="76"/>
      <c r="P34" s="77"/>
      <c r="Q34" s="77"/>
      <c r="R34" s="104"/>
      <c r="S34" s="49">
        <v>0</v>
      </c>
      <c r="T34" s="49">
        <v>1</v>
      </c>
      <c r="U34" s="50">
        <v>0</v>
      </c>
      <c r="V34" s="50">
        <v>0.210637</v>
      </c>
      <c r="W34" s="50">
        <v>0.031853</v>
      </c>
      <c r="X34" s="50">
        <v>0.003759</v>
      </c>
      <c r="Y34" s="50">
        <v>0</v>
      </c>
      <c r="Z34" s="50">
        <v>0</v>
      </c>
      <c r="AA34" s="72">
        <v>34</v>
      </c>
      <c r="AB34" s="72"/>
      <c r="AC34" s="73"/>
      <c r="AD34" s="89" t="s">
        <v>1198</v>
      </c>
      <c r="AE34" s="96" t="s">
        <v>1424</v>
      </c>
      <c r="AF34" s="89">
        <v>492</v>
      </c>
      <c r="AG34" s="89">
        <v>581</v>
      </c>
      <c r="AH34" s="89">
        <v>5320</v>
      </c>
      <c r="AI34" s="89">
        <v>14457</v>
      </c>
      <c r="AJ34" s="89"/>
      <c r="AK34" s="89" t="s">
        <v>1615</v>
      </c>
      <c r="AL34" s="89"/>
      <c r="AM34" s="89"/>
      <c r="AN34" s="89"/>
      <c r="AO34" s="92">
        <v>44405.79493055555</v>
      </c>
      <c r="AP34" s="99" t="str">
        <f>HYPERLINK("https://pbs.twimg.com/profile_banners/1420460162872225800/1632681252")</f>
        <v>https://pbs.twimg.com/profile_banners/1420460162872225800/1632681252</v>
      </c>
      <c r="AQ34" s="89" t="b">
        <v>1</v>
      </c>
      <c r="AR34" s="89" t="b">
        <v>0</v>
      </c>
      <c r="AS34" s="89" t="b">
        <v>0</v>
      </c>
      <c r="AT34" s="89"/>
      <c r="AU34" s="89">
        <v>2</v>
      </c>
      <c r="AV34" s="89"/>
      <c r="AW34" s="89" t="b">
        <v>0</v>
      </c>
      <c r="AX34" s="89" t="s">
        <v>1811</v>
      </c>
      <c r="AY34" s="99" t="str">
        <f>HYPERLINK("https://twitter.com/jonnaarkki")</f>
        <v>https://twitter.com/jonnaarkki</v>
      </c>
      <c r="AZ34" s="89" t="s">
        <v>66</v>
      </c>
      <c r="BA34" s="89" t="str">
        <f>REPLACE(INDEX(GroupVertices[Group],MATCH(Vertices[[#This Row],[Vertex]],GroupVertices[Vertex],0)),1,1,"")</f>
        <v>2</v>
      </c>
      <c r="BB34" s="49">
        <v>0</v>
      </c>
      <c r="BC34" s="50">
        <v>0</v>
      </c>
      <c r="BD34" s="49">
        <v>0</v>
      </c>
      <c r="BE34" s="50">
        <v>0</v>
      </c>
      <c r="BF34" s="49">
        <v>0</v>
      </c>
      <c r="BG34" s="50">
        <v>0</v>
      </c>
      <c r="BH34" s="49">
        <v>24</v>
      </c>
      <c r="BI34" s="50">
        <v>100</v>
      </c>
      <c r="BJ34" s="49">
        <v>24</v>
      </c>
      <c r="BK34" s="49"/>
      <c r="BL34" s="49"/>
      <c r="BM34" s="49"/>
      <c r="BN34" s="49"/>
      <c r="BO34" s="49"/>
      <c r="BP34" s="49"/>
      <c r="BQ34" s="123" t="s">
        <v>4185</v>
      </c>
      <c r="BR34" s="123" t="s">
        <v>4185</v>
      </c>
      <c r="BS34" s="123" t="s">
        <v>4306</v>
      </c>
      <c r="BT34" s="123" t="s">
        <v>4306</v>
      </c>
      <c r="BU34" s="2"/>
      <c r="BV34" s="3"/>
      <c r="BW34" s="3"/>
      <c r="BX34" s="3"/>
      <c r="BY34" s="3"/>
    </row>
    <row r="35" spans="1:77" ht="15">
      <c r="A35" s="65" t="s">
        <v>235</v>
      </c>
      <c r="B35" s="66"/>
      <c r="C35" s="66" t="s">
        <v>46</v>
      </c>
      <c r="D35" s="67"/>
      <c r="E35" s="69"/>
      <c r="F35" s="111" t="str">
        <f>HYPERLINK("https://pbs.twimg.com/profile_images/628476807994474496/VnetMED8_normal.jpg")</f>
        <v>https://pbs.twimg.com/profile_images/628476807994474496/VnetMED8_normal.jpg</v>
      </c>
      <c r="G35" s="66"/>
      <c r="H35" s="70" t="s">
        <v>235</v>
      </c>
      <c r="I35" s="71" t="s">
        <v>4408</v>
      </c>
      <c r="J35" s="71" t="s">
        <v>73</v>
      </c>
      <c r="K35" s="70" t="s">
        <v>1843</v>
      </c>
      <c r="L35" s="74">
        <v>1</v>
      </c>
      <c r="M35" s="75">
        <v>1909.8399658203125</v>
      </c>
      <c r="N35" s="75">
        <v>9681.7138671875</v>
      </c>
      <c r="O35" s="76"/>
      <c r="P35" s="77"/>
      <c r="Q35" s="77"/>
      <c r="R35" s="104"/>
      <c r="S35" s="49">
        <v>0</v>
      </c>
      <c r="T35" s="49">
        <v>1</v>
      </c>
      <c r="U35" s="50">
        <v>0</v>
      </c>
      <c r="V35" s="50">
        <v>0.210637</v>
      </c>
      <c r="W35" s="50">
        <v>0.031853</v>
      </c>
      <c r="X35" s="50">
        <v>0.003759</v>
      </c>
      <c r="Y35" s="50">
        <v>0</v>
      </c>
      <c r="Z35" s="50">
        <v>0</v>
      </c>
      <c r="AA35" s="72">
        <v>35</v>
      </c>
      <c r="AB35" s="72"/>
      <c r="AC35" s="73"/>
      <c r="AD35" s="89" t="s">
        <v>1199</v>
      </c>
      <c r="AE35" s="96" t="s">
        <v>1425</v>
      </c>
      <c r="AF35" s="89">
        <v>2169</v>
      </c>
      <c r="AG35" s="89">
        <v>907</v>
      </c>
      <c r="AH35" s="89">
        <v>25041</v>
      </c>
      <c r="AI35" s="89">
        <v>34127</v>
      </c>
      <c r="AJ35" s="89"/>
      <c r="AK35" s="89" t="s">
        <v>1616</v>
      </c>
      <c r="AL35" s="89" t="s">
        <v>1771</v>
      </c>
      <c r="AM35" s="99" t="str">
        <f>HYPERLINK("https://t.co/a9lk3bFia1")</f>
        <v>https://t.co/a9lk3bFia1</v>
      </c>
      <c r="AN35" s="89"/>
      <c r="AO35" s="92">
        <v>41681.54530092593</v>
      </c>
      <c r="AP35" s="99" t="str">
        <f>HYPERLINK("https://pbs.twimg.com/profile_banners/2338345854/1608592444")</f>
        <v>https://pbs.twimg.com/profile_banners/2338345854/1608592444</v>
      </c>
      <c r="AQ35" s="89" t="b">
        <v>0</v>
      </c>
      <c r="AR35" s="89" t="b">
        <v>0</v>
      </c>
      <c r="AS35" s="89" t="b">
        <v>1</v>
      </c>
      <c r="AT35" s="89"/>
      <c r="AU35" s="89">
        <v>21</v>
      </c>
      <c r="AV35" s="99" t="str">
        <f>HYPERLINK("https://abs.twimg.com/images/themes/theme16/bg.gif")</f>
        <v>https://abs.twimg.com/images/themes/theme16/bg.gif</v>
      </c>
      <c r="AW35" s="89" t="b">
        <v>0</v>
      </c>
      <c r="AX35" s="89" t="s">
        <v>1811</v>
      </c>
      <c r="AY35" s="99" t="str">
        <f>HYPERLINK("https://twitter.com/playnone")</f>
        <v>https://twitter.com/playnone</v>
      </c>
      <c r="AZ35" s="89" t="s">
        <v>66</v>
      </c>
      <c r="BA35" s="89" t="str">
        <f>REPLACE(INDEX(GroupVertices[Group],MATCH(Vertices[[#This Row],[Vertex]],GroupVertices[Vertex],0)),1,1,"")</f>
        <v>2</v>
      </c>
      <c r="BB35" s="49">
        <v>0</v>
      </c>
      <c r="BC35" s="50">
        <v>0</v>
      </c>
      <c r="BD35" s="49">
        <v>0</v>
      </c>
      <c r="BE35" s="50">
        <v>0</v>
      </c>
      <c r="BF35" s="49">
        <v>0</v>
      </c>
      <c r="BG35" s="50">
        <v>0</v>
      </c>
      <c r="BH35" s="49">
        <v>24</v>
      </c>
      <c r="BI35" s="50">
        <v>100</v>
      </c>
      <c r="BJ35" s="49">
        <v>24</v>
      </c>
      <c r="BK35" s="49"/>
      <c r="BL35" s="49"/>
      <c r="BM35" s="49"/>
      <c r="BN35" s="49"/>
      <c r="BO35" s="49"/>
      <c r="BP35" s="49"/>
      <c r="BQ35" s="123" t="s">
        <v>4185</v>
      </c>
      <c r="BR35" s="123" t="s">
        <v>4185</v>
      </c>
      <c r="BS35" s="123" t="s">
        <v>4306</v>
      </c>
      <c r="BT35" s="123" t="s">
        <v>4306</v>
      </c>
      <c r="BU35" s="2"/>
      <c r="BV35" s="3"/>
      <c r="BW35" s="3"/>
      <c r="BX35" s="3"/>
      <c r="BY35" s="3"/>
    </row>
    <row r="36" spans="1:77" ht="15">
      <c r="A36" s="65" t="s">
        <v>236</v>
      </c>
      <c r="B36" s="66"/>
      <c r="C36" s="66" t="s">
        <v>46</v>
      </c>
      <c r="D36" s="67"/>
      <c r="E36" s="69"/>
      <c r="F36" s="111" t="str">
        <f>HYPERLINK("https://abs.twimg.com/sticky/default_profile_images/default_profile_normal.png")</f>
        <v>https://abs.twimg.com/sticky/default_profile_images/default_profile_normal.png</v>
      </c>
      <c r="G36" s="66"/>
      <c r="H36" s="70" t="s">
        <v>236</v>
      </c>
      <c r="I36" s="71" t="s">
        <v>4408</v>
      </c>
      <c r="J36" s="71" t="s">
        <v>73</v>
      </c>
      <c r="K36" s="70" t="s">
        <v>1844</v>
      </c>
      <c r="L36" s="74">
        <v>1</v>
      </c>
      <c r="M36" s="75">
        <v>1286.2955322265625</v>
      </c>
      <c r="N36" s="75">
        <v>8724.189453125</v>
      </c>
      <c r="O36" s="76"/>
      <c r="P36" s="77"/>
      <c r="Q36" s="77"/>
      <c r="R36" s="104"/>
      <c r="S36" s="49">
        <v>0</v>
      </c>
      <c r="T36" s="49">
        <v>1</v>
      </c>
      <c r="U36" s="50">
        <v>0</v>
      </c>
      <c r="V36" s="50">
        <v>0.210637</v>
      </c>
      <c r="W36" s="50">
        <v>0.031853</v>
      </c>
      <c r="X36" s="50">
        <v>0.003759</v>
      </c>
      <c r="Y36" s="50">
        <v>0</v>
      </c>
      <c r="Z36" s="50">
        <v>0</v>
      </c>
      <c r="AA36" s="72">
        <v>36</v>
      </c>
      <c r="AB36" s="72"/>
      <c r="AC36" s="73"/>
      <c r="AD36" s="89" t="s">
        <v>1200</v>
      </c>
      <c r="AE36" s="96" t="s">
        <v>1426</v>
      </c>
      <c r="AF36" s="89">
        <v>276</v>
      </c>
      <c r="AG36" s="89">
        <v>253</v>
      </c>
      <c r="AH36" s="89">
        <v>11477</v>
      </c>
      <c r="AI36" s="89">
        <v>83431</v>
      </c>
      <c r="AJ36" s="89"/>
      <c r="AK36" s="89"/>
      <c r="AL36" s="89"/>
      <c r="AM36" s="89"/>
      <c r="AN36" s="89"/>
      <c r="AO36" s="92">
        <v>43718.891909722224</v>
      </c>
      <c r="AP36" s="89"/>
      <c r="AQ36" s="89" t="b">
        <v>1</v>
      </c>
      <c r="AR36" s="89" t="b">
        <v>1</v>
      </c>
      <c r="AS36" s="89" t="b">
        <v>0</v>
      </c>
      <c r="AT36" s="89"/>
      <c r="AU36" s="89">
        <v>1</v>
      </c>
      <c r="AV36" s="89"/>
      <c r="AW36" s="89" t="b">
        <v>0</v>
      </c>
      <c r="AX36" s="89" t="s">
        <v>1811</v>
      </c>
      <c r="AY36" s="99" t="str">
        <f>HYPERLINK("https://twitter.com/kissanviikset1")</f>
        <v>https://twitter.com/kissanviikset1</v>
      </c>
      <c r="AZ36" s="89" t="s">
        <v>66</v>
      </c>
      <c r="BA36" s="89" t="str">
        <f>REPLACE(INDEX(GroupVertices[Group],MATCH(Vertices[[#This Row],[Vertex]],GroupVertices[Vertex],0)),1,1,"")</f>
        <v>2</v>
      </c>
      <c r="BB36" s="49">
        <v>0</v>
      </c>
      <c r="BC36" s="50">
        <v>0</v>
      </c>
      <c r="BD36" s="49">
        <v>0</v>
      </c>
      <c r="BE36" s="50">
        <v>0</v>
      </c>
      <c r="BF36" s="49">
        <v>0</v>
      </c>
      <c r="BG36" s="50">
        <v>0</v>
      </c>
      <c r="BH36" s="49">
        <v>24</v>
      </c>
      <c r="BI36" s="50">
        <v>100</v>
      </c>
      <c r="BJ36" s="49">
        <v>24</v>
      </c>
      <c r="BK36" s="49"/>
      <c r="BL36" s="49"/>
      <c r="BM36" s="49"/>
      <c r="BN36" s="49"/>
      <c r="BO36" s="49"/>
      <c r="BP36" s="49"/>
      <c r="BQ36" s="123" t="s">
        <v>4185</v>
      </c>
      <c r="BR36" s="123" t="s">
        <v>4185</v>
      </c>
      <c r="BS36" s="123" t="s">
        <v>4306</v>
      </c>
      <c r="BT36" s="123" t="s">
        <v>4306</v>
      </c>
      <c r="BU36" s="2"/>
      <c r="BV36" s="3"/>
      <c r="BW36" s="3"/>
      <c r="BX36" s="3"/>
      <c r="BY36" s="3"/>
    </row>
    <row r="37" spans="1:77" ht="15">
      <c r="A37" s="65" t="s">
        <v>237</v>
      </c>
      <c r="B37" s="66"/>
      <c r="C37" s="66" t="s">
        <v>46</v>
      </c>
      <c r="D37" s="67">
        <v>10</v>
      </c>
      <c r="E37" s="69"/>
      <c r="F37" s="111" t="str">
        <f>HYPERLINK("https://pbs.twimg.com/profile_images/1165166928966668293/JLUS-M4Z_normal.jpg")</f>
        <v>https://pbs.twimg.com/profile_images/1165166928966668293/JLUS-M4Z_normal.jpg</v>
      </c>
      <c r="G37" s="66"/>
      <c r="H37" s="70" t="s">
        <v>237</v>
      </c>
      <c r="I37" s="71" t="s">
        <v>4410</v>
      </c>
      <c r="J37" s="71" t="s">
        <v>73</v>
      </c>
      <c r="K37" s="70" t="s">
        <v>1845</v>
      </c>
      <c r="L37" s="74">
        <v>200.96</v>
      </c>
      <c r="M37" s="75">
        <v>9791.8525390625</v>
      </c>
      <c r="N37" s="75">
        <v>2208.88427734375</v>
      </c>
      <c r="O37" s="76"/>
      <c r="P37" s="77"/>
      <c r="Q37" s="77"/>
      <c r="R37" s="104"/>
      <c r="S37" s="49">
        <v>1</v>
      </c>
      <c r="T37" s="49">
        <v>1</v>
      </c>
      <c r="U37" s="50">
        <v>0</v>
      </c>
      <c r="V37" s="50">
        <v>0</v>
      </c>
      <c r="W37" s="50">
        <v>0</v>
      </c>
      <c r="X37" s="50">
        <v>0.004329</v>
      </c>
      <c r="Y37" s="50">
        <v>0</v>
      </c>
      <c r="Z37" s="50">
        <v>0</v>
      </c>
      <c r="AA37" s="72">
        <v>37</v>
      </c>
      <c r="AB37" s="72"/>
      <c r="AC37" s="73"/>
      <c r="AD37" s="89" t="s">
        <v>1201</v>
      </c>
      <c r="AE37" s="96" t="s">
        <v>1427</v>
      </c>
      <c r="AF37" s="89">
        <v>137</v>
      </c>
      <c r="AG37" s="89">
        <v>97</v>
      </c>
      <c r="AH37" s="89">
        <v>3987</v>
      </c>
      <c r="AI37" s="89">
        <v>3023</v>
      </c>
      <c r="AJ37" s="89"/>
      <c r="AK37" s="89"/>
      <c r="AL37" s="89"/>
      <c r="AM37" s="89"/>
      <c r="AN37" s="89"/>
      <c r="AO37" s="92">
        <v>43395.700532407405</v>
      </c>
      <c r="AP37" s="99" t="str">
        <f>HYPERLINK("https://pbs.twimg.com/profile_banners/1054414270572703746/1566632681")</f>
        <v>https://pbs.twimg.com/profile_banners/1054414270572703746/1566632681</v>
      </c>
      <c r="AQ37" s="89" t="b">
        <v>1</v>
      </c>
      <c r="AR37" s="89" t="b">
        <v>0</v>
      </c>
      <c r="AS37" s="89" t="b">
        <v>0</v>
      </c>
      <c r="AT37" s="89"/>
      <c r="AU37" s="89">
        <v>3</v>
      </c>
      <c r="AV37" s="89"/>
      <c r="AW37" s="89" t="b">
        <v>0</v>
      </c>
      <c r="AX37" s="89" t="s">
        <v>1811</v>
      </c>
      <c r="AY37" s="99" t="str">
        <f>HYPERLINK("https://twitter.com/hilmisdilmis")</f>
        <v>https://twitter.com/hilmisdilmis</v>
      </c>
      <c r="AZ37" s="89" t="s">
        <v>66</v>
      </c>
      <c r="BA37" s="89" t="str">
        <f>REPLACE(INDEX(GroupVertices[Group],MATCH(Vertices[[#This Row],[Vertex]],GroupVertices[Vertex],0)),1,1,"")</f>
        <v>7</v>
      </c>
      <c r="BB37" s="49">
        <v>0</v>
      </c>
      <c r="BC37" s="50">
        <v>0</v>
      </c>
      <c r="BD37" s="49">
        <v>0</v>
      </c>
      <c r="BE37" s="50">
        <v>0</v>
      </c>
      <c r="BF37" s="49">
        <v>0</v>
      </c>
      <c r="BG37" s="50">
        <v>0</v>
      </c>
      <c r="BH37" s="49">
        <v>7</v>
      </c>
      <c r="BI37" s="50">
        <v>100</v>
      </c>
      <c r="BJ37" s="49">
        <v>7</v>
      </c>
      <c r="BK37" s="49"/>
      <c r="BL37" s="49"/>
      <c r="BM37" s="49"/>
      <c r="BN37" s="49"/>
      <c r="BO37" s="49"/>
      <c r="BP37" s="49"/>
      <c r="BQ37" s="123" t="s">
        <v>4189</v>
      </c>
      <c r="BR37" s="123" t="s">
        <v>4189</v>
      </c>
      <c r="BS37" s="123" t="s">
        <v>4310</v>
      </c>
      <c r="BT37" s="123" t="s">
        <v>4310</v>
      </c>
      <c r="BU37" s="2"/>
      <c r="BV37" s="3"/>
      <c r="BW37" s="3"/>
      <c r="BX37" s="3"/>
      <c r="BY37" s="3"/>
    </row>
    <row r="38" spans="1:77" ht="15">
      <c r="A38" s="65" t="s">
        <v>238</v>
      </c>
      <c r="B38" s="66"/>
      <c r="C38" s="66" t="s">
        <v>46</v>
      </c>
      <c r="D38" s="67"/>
      <c r="E38" s="69"/>
      <c r="F38" s="111" t="str">
        <f>HYPERLINK("https://pbs.twimg.com/profile_images/1159178438026104832/WAd_4vOK_normal.jpg")</f>
        <v>https://pbs.twimg.com/profile_images/1159178438026104832/WAd_4vOK_normal.jpg</v>
      </c>
      <c r="G38" s="66"/>
      <c r="H38" s="70" t="s">
        <v>238</v>
      </c>
      <c r="I38" s="71" t="s">
        <v>4408</v>
      </c>
      <c r="J38" s="71" t="s">
        <v>73</v>
      </c>
      <c r="K38" s="70" t="s">
        <v>1846</v>
      </c>
      <c r="L38" s="74">
        <v>1</v>
      </c>
      <c r="M38" s="75">
        <v>2782.25341796875</v>
      </c>
      <c r="N38" s="75">
        <v>8175.55908203125</v>
      </c>
      <c r="O38" s="76"/>
      <c r="P38" s="77"/>
      <c r="Q38" s="77"/>
      <c r="R38" s="104"/>
      <c r="S38" s="49">
        <v>0</v>
      </c>
      <c r="T38" s="49">
        <v>1</v>
      </c>
      <c r="U38" s="50">
        <v>0</v>
      </c>
      <c r="V38" s="50">
        <v>0.210637</v>
      </c>
      <c r="W38" s="50">
        <v>0.031853</v>
      </c>
      <c r="X38" s="50">
        <v>0.003759</v>
      </c>
      <c r="Y38" s="50">
        <v>0</v>
      </c>
      <c r="Z38" s="50">
        <v>0</v>
      </c>
      <c r="AA38" s="72">
        <v>38</v>
      </c>
      <c r="AB38" s="72"/>
      <c r="AC38" s="73"/>
      <c r="AD38" s="89" t="s">
        <v>1202</v>
      </c>
      <c r="AE38" s="96" t="s">
        <v>1428</v>
      </c>
      <c r="AF38" s="89">
        <v>195</v>
      </c>
      <c r="AG38" s="89">
        <v>79</v>
      </c>
      <c r="AH38" s="89">
        <v>1317</v>
      </c>
      <c r="AI38" s="89">
        <v>3678</v>
      </c>
      <c r="AJ38" s="89"/>
      <c r="AK38" s="89"/>
      <c r="AL38" s="89"/>
      <c r="AM38" s="89"/>
      <c r="AN38" s="89"/>
      <c r="AO38" s="92">
        <v>42442.60021990741</v>
      </c>
      <c r="AP38" s="99" t="str">
        <f>HYPERLINK("https://pbs.twimg.com/profile_banners/709022279905234944/1565204958")</f>
        <v>https://pbs.twimg.com/profile_banners/709022279905234944/1565204958</v>
      </c>
      <c r="AQ38" s="89" t="b">
        <v>1</v>
      </c>
      <c r="AR38" s="89" t="b">
        <v>0</v>
      </c>
      <c r="AS38" s="89" t="b">
        <v>0</v>
      </c>
      <c r="AT38" s="89"/>
      <c r="AU38" s="89">
        <v>0</v>
      </c>
      <c r="AV38" s="89"/>
      <c r="AW38" s="89" t="b">
        <v>0</v>
      </c>
      <c r="AX38" s="89" t="s">
        <v>1811</v>
      </c>
      <c r="AY38" s="99" t="str">
        <f>HYPERLINK("https://twitter.com/meri_annika")</f>
        <v>https://twitter.com/meri_annika</v>
      </c>
      <c r="AZ38" s="89" t="s">
        <v>66</v>
      </c>
      <c r="BA38" s="89" t="str">
        <f>REPLACE(INDEX(GroupVertices[Group],MATCH(Vertices[[#This Row],[Vertex]],GroupVertices[Vertex],0)),1,1,"")</f>
        <v>2</v>
      </c>
      <c r="BB38" s="49">
        <v>0</v>
      </c>
      <c r="BC38" s="50">
        <v>0</v>
      </c>
      <c r="BD38" s="49">
        <v>0</v>
      </c>
      <c r="BE38" s="50">
        <v>0</v>
      </c>
      <c r="BF38" s="49">
        <v>0</v>
      </c>
      <c r="BG38" s="50">
        <v>0</v>
      </c>
      <c r="BH38" s="49">
        <v>24</v>
      </c>
      <c r="BI38" s="50">
        <v>100</v>
      </c>
      <c r="BJ38" s="49">
        <v>24</v>
      </c>
      <c r="BK38" s="49"/>
      <c r="BL38" s="49"/>
      <c r="BM38" s="49"/>
      <c r="BN38" s="49"/>
      <c r="BO38" s="49"/>
      <c r="BP38" s="49"/>
      <c r="BQ38" s="123" t="s">
        <v>4185</v>
      </c>
      <c r="BR38" s="123" t="s">
        <v>4185</v>
      </c>
      <c r="BS38" s="123" t="s">
        <v>4306</v>
      </c>
      <c r="BT38" s="123" t="s">
        <v>4306</v>
      </c>
      <c r="BU38" s="2"/>
      <c r="BV38" s="3"/>
      <c r="BW38" s="3"/>
      <c r="BX38" s="3"/>
      <c r="BY38" s="3"/>
    </row>
    <row r="39" spans="1:77" ht="15">
      <c r="A39" s="65" t="s">
        <v>239</v>
      </c>
      <c r="B39" s="66"/>
      <c r="C39" s="66" t="s">
        <v>46</v>
      </c>
      <c r="D39" s="67"/>
      <c r="E39" s="69"/>
      <c r="F39" s="111" t="str">
        <f>HYPERLINK("https://pbs.twimg.com/profile_images/1476642531618217993/Zn6Inp9i_normal.jpg")</f>
        <v>https://pbs.twimg.com/profile_images/1476642531618217993/Zn6Inp9i_normal.jpg</v>
      </c>
      <c r="G39" s="66"/>
      <c r="H39" s="70" t="s">
        <v>239</v>
      </c>
      <c r="I39" s="71" t="s">
        <v>4408</v>
      </c>
      <c r="J39" s="71" t="s">
        <v>73</v>
      </c>
      <c r="K39" s="70" t="s">
        <v>1847</v>
      </c>
      <c r="L39" s="74">
        <v>1</v>
      </c>
      <c r="M39" s="75">
        <v>1826.1324462890625</v>
      </c>
      <c r="N39" s="75">
        <v>7188.8056640625</v>
      </c>
      <c r="O39" s="76"/>
      <c r="P39" s="77"/>
      <c r="Q39" s="77"/>
      <c r="R39" s="104"/>
      <c r="S39" s="49">
        <v>0</v>
      </c>
      <c r="T39" s="49">
        <v>1</v>
      </c>
      <c r="U39" s="50">
        <v>0</v>
      </c>
      <c r="V39" s="50">
        <v>0.210637</v>
      </c>
      <c r="W39" s="50">
        <v>0.031853</v>
      </c>
      <c r="X39" s="50">
        <v>0.003759</v>
      </c>
      <c r="Y39" s="50">
        <v>0</v>
      </c>
      <c r="Z39" s="50">
        <v>0</v>
      </c>
      <c r="AA39" s="72">
        <v>39</v>
      </c>
      <c r="AB39" s="72"/>
      <c r="AC39" s="73"/>
      <c r="AD39" s="89" t="s">
        <v>1203</v>
      </c>
      <c r="AE39" s="96" t="s">
        <v>1429</v>
      </c>
      <c r="AF39" s="89">
        <v>308</v>
      </c>
      <c r="AG39" s="89">
        <v>194</v>
      </c>
      <c r="AH39" s="89">
        <v>3635</v>
      </c>
      <c r="AI39" s="89">
        <v>5208</v>
      </c>
      <c r="AJ39" s="89"/>
      <c r="AK39" s="89" t="s">
        <v>1617</v>
      </c>
      <c r="AL39" s="89"/>
      <c r="AM39" s="89"/>
      <c r="AN39" s="89"/>
      <c r="AO39" s="92">
        <v>44557.78765046296</v>
      </c>
      <c r="AP39" s="89"/>
      <c r="AQ39" s="89" t="b">
        <v>1</v>
      </c>
      <c r="AR39" s="89" t="b">
        <v>0</v>
      </c>
      <c r="AS39" s="89" t="b">
        <v>0</v>
      </c>
      <c r="AT39" s="89"/>
      <c r="AU39" s="89">
        <v>0</v>
      </c>
      <c r="AV39" s="89"/>
      <c r="AW39" s="89" t="b">
        <v>0</v>
      </c>
      <c r="AX39" s="89" t="s">
        <v>1811</v>
      </c>
      <c r="AY39" s="99" t="str">
        <f>HYPERLINK("https://twitter.com/jaakkola_mikael")</f>
        <v>https://twitter.com/jaakkola_mikael</v>
      </c>
      <c r="AZ39" s="89" t="s">
        <v>66</v>
      </c>
      <c r="BA39" s="89"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23" t="s">
        <v>4185</v>
      </c>
      <c r="BR39" s="123" t="s">
        <v>4185</v>
      </c>
      <c r="BS39" s="123" t="s">
        <v>4306</v>
      </c>
      <c r="BT39" s="123" t="s">
        <v>4306</v>
      </c>
      <c r="BU39" s="2"/>
      <c r="BV39" s="3"/>
      <c r="BW39" s="3"/>
      <c r="BX39" s="3"/>
      <c r="BY39" s="3"/>
    </row>
    <row r="40" spans="1:77" ht="15">
      <c r="A40" s="65" t="s">
        <v>240</v>
      </c>
      <c r="B40" s="66"/>
      <c r="C40" s="66" t="s">
        <v>46</v>
      </c>
      <c r="D40" s="67"/>
      <c r="E40" s="69"/>
      <c r="F40" s="111" t="str">
        <f>HYPERLINK("https://abs.twimg.com/sticky/default_profile_images/default_profile_normal.png")</f>
        <v>https://abs.twimg.com/sticky/default_profile_images/default_profile_normal.png</v>
      </c>
      <c r="G40" s="66"/>
      <c r="H40" s="70" t="s">
        <v>240</v>
      </c>
      <c r="I40" s="71" t="s">
        <v>4407</v>
      </c>
      <c r="J40" s="71" t="s">
        <v>73</v>
      </c>
      <c r="K40" s="70" t="s">
        <v>1848</v>
      </c>
      <c r="L40" s="74">
        <v>1</v>
      </c>
      <c r="M40" s="75">
        <v>8651.306640625</v>
      </c>
      <c r="N40" s="75">
        <v>6766.75390625</v>
      </c>
      <c r="O40" s="76"/>
      <c r="P40" s="77"/>
      <c r="Q40" s="77"/>
      <c r="R40" s="104"/>
      <c r="S40" s="49">
        <v>0</v>
      </c>
      <c r="T40" s="49">
        <v>2</v>
      </c>
      <c r="U40" s="50">
        <v>298.165657</v>
      </c>
      <c r="V40" s="50">
        <v>0.216598</v>
      </c>
      <c r="W40" s="50">
        <v>0.03925</v>
      </c>
      <c r="X40" s="50">
        <v>0.003863</v>
      </c>
      <c r="Y40" s="50">
        <v>0</v>
      </c>
      <c r="Z40" s="50">
        <v>0</v>
      </c>
      <c r="AA40" s="72">
        <v>40</v>
      </c>
      <c r="AB40" s="72"/>
      <c r="AC40" s="73"/>
      <c r="AD40" s="89" t="s">
        <v>1204</v>
      </c>
      <c r="AE40" s="96" t="s">
        <v>1430</v>
      </c>
      <c r="AF40" s="89">
        <v>146</v>
      </c>
      <c r="AG40" s="89">
        <v>18</v>
      </c>
      <c r="AH40" s="89">
        <v>399</v>
      </c>
      <c r="AI40" s="89">
        <v>2577</v>
      </c>
      <c r="AJ40" s="89"/>
      <c r="AK40" s="89"/>
      <c r="AL40" s="89"/>
      <c r="AM40" s="89"/>
      <c r="AN40" s="89"/>
      <c r="AO40" s="92">
        <v>42805.7709375</v>
      </c>
      <c r="AP40" s="89"/>
      <c r="AQ40" s="89" t="b">
        <v>1</v>
      </c>
      <c r="AR40" s="89" t="b">
        <v>1</v>
      </c>
      <c r="AS40" s="89" t="b">
        <v>0</v>
      </c>
      <c r="AT40" s="89"/>
      <c r="AU40" s="89">
        <v>0</v>
      </c>
      <c r="AV40" s="89"/>
      <c r="AW40" s="89" t="b">
        <v>0</v>
      </c>
      <c r="AX40" s="89" t="s">
        <v>1811</v>
      </c>
      <c r="AY40" s="99" t="str">
        <f>HYPERLINK("https://twitter.com/miksundman")</f>
        <v>https://twitter.com/miksundman</v>
      </c>
      <c r="AZ40" s="89" t="s">
        <v>66</v>
      </c>
      <c r="BA40" s="89" t="str">
        <f>REPLACE(INDEX(GroupVertices[Group],MATCH(Vertices[[#This Row],[Vertex]],GroupVertices[Vertex],0)),1,1,"")</f>
        <v>6</v>
      </c>
      <c r="BB40" s="49">
        <v>0</v>
      </c>
      <c r="BC40" s="50">
        <v>0</v>
      </c>
      <c r="BD40" s="49">
        <v>0</v>
      </c>
      <c r="BE40" s="50">
        <v>0</v>
      </c>
      <c r="BF40" s="49">
        <v>0</v>
      </c>
      <c r="BG40" s="50">
        <v>0</v>
      </c>
      <c r="BH40" s="49">
        <v>53</v>
      </c>
      <c r="BI40" s="50">
        <v>100</v>
      </c>
      <c r="BJ40" s="49">
        <v>53</v>
      </c>
      <c r="BK40" s="49"/>
      <c r="BL40" s="49"/>
      <c r="BM40" s="49"/>
      <c r="BN40" s="49"/>
      <c r="BO40" s="49" t="s">
        <v>555</v>
      </c>
      <c r="BP40" s="49" t="s">
        <v>555</v>
      </c>
      <c r="BQ40" s="123" t="s">
        <v>4190</v>
      </c>
      <c r="BR40" s="123" t="s">
        <v>4279</v>
      </c>
      <c r="BS40" s="123" t="s">
        <v>4305</v>
      </c>
      <c r="BT40" s="123" t="s">
        <v>4305</v>
      </c>
      <c r="BU40" s="2"/>
      <c r="BV40" s="3"/>
      <c r="BW40" s="3"/>
      <c r="BX40" s="3"/>
      <c r="BY40" s="3"/>
    </row>
    <row r="41" spans="1:77" ht="15">
      <c r="A41" s="65" t="s">
        <v>241</v>
      </c>
      <c r="B41" s="66"/>
      <c r="C41" s="66" t="s">
        <v>46</v>
      </c>
      <c r="D41" s="67"/>
      <c r="E41" s="69"/>
      <c r="F41" s="111" t="str">
        <f>HYPERLINK("https://pbs.twimg.com/profile_images/1337145048421576711/bojCjrle_normal.jpg")</f>
        <v>https://pbs.twimg.com/profile_images/1337145048421576711/bojCjrle_normal.jpg</v>
      </c>
      <c r="G41" s="66"/>
      <c r="H41" s="70" t="s">
        <v>241</v>
      </c>
      <c r="I41" s="71" t="s">
        <v>4407</v>
      </c>
      <c r="J41" s="71" t="s">
        <v>73</v>
      </c>
      <c r="K41" s="70" t="s">
        <v>1849</v>
      </c>
      <c r="L41" s="74">
        <v>1</v>
      </c>
      <c r="M41" s="75">
        <v>9846.2490234375</v>
      </c>
      <c r="N41" s="75">
        <v>6725.2236328125</v>
      </c>
      <c r="O41" s="76"/>
      <c r="P41" s="77"/>
      <c r="Q41" s="77"/>
      <c r="R41" s="104"/>
      <c r="S41" s="49">
        <v>0</v>
      </c>
      <c r="T41" s="49">
        <v>1</v>
      </c>
      <c r="U41" s="50">
        <v>0</v>
      </c>
      <c r="V41" s="50">
        <v>0.163412</v>
      </c>
      <c r="W41" s="50">
        <v>0.007398</v>
      </c>
      <c r="X41" s="50">
        <v>0.003783</v>
      </c>
      <c r="Y41" s="50">
        <v>0</v>
      </c>
      <c r="Z41" s="50">
        <v>0</v>
      </c>
      <c r="AA41" s="72">
        <v>41</v>
      </c>
      <c r="AB41" s="72"/>
      <c r="AC41" s="73"/>
      <c r="AD41" s="89" t="s">
        <v>1205</v>
      </c>
      <c r="AE41" s="96" t="s">
        <v>1431</v>
      </c>
      <c r="AF41" s="89">
        <v>450</v>
      </c>
      <c r="AG41" s="89">
        <v>98</v>
      </c>
      <c r="AH41" s="89">
        <v>1628</v>
      </c>
      <c r="AI41" s="89">
        <v>15819</v>
      </c>
      <c r="AJ41" s="89"/>
      <c r="AK41" s="89"/>
      <c r="AL41" s="89"/>
      <c r="AM41" s="89"/>
      <c r="AN41" s="89"/>
      <c r="AO41" s="92">
        <v>42257.78296296296</v>
      </c>
      <c r="AP41" s="99" t="str">
        <f>HYPERLINK("https://pbs.twimg.com/profile_banners/3612302535/1601930344")</f>
        <v>https://pbs.twimg.com/profile_banners/3612302535/1601930344</v>
      </c>
      <c r="AQ41" s="89" t="b">
        <v>1</v>
      </c>
      <c r="AR41" s="89" t="b">
        <v>0</v>
      </c>
      <c r="AS41" s="89" t="b">
        <v>1</v>
      </c>
      <c r="AT41" s="89"/>
      <c r="AU41" s="89">
        <v>0</v>
      </c>
      <c r="AV41" s="99" t="str">
        <f>HYPERLINK("https://abs.twimg.com/images/themes/theme1/bg.png")</f>
        <v>https://abs.twimg.com/images/themes/theme1/bg.png</v>
      </c>
      <c r="AW41" s="89" t="b">
        <v>0</v>
      </c>
      <c r="AX41" s="89" t="s">
        <v>1811</v>
      </c>
      <c r="AY41" s="99" t="str">
        <f>HYPERLINK("https://twitter.com/lahteemmaki")</f>
        <v>https://twitter.com/lahteemmaki</v>
      </c>
      <c r="AZ41" s="89" t="s">
        <v>66</v>
      </c>
      <c r="BA41" s="89" t="str">
        <f>REPLACE(INDEX(GroupVertices[Group],MATCH(Vertices[[#This Row],[Vertex]],GroupVertices[Vertex],0)),1,1,"")</f>
        <v>6</v>
      </c>
      <c r="BB41" s="49">
        <v>0</v>
      </c>
      <c r="BC41" s="50">
        <v>0</v>
      </c>
      <c r="BD41" s="49">
        <v>0</v>
      </c>
      <c r="BE41" s="50">
        <v>0</v>
      </c>
      <c r="BF41" s="49">
        <v>0</v>
      </c>
      <c r="BG41" s="50">
        <v>0</v>
      </c>
      <c r="BH41" s="49">
        <v>29</v>
      </c>
      <c r="BI41" s="50">
        <v>100</v>
      </c>
      <c r="BJ41" s="49">
        <v>29</v>
      </c>
      <c r="BK41" s="49"/>
      <c r="BL41" s="49"/>
      <c r="BM41" s="49"/>
      <c r="BN41" s="49"/>
      <c r="BO41" s="49" t="s">
        <v>555</v>
      </c>
      <c r="BP41" s="49" t="s">
        <v>555</v>
      </c>
      <c r="BQ41" s="123" t="s">
        <v>4183</v>
      </c>
      <c r="BR41" s="123" t="s">
        <v>4183</v>
      </c>
      <c r="BS41" s="123" t="s">
        <v>4305</v>
      </c>
      <c r="BT41" s="123" t="s">
        <v>4305</v>
      </c>
      <c r="BU41" s="2"/>
      <c r="BV41" s="3"/>
      <c r="BW41" s="3"/>
      <c r="BX41" s="3"/>
      <c r="BY41" s="3"/>
    </row>
    <row r="42" spans="1:77" ht="15">
      <c r="A42" s="65" t="s">
        <v>242</v>
      </c>
      <c r="B42" s="66"/>
      <c r="C42" s="66" t="s">
        <v>46</v>
      </c>
      <c r="D42" s="67"/>
      <c r="E42" s="69"/>
      <c r="F42" s="111" t="str">
        <f>HYPERLINK("https://pbs.twimg.com/profile_images/1472603311094345733/FYroEV61_normal.jpg")</f>
        <v>https://pbs.twimg.com/profile_images/1472603311094345733/FYroEV61_normal.jpg</v>
      </c>
      <c r="G42" s="66"/>
      <c r="H42" s="70" t="s">
        <v>242</v>
      </c>
      <c r="I42" s="71" t="s">
        <v>4411</v>
      </c>
      <c r="J42" s="71" t="s">
        <v>73</v>
      </c>
      <c r="K42" s="70" t="s">
        <v>1850</v>
      </c>
      <c r="L42" s="74">
        <v>1</v>
      </c>
      <c r="M42" s="75">
        <v>5152.44140625</v>
      </c>
      <c r="N42" s="75">
        <v>8524.1455078125</v>
      </c>
      <c r="O42" s="76"/>
      <c r="P42" s="77"/>
      <c r="Q42" s="77"/>
      <c r="R42" s="104"/>
      <c r="S42" s="49">
        <v>0</v>
      </c>
      <c r="T42" s="49">
        <v>1</v>
      </c>
      <c r="U42" s="50">
        <v>0</v>
      </c>
      <c r="V42" s="50">
        <v>0.201398</v>
      </c>
      <c r="W42" s="50">
        <v>0.004089</v>
      </c>
      <c r="X42" s="50">
        <v>0.003753</v>
      </c>
      <c r="Y42" s="50">
        <v>0</v>
      </c>
      <c r="Z42" s="50">
        <v>0</v>
      </c>
      <c r="AA42" s="72">
        <v>42</v>
      </c>
      <c r="AB42" s="72"/>
      <c r="AC42" s="73"/>
      <c r="AD42" s="89" t="s">
        <v>1206</v>
      </c>
      <c r="AE42" s="96" t="s">
        <v>1432</v>
      </c>
      <c r="AF42" s="89">
        <v>255</v>
      </c>
      <c r="AG42" s="89">
        <v>71</v>
      </c>
      <c r="AH42" s="89">
        <v>1900</v>
      </c>
      <c r="AI42" s="89">
        <v>2158</v>
      </c>
      <c r="AJ42" s="89"/>
      <c r="AK42" s="89" t="s">
        <v>1618</v>
      </c>
      <c r="AL42" s="89" t="s">
        <v>1772</v>
      </c>
      <c r="AM42" s="89"/>
      <c r="AN42" s="89"/>
      <c r="AO42" s="92">
        <v>44319.63201388889</v>
      </c>
      <c r="AP42" s="99" t="str">
        <f>HYPERLINK("https://pbs.twimg.com/profile_banners/1389235771077500933/1641335020")</f>
        <v>https://pbs.twimg.com/profile_banners/1389235771077500933/1641335020</v>
      </c>
      <c r="AQ42" s="89" t="b">
        <v>1</v>
      </c>
      <c r="AR42" s="89" t="b">
        <v>0</v>
      </c>
      <c r="AS42" s="89" t="b">
        <v>0</v>
      </c>
      <c r="AT42" s="89"/>
      <c r="AU42" s="89">
        <v>0</v>
      </c>
      <c r="AV42" s="89"/>
      <c r="AW42" s="89" t="b">
        <v>0</v>
      </c>
      <c r="AX42" s="89" t="s">
        <v>1811</v>
      </c>
      <c r="AY42" s="99" t="str">
        <f>HYPERLINK("https://twitter.com/stadislav")</f>
        <v>https://twitter.com/stadislav</v>
      </c>
      <c r="AZ42" s="89" t="s">
        <v>66</v>
      </c>
      <c r="BA42" s="89" t="str">
        <f>REPLACE(INDEX(GroupVertices[Group],MATCH(Vertices[[#This Row],[Vertex]],GroupVertices[Vertex],0)),1,1,"")</f>
        <v>3</v>
      </c>
      <c r="BB42" s="49">
        <v>0</v>
      </c>
      <c r="BC42" s="50">
        <v>0</v>
      </c>
      <c r="BD42" s="49">
        <v>0</v>
      </c>
      <c r="BE42" s="50">
        <v>0</v>
      </c>
      <c r="BF42" s="49">
        <v>0</v>
      </c>
      <c r="BG42" s="50">
        <v>0</v>
      </c>
      <c r="BH42" s="49">
        <v>38</v>
      </c>
      <c r="BI42" s="50">
        <v>100</v>
      </c>
      <c r="BJ42" s="49">
        <v>38</v>
      </c>
      <c r="BK42" s="49"/>
      <c r="BL42" s="49"/>
      <c r="BM42" s="49"/>
      <c r="BN42" s="49"/>
      <c r="BO42" s="49"/>
      <c r="BP42" s="49"/>
      <c r="BQ42" s="123" t="s">
        <v>4191</v>
      </c>
      <c r="BR42" s="123" t="s">
        <v>4191</v>
      </c>
      <c r="BS42" s="123" t="s">
        <v>4311</v>
      </c>
      <c r="BT42" s="123" t="s">
        <v>4311</v>
      </c>
      <c r="BU42" s="2"/>
      <c r="BV42" s="3"/>
      <c r="BW42" s="3"/>
      <c r="BX42" s="3"/>
      <c r="BY42" s="3"/>
    </row>
    <row r="43" spans="1:77" ht="15">
      <c r="A43" s="65" t="s">
        <v>416</v>
      </c>
      <c r="B43" s="66"/>
      <c r="C43" s="66" t="s">
        <v>64</v>
      </c>
      <c r="D43" s="67">
        <v>1000</v>
      </c>
      <c r="E43" s="69"/>
      <c r="F43" s="111" t="str">
        <f>HYPERLINK("https://pbs.twimg.com/profile_images/567668839140188160/tx5wvarA_normal.jpeg")</f>
        <v>https://pbs.twimg.com/profile_images/567668839140188160/tx5wvarA_normal.jpeg</v>
      </c>
      <c r="G43" s="66"/>
      <c r="H43" s="70" t="s">
        <v>416</v>
      </c>
      <c r="I43" s="71" t="s">
        <v>4411</v>
      </c>
      <c r="J43" s="71" t="s">
        <v>75</v>
      </c>
      <c r="K43" s="70" t="s">
        <v>1851</v>
      </c>
      <c r="L43" s="74">
        <v>4400.12</v>
      </c>
      <c r="M43" s="75">
        <v>5529.7421875</v>
      </c>
      <c r="N43" s="75">
        <v>7702.10546875</v>
      </c>
      <c r="O43" s="76"/>
      <c r="P43" s="77"/>
      <c r="Q43" s="77"/>
      <c r="R43" s="104"/>
      <c r="S43" s="49">
        <v>22</v>
      </c>
      <c r="T43" s="49">
        <v>0</v>
      </c>
      <c r="U43" s="50">
        <v>10686.960737</v>
      </c>
      <c r="V43" s="50">
        <v>0.271709</v>
      </c>
      <c r="W43" s="50">
        <v>0.031958</v>
      </c>
      <c r="X43" s="50">
        <v>0.010819</v>
      </c>
      <c r="Y43" s="50">
        <v>0.004329004329004329</v>
      </c>
      <c r="Z43" s="50">
        <v>0</v>
      </c>
      <c r="AA43" s="72">
        <v>43</v>
      </c>
      <c r="AB43" s="72"/>
      <c r="AC43" s="73"/>
      <c r="AD43" s="89" t="s">
        <v>1207</v>
      </c>
      <c r="AE43" s="96" t="s">
        <v>1092</v>
      </c>
      <c r="AF43" s="89">
        <v>41</v>
      </c>
      <c r="AG43" s="89">
        <v>248</v>
      </c>
      <c r="AH43" s="89">
        <v>58</v>
      </c>
      <c r="AI43" s="89">
        <v>0</v>
      </c>
      <c r="AJ43" s="89"/>
      <c r="AK43" s="89" t="s">
        <v>1619</v>
      </c>
      <c r="AL43" s="89"/>
      <c r="AM43" s="99" t="str">
        <f>HYPERLINK("http://t.co/Q9S7IO5GHc")</f>
        <v>http://t.co/Q9S7IO5GHc</v>
      </c>
      <c r="AN43" s="89"/>
      <c r="AO43" s="92">
        <v>42052.53804398148</v>
      </c>
      <c r="AP43" s="99" t="str">
        <f>HYPERLINK("https://pbs.twimg.com/profile_banners/3042472372/1424177917")</f>
        <v>https://pbs.twimg.com/profile_banners/3042472372/1424177917</v>
      </c>
      <c r="AQ43" s="89" t="b">
        <v>0</v>
      </c>
      <c r="AR43" s="89" t="b">
        <v>0</v>
      </c>
      <c r="AS43" s="89" t="b">
        <v>0</v>
      </c>
      <c r="AT43" s="89"/>
      <c r="AU43" s="89">
        <v>1</v>
      </c>
      <c r="AV43" s="99" t="str">
        <f>HYPERLINK("https://abs.twimg.com/images/themes/theme1/bg.png")</f>
        <v>https://abs.twimg.com/images/themes/theme1/bg.png</v>
      </c>
      <c r="AW43" s="89" t="b">
        <v>0</v>
      </c>
      <c r="AX43" s="89" t="s">
        <v>1811</v>
      </c>
      <c r="AY43" s="99" t="str">
        <f>HYPERLINK("https://twitter.com/chefvalimaki")</f>
        <v>https://twitter.com/chefvalimaki</v>
      </c>
      <c r="AZ43" s="89" t="s">
        <v>65</v>
      </c>
      <c r="BA43" s="8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243</v>
      </c>
      <c r="B44" s="66"/>
      <c r="C44" s="66" t="s">
        <v>46</v>
      </c>
      <c r="D44" s="67"/>
      <c r="E44" s="69"/>
      <c r="F44" s="111" t="str">
        <f>HYPERLINK("https://pbs.twimg.com/profile_images/1475464450006265859/ImOkuQZp_normal.jpg")</f>
        <v>https://pbs.twimg.com/profile_images/1475464450006265859/ImOkuQZp_normal.jpg</v>
      </c>
      <c r="G44" s="66"/>
      <c r="H44" s="70" t="s">
        <v>243</v>
      </c>
      <c r="I44" s="71" t="s">
        <v>4408</v>
      </c>
      <c r="J44" s="71" t="s">
        <v>73</v>
      </c>
      <c r="K44" s="70" t="s">
        <v>1852</v>
      </c>
      <c r="L44" s="74">
        <v>1</v>
      </c>
      <c r="M44" s="75">
        <v>2312.468017578125</v>
      </c>
      <c r="N44" s="75">
        <v>9177.37890625</v>
      </c>
      <c r="O44" s="76"/>
      <c r="P44" s="77"/>
      <c r="Q44" s="77"/>
      <c r="R44" s="104"/>
      <c r="S44" s="49">
        <v>0</v>
      </c>
      <c r="T44" s="49">
        <v>1</v>
      </c>
      <c r="U44" s="50">
        <v>0</v>
      </c>
      <c r="V44" s="50">
        <v>0.210637</v>
      </c>
      <c r="W44" s="50">
        <v>0.031853</v>
      </c>
      <c r="X44" s="50">
        <v>0.003759</v>
      </c>
      <c r="Y44" s="50">
        <v>0</v>
      </c>
      <c r="Z44" s="50">
        <v>0</v>
      </c>
      <c r="AA44" s="72">
        <v>44</v>
      </c>
      <c r="AB44" s="72"/>
      <c r="AC44" s="73"/>
      <c r="AD44" s="89" t="s">
        <v>1208</v>
      </c>
      <c r="AE44" s="96" t="s">
        <v>1433</v>
      </c>
      <c r="AF44" s="89">
        <v>135</v>
      </c>
      <c r="AG44" s="89">
        <v>65</v>
      </c>
      <c r="AH44" s="89">
        <v>1149</v>
      </c>
      <c r="AI44" s="89">
        <v>9529</v>
      </c>
      <c r="AJ44" s="89"/>
      <c r="AK44" s="89"/>
      <c r="AL44" s="89"/>
      <c r="AM44" s="89"/>
      <c r="AN44" s="89"/>
      <c r="AO44" s="92">
        <v>40038.39158564815</v>
      </c>
      <c r="AP44" s="89"/>
      <c r="AQ44" s="89" t="b">
        <v>0</v>
      </c>
      <c r="AR44" s="89" t="b">
        <v>0</v>
      </c>
      <c r="AS44" s="89" t="b">
        <v>0</v>
      </c>
      <c r="AT44" s="89"/>
      <c r="AU44" s="89">
        <v>0</v>
      </c>
      <c r="AV44" s="99" t="str">
        <f>HYPERLINK("https://abs.twimg.com/images/themes/theme9/bg.gif")</f>
        <v>https://abs.twimg.com/images/themes/theme9/bg.gif</v>
      </c>
      <c r="AW44" s="89" t="b">
        <v>0</v>
      </c>
      <c r="AX44" s="89" t="s">
        <v>1811</v>
      </c>
      <c r="AY44" s="99" t="str">
        <f>HYPERLINK("https://twitter.com/lallaatilaa")</f>
        <v>https://twitter.com/lallaatilaa</v>
      </c>
      <c r="AZ44" s="89" t="s">
        <v>66</v>
      </c>
      <c r="BA44" s="89" t="str">
        <f>REPLACE(INDEX(GroupVertices[Group],MATCH(Vertices[[#This Row],[Vertex]],GroupVertices[Vertex],0)),1,1,"")</f>
        <v>2</v>
      </c>
      <c r="BB44" s="49">
        <v>0</v>
      </c>
      <c r="BC44" s="50">
        <v>0</v>
      </c>
      <c r="BD44" s="49">
        <v>0</v>
      </c>
      <c r="BE44" s="50">
        <v>0</v>
      </c>
      <c r="BF44" s="49">
        <v>0</v>
      </c>
      <c r="BG44" s="50">
        <v>0</v>
      </c>
      <c r="BH44" s="49">
        <v>24</v>
      </c>
      <c r="BI44" s="50">
        <v>100</v>
      </c>
      <c r="BJ44" s="49">
        <v>24</v>
      </c>
      <c r="BK44" s="49"/>
      <c r="BL44" s="49"/>
      <c r="BM44" s="49"/>
      <c r="BN44" s="49"/>
      <c r="BO44" s="49"/>
      <c r="BP44" s="49"/>
      <c r="BQ44" s="123" t="s">
        <v>4185</v>
      </c>
      <c r="BR44" s="123" t="s">
        <v>4185</v>
      </c>
      <c r="BS44" s="123" t="s">
        <v>4306</v>
      </c>
      <c r="BT44" s="123" t="s">
        <v>4306</v>
      </c>
      <c r="BU44" s="2"/>
      <c r="BV44" s="3"/>
      <c r="BW44" s="3"/>
      <c r="BX44" s="3"/>
      <c r="BY44" s="3"/>
    </row>
    <row r="45" spans="1:77" ht="15">
      <c r="A45" s="65" t="s">
        <v>244</v>
      </c>
      <c r="B45" s="66"/>
      <c r="C45" s="66" t="s">
        <v>46</v>
      </c>
      <c r="D45" s="67"/>
      <c r="E45" s="69"/>
      <c r="F45" s="111" t="str">
        <f>HYPERLINK("https://pbs.twimg.com/profile_images/942796296775241728/olDdFrFB_normal.jpg")</f>
        <v>https://pbs.twimg.com/profile_images/942796296775241728/olDdFrFB_normal.jpg</v>
      </c>
      <c r="G45" s="66"/>
      <c r="H45" s="70" t="s">
        <v>244</v>
      </c>
      <c r="I45" s="71" t="s">
        <v>4412</v>
      </c>
      <c r="J45" s="71" t="s">
        <v>73</v>
      </c>
      <c r="K45" s="70" t="s">
        <v>1853</v>
      </c>
      <c r="L45" s="74">
        <v>1</v>
      </c>
      <c r="M45" s="75">
        <v>9560.2138671875</v>
      </c>
      <c r="N45" s="75">
        <v>5081.458984375</v>
      </c>
      <c r="O45" s="76"/>
      <c r="P45" s="77"/>
      <c r="Q45" s="77"/>
      <c r="R45" s="104"/>
      <c r="S45" s="49">
        <v>0</v>
      </c>
      <c r="T45" s="49">
        <v>2</v>
      </c>
      <c r="U45" s="50">
        <v>2</v>
      </c>
      <c r="V45" s="50">
        <v>0.008696</v>
      </c>
      <c r="W45" s="50">
        <v>0</v>
      </c>
      <c r="X45" s="50">
        <v>0.004894</v>
      </c>
      <c r="Y45" s="50">
        <v>0</v>
      </c>
      <c r="Z45" s="50">
        <v>0</v>
      </c>
      <c r="AA45" s="72">
        <v>45</v>
      </c>
      <c r="AB45" s="72"/>
      <c r="AC45" s="73"/>
      <c r="AD45" s="89" t="s">
        <v>1209</v>
      </c>
      <c r="AE45" s="96" t="s">
        <v>1434</v>
      </c>
      <c r="AF45" s="89">
        <v>272</v>
      </c>
      <c r="AG45" s="89">
        <v>149</v>
      </c>
      <c r="AH45" s="89">
        <v>2050</v>
      </c>
      <c r="AI45" s="89">
        <v>2587</v>
      </c>
      <c r="AJ45" s="89"/>
      <c r="AK45" s="89" t="s">
        <v>1620</v>
      </c>
      <c r="AL45" s="89"/>
      <c r="AM45" s="89"/>
      <c r="AN45" s="89"/>
      <c r="AO45" s="92">
        <v>43087.66605324074</v>
      </c>
      <c r="AP45" s="89"/>
      <c r="AQ45" s="89" t="b">
        <v>1</v>
      </c>
      <c r="AR45" s="89" t="b">
        <v>0</v>
      </c>
      <c r="AS45" s="89" t="b">
        <v>0</v>
      </c>
      <c r="AT45" s="89"/>
      <c r="AU45" s="89">
        <v>0</v>
      </c>
      <c r="AV45" s="89"/>
      <c r="AW45" s="89" t="b">
        <v>0</v>
      </c>
      <c r="AX45" s="89" t="s">
        <v>1811</v>
      </c>
      <c r="AY45" s="99" t="str">
        <f>HYPERLINK("https://twitter.com/polarphoenix1")</f>
        <v>https://twitter.com/polarphoenix1</v>
      </c>
      <c r="AZ45" s="89" t="s">
        <v>66</v>
      </c>
      <c r="BA45" s="89" t="str">
        <f>REPLACE(INDEX(GroupVertices[Group],MATCH(Vertices[[#This Row],[Vertex]],GroupVertices[Vertex],0)),1,1,"")</f>
        <v>15</v>
      </c>
      <c r="BB45" s="49">
        <v>0</v>
      </c>
      <c r="BC45" s="50">
        <v>0</v>
      </c>
      <c r="BD45" s="49">
        <v>0</v>
      </c>
      <c r="BE45" s="50">
        <v>0</v>
      </c>
      <c r="BF45" s="49">
        <v>0</v>
      </c>
      <c r="BG45" s="50">
        <v>0</v>
      </c>
      <c r="BH45" s="49">
        <v>34</v>
      </c>
      <c r="BI45" s="50">
        <v>100</v>
      </c>
      <c r="BJ45" s="49">
        <v>34</v>
      </c>
      <c r="BK45" s="49"/>
      <c r="BL45" s="49"/>
      <c r="BM45" s="49"/>
      <c r="BN45" s="49"/>
      <c r="BO45" s="49"/>
      <c r="BP45" s="49"/>
      <c r="BQ45" s="123" t="s">
        <v>4192</v>
      </c>
      <c r="BR45" s="123" t="s">
        <v>4192</v>
      </c>
      <c r="BS45" s="123" t="s">
        <v>4312</v>
      </c>
      <c r="BT45" s="123" t="s">
        <v>4312</v>
      </c>
      <c r="BU45" s="2"/>
      <c r="BV45" s="3"/>
      <c r="BW45" s="3"/>
      <c r="BX45" s="3"/>
      <c r="BY45" s="3"/>
    </row>
    <row r="46" spans="1:77" ht="15">
      <c r="A46" s="65" t="s">
        <v>417</v>
      </c>
      <c r="B46" s="66"/>
      <c r="C46" s="66" t="s">
        <v>46</v>
      </c>
      <c r="D46" s="67">
        <v>10</v>
      </c>
      <c r="E46" s="69"/>
      <c r="F46" s="111" t="str">
        <f>HYPERLINK("https://pbs.twimg.com/profile_images/1446907015448735754/-X5D1bfa_normal.jpg")</f>
        <v>https://pbs.twimg.com/profile_images/1446907015448735754/-X5D1bfa_normal.jpg</v>
      </c>
      <c r="G46" s="66"/>
      <c r="H46" s="70" t="s">
        <v>417</v>
      </c>
      <c r="I46" s="71" t="s">
        <v>4412</v>
      </c>
      <c r="J46" s="71" t="s">
        <v>75</v>
      </c>
      <c r="K46" s="70" t="s">
        <v>1854</v>
      </c>
      <c r="L46" s="74">
        <v>200.96</v>
      </c>
      <c r="M46" s="75">
        <v>9560.2138671875</v>
      </c>
      <c r="N46" s="75">
        <v>4566.2880859375</v>
      </c>
      <c r="O46" s="76"/>
      <c r="P46" s="77"/>
      <c r="Q46" s="77"/>
      <c r="R46" s="104"/>
      <c r="S46" s="49">
        <v>1</v>
      </c>
      <c r="T46" s="49">
        <v>0</v>
      </c>
      <c r="U46" s="50">
        <v>0</v>
      </c>
      <c r="V46" s="50">
        <v>0.005797</v>
      </c>
      <c r="W46" s="50">
        <v>0</v>
      </c>
      <c r="X46" s="50">
        <v>0.004047</v>
      </c>
      <c r="Y46" s="50">
        <v>0</v>
      </c>
      <c r="Z46" s="50">
        <v>0</v>
      </c>
      <c r="AA46" s="72">
        <v>46</v>
      </c>
      <c r="AB46" s="72"/>
      <c r="AC46" s="73"/>
      <c r="AD46" s="89" t="s">
        <v>1210</v>
      </c>
      <c r="AE46" s="96" t="s">
        <v>1435</v>
      </c>
      <c r="AF46" s="89">
        <v>580</v>
      </c>
      <c r="AG46" s="89">
        <v>689</v>
      </c>
      <c r="AH46" s="89">
        <v>4472</v>
      </c>
      <c r="AI46" s="89">
        <v>8333</v>
      </c>
      <c r="AJ46" s="89"/>
      <c r="AK46" s="89" t="s">
        <v>1621</v>
      </c>
      <c r="AL46" s="89"/>
      <c r="AM46" s="89"/>
      <c r="AN46" s="89"/>
      <c r="AO46" s="92">
        <v>44304.441979166666</v>
      </c>
      <c r="AP46" s="99" t="str">
        <f>HYPERLINK("https://pbs.twimg.com/profile_banners/1383731064460308480/1633804577")</f>
        <v>https://pbs.twimg.com/profile_banners/1383731064460308480/1633804577</v>
      </c>
      <c r="AQ46" s="89" t="b">
        <v>1</v>
      </c>
      <c r="AR46" s="89" t="b">
        <v>0</v>
      </c>
      <c r="AS46" s="89" t="b">
        <v>0</v>
      </c>
      <c r="AT46" s="89"/>
      <c r="AU46" s="89">
        <v>1</v>
      </c>
      <c r="AV46" s="89"/>
      <c r="AW46" s="89" t="b">
        <v>0</v>
      </c>
      <c r="AX46" s="89" t="s">
        <v>1811</v>
      </c>
      <c r="AY46" s="99" t="str">
        <f>HYPERLINK("https://twitter.com/ehaltmar")</f>
        <v>https://twitter.com/ehaltmar</v>
      </c>
      <c r="AZ46" s="89" t="s">
        <v>65</v>
      </c>
      <c r="BA46" s="89"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418</v>
      </c>
      <c r="B47" s="66"/>
      <c r="C47" s="66" t="s">
        <v>46</v>
      </c>
      <c r="D47" s="67">
        <v>10</v>
      </c>
      <c r="E47" s="69"/>
      <c r="F47" s="111" t="str">
        <f>HYPERLINK("https://pbs.twimg.com/profile_images/1468235635383283720/iURNYaeI_normal.jpg")</f>
        <v>https://pbs.twimg.com/profile_images/1468235635383283720/iURNYaeI_normal.jpg</v>
      </c>
      <c r="G47" s="66"/>
      <c r="H47" s="70" t="s">
        <v>418</v>
      </c>
      <c r="I47" s="71" t="s">
        <v>4412</v>
      </c>
      <c r="J47" s="71" t="s">
        <v>75</v>
      </c>
      <c r="K47" s="70" t="s">
        <v>1855</v>
      </c>
      <c r="L47" s="74">
        <v>200.96</v>
      </c>
      <c r="M47" s="75">
        <v>9560.2138671875</v>
      </c>
      <c r="N47" s="75">
        <v>4051.1171875</v>
      </c>
      <c r="O47" s="76"/>
      <c r="P47" s="77"/>
      <c r="Q47" s="77"/>
      <c r="R47" s="104"/>
      <c r="S47" s="49">
        <v>1</v>
      </c>
      <c r="T47" s="49">
        <v>0</v>
      </c>
      <c r="U47" s="50">
        <v>0</v>
      </c>
      <c r="V47" s="50">
        <v>0.005797</v>
      </c>
      <c r="W47" s="50">
        <v>0</v>
      </c>
      <c r="X47" s="50">
        <v>0.004047</v>
      </c>
      <c r="Y47" s="50">
        <v>0</v>
      </c>
      <c r="Z47" s="50">
        <v>0</v>
      </c>
      <c r="AA47" s="72">
        <v>47</v>
      </c>
      <c r="AB47" s="72"/>
      <c r="AC47" s="73"/>
      <c r="AD47" s="89" t="s">
        <v>1211</v>
      </c>
      <c r="AE47" s="96" t="s">
        <v>1093</v>
      </c>
      <c r="AF47" s="89">
        <v>289</v>
      </c>
      <c r="AG47" s="89">
        <v>59</v>
      </c>
      <c r="AH47" s="89">
        <v>934</v>
      </c>
      <c r="AI47" s="89">
        <v>5473</v>
      </c>
      <c r="AJ47" s="89"/>
      <c r="AK47" s="89" t="s">
        <v>1622</v>
      </c>
      <c r="AL47" s="89"/>
      <c r="AM47" s="89"/>
      <c r="AN47" s="89"/>
      <c r="AO47" s="92">
        <v>44511.7918287037</v>
      </c>
      <c r="AP47" s="89"/>
      <c r="AQ47" s="89" t="b">
        <v>1</v>
      </c>
      <c r="AR47" s="89" t="b">
        <v>0</v>
      </c>
      <c r="AS47" s="89" t="b">
        <v>0</v>
      </c>
      <c r="AT47" s="89"/>
      <c r="AU47" s="89">
        <v>0</v>
      </c>
      <c r="AV47" s="89"/>
      <c r="AW47" s="89" t="b">
        <v>0</v>
      </c>
      <c r="AX47" s="89" t="s">
        <v>1811</v>
      </c>
      <c r="AY47" s="99" t="str">
        <f>HYPERLINK("https://twitter.com/annajrvinen7")</f>
        <v>https://twitter.com/annajrvinen7</v>
      </c>
      <c r="AZ47" s="89" t="s">
        <v>65</v>
      </c>
      <c r="BA47" s="89"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245</v>
      </c>
      <c r="B48" s="66"/>
      <c r="C48" s="66" t="s">
        <v>46</v>
      </c>
      <c r="D48" s="67"/>
      <c r="E48" s="69"/>
      <c r="F48" s="111" t="str">
        <f>HYPERLINK("https://abs.twimg.com/sticky/default_profile_images/default_profile_normal.png")</f>
        <v>https://abs.twimg.com/sticky/default_profile_images/default_profile_normal.png</v>
      </c>
      <c r="G48" s="66"/>
      <c r="H48" s="70" t="s">
        <v>245</v>
      </c>
      <c r="I48" s="71" t="s">
        <v>4408</v>
      </c>
      <c r="J48" s="71" t="s">
        <v>73</v>
      </c>
      <c r="K48" s="70" t="s">
        <v>1856</v>
      </c>
      <c r="L48" s="74">
        <v>1</v>
      </c>
      <c r="M48" s="75">
        <v>1554.19287109375</v>
      </c>
      <c r="N48" s="75">
        <v>6867.44189453125</v>
      </c>
      <c r="O48" s="76"/>
      <c r="P48" s="77"/>
      <c r="Q48" s="77"/>
      <c r="R48" s="104"/>
      <c r="S48" s="49">
        <v>0</v>
      </c>
      <c r="T48" s="49">
        <v>1</v>
      </c>
      <c r="U48" s="50">
        <v>0</v>
      </c>
      <c r="V48" s="50">
        <v>0.210637</v>
      </c>
      <c r="W48" s="50">
        <v>0.031853</v>
      </c>
      <c r="X48" s="50">
        <v>0.003759</v>
      </c>
      <c r="Y48" s="50">
        <v>0</v>
      </c>
      <c r="Z48" s="50">
        <v>0</v>
      </c>
      <c r="AA48" s="72">
        <v>48</v>
      </c>
      <c r="AB48" s="72"/>
      <c r="AC48" s="73"/>
      <c r="AD48" s="89" t="s">
        <v>1212</v>
      </c>
      <c r="AE48" s="96" t="s">
        <v>1436</v>
      </c>
      <c r="AF48" s="89">
        <v>38</v>
      </c>
      <c r="AG48" s="89">
        <v>9</v>
      </c>
      <c r="AH48" s="89">
        <v>778</v>
      </c>
      <c r="AI48" s="89">
        <v>119</v>
      </c>
      <c r="AJ48" s="89"/>
      <c r="AK48" s="89"/>
      <c r="AL48" s="89"/>
      <c r="AM48" s="89"/>
      <c r="AN48" s="89"/>
      <c r="AO48" s="92">
        <v>44350.96748842593</v>
      </c>
      <c r="AP48" s="89"/>
      <c r="AQ48" s="89" t="b">
        <v>1</v>
      </c>
      <c r="AR48" s="89" t="b">
        <v>1</v>
      </c>
      <c r="AS48" s="89" t="b">
        <v>0</v>
      </c>
      <c r="AT48" s="89"/>
      <c r="AU48" s="89">
        <v>0</v>
      </c>
      <c r="AV48" s="89"/>
      <c r="AW48" s="89" t="b">
        <v>0</v>
      </c>
      <c r="AX48" s="89" t="s">
        <v>1811</v>
      </c>
      <c r="AY48" s="99" t="str">
        <f>HYPERLINK("https://twitter.com/pohjallinen")</f>
        <v>https://twitter.com/pohjallinen</v>
      </c>
      <c r="AZ48" s="89" t="s">
        <v>66</v>
      </c>
      <c r="BA48" s="89" t="str">
        <f>REPLACE(INDEX(GroupVertices[Group],MATCH(Vertices[[#This Row],[Vertex]],GroupVertices[Vertex],0)),1,1,"")</f>
        <v>2</v>
      </c>
      <c r="BB48" s="49">
        <v>0</v>
      </c>
      <c r="BC48" s="50">
        <v>0</v>
      </c>
      <c r="BD48" s="49">
        <v>0</v>
      </c>
      <c r="BE48" s="50">
        <v>0</v>
      </c>
      <c r="BF48" s="49">
        <v>0</v>
      </c>
      <c r="BG48" s="50">
        <v>0</v>
      </c>
      <c r="BH48" s="49">
        <v>7</v>
      </c>
      <c r="BI48" s="50">
        <v>100</v>
      </c>
      <c r="BJ48" s="49">
        <v>7</v>
      </c>
      <c r="BK48" s="49"/>
      <c r="BL48" s="49"/>
      <c r="BM48" s="49"/>
      <c r="BN48" s="49"/>
      <c r="BO48" s="49"/>
      <c r="BP48" s="49"/>
      <c r="BQ48" s="123" t="s">
        <v>4193</v>
      </c>
      <c r="BR48" s="123" t="s">
        <v>4193</v>
      </c>
      <c r="BS48" s="123" t="s">
        <v>4313</v>
      </c>
      <c r="BT48" s="123" t="s">
        <v>4313</v>
      </c>
      <c r="BU48" s="2"/>
      <c r="BV48" s="3"/>
      <c r="BW48" s="3"/>
      <c r="BX48" s="3"/>
      <c r="BY48" s="3"/>
    </row>
    <row r="49" spans="1:77" ht="15">
      <c r="A49" s="65" t="s">
        <v>246</v>
      </c>
      <c r="B49" s="66"/>
      <c r="C49" s="66" t="s">
        <v>46</v>
      </c>
      <c r="D49" s="67"/>
      <c r="E49" s="69"/>
      <c r="F49" s="111" t="str">
        <f>HYPERLINK("https://pbs.twimg.com/profile_images/1456557878798692353/674humXk_normal.jpg")</f>
        <v>https://pbs.twimg.com/profile_images/1456557878798692353/674humXk_normal.jpg</v>
      </c>
      <c r="G49" s="66"/>
      <c r="H49" s="70" t="s">
        <v>246</v>
      </c>
      <c r="I49" s="71" t="s">
        <v>4408</v>
      </c>
      <c r="J49" s="71" t="s">
        <v>73</v>
      </c>
      <c r="K49" s="70" t="s">
        <v>1857</v>
      </c>
      <c r="L49" s="74">
        <v>1</v>
      </c>
      <c r="M49" s="75">
        <v>1549.7711181640625</v>
      </c>
      <c r="N49" s="75">
        <v>7435.36962890625</v>
      </c>
      <c r="O49" s="76"/>
      <c r="P49" s="77"/>
      <c r="Q49" s="77"/>
      <c r="R49" s="104"/>
      <c r="S49" s="49">
        <v>0</v>
      </c>
      <c r="T49" s="49">
        <v>1</v>
      </c>
      <c r="U49" s="50">
        <v>0</v>
      </c>
      <c r="V49" s="50">
        <v>0.210637</v>
      </c>
      <c r="W49" s="50">
        <v>0.031853</v>
      </c>
      <c r="X49" s="50">
        <v>0.003759</v>
      </c>
      <c r="Y49" s="50">
        <v>0</v>
      </c>
      <c r="Z49" s="50">
        <v>0</v>
      </c>
      <c r="AA49" s="72">
        <v>49</v>
      </c>
      <c r="AB49" s="72"/>
      <c r="AC49" s="73"/>
      <c r="AD49" s="89" t="s">
        <v>1213</v>
      </c>
      <c r="AE49" s="96" t="s">
        <v>1437</v>
      </c>
      <c r="AF49" s="89">
        <v>394</v>
      </c>
      <c r="AG49" s="89">
        <v>433</v>
      </c>
      <c r="AH49" s="89">
        <v>1577</v>
      </c>
      <c r="AI49" s="89">
        <v>8046</v>
      </c>
      <c r="AJ49" s="89"/>
      <c r="AK49" s="89" t="s">
        <v>1623</v>
      </c>
      <c r="AL49" s="89"/>
      <c r="AM49" s="89"/>
      <c r="AN49" s="89"/>
      <c r="AO49" s="92">
        <v>44257.37783564815</v>
      </c>
      <c r="AP49" s="89"/>
      <c r="AQ49" s="89" t="b">
        <v>1</v>
      </c>
      <c r="AR49" s="89" t="b">
        <v>0</v>
      </c>
      <c r="AS49" s="89" t="b">
        <v>0</v>
      </c>
      <c r="AT49" s="89"/>
      <c r="AU49" s="89">
        <v>0</v>
      </c>
      <c r="AV49" s="89"/>
      <c r="AW49" s="89" t="b">
        <v>0</v>
      </c>
      <c r="AX49" s="89" t="s">
        <v>1811</v>
      </c>
      <c r="AY49" s="99" t="str">
        <f>HYPERLINK("https://twitter.com/paivijakko")</f>
        <v>https://twitter.com/paivijakko</v>
      </c>
      <c r="AZ49" s="89" t="s">
        <v>66</v>
      </c>
      <c r="BA49" s="89" t="str">
        <f>REPLACE(INDEX(GroupVertices[Group],MATCH(Vertices[[#This Row],[Vertex]],GroupVertices[Vertex],0)),1,1,"")</f>
        <v>2</v>
      </c>
      <c r="BB49" s="49">
        <v>0</v>
      </c>
      <c r="BC49" s="50">
        <v>0</v>
      </c>
      <c r="BD49" s="49">
        <v>0</v>
      </c>
      <c r="BE49" s="50">
        <v>0</v>
      </c>
      <c r="BF49" s="49">
        <v>0</v>
      </c>
      <c r="BG49" s="50">
        <v>0</v>
      </c>
      <c r="BH49" s="49">
        <v>9</v>
      </c>
      <c r="BI49" s="50">
        <v>100</v>
      </c>
      <c r="BJ49" s="49">
        <v>9</v>
      </c>
      <c r="BK49" s="49"/>
      <c r="BL49" s="49"/>
      <c r="BM49" s="49"/>
      <c r="BN49" s="49"/>
      <c r="BO49" s="49"/>
      <c r="BP49" s="49"/>
      <c r="BQ49" s="123" t="s">
        <v>4194</v>
      </c>
      <c r="BR49" s="123" t="s">
        <v>4194</v>
      </c>
      <c r="BS49" s="123" t="s">
        <v>4314</v>
      </c>
      <c r="BT49" s="123" t="s">
        <v>4314</v>
      </c>
      <c r="BU49" s="2"/>
      <c r="BV49" s="3"/>
      <c r="BW49" s="3"/>
      <c r="BX49" s="3"/>
      <c r="BY49" s="3"/>
    </row>
    <row r="50" spans="1:77" ht="15">
      <c r="A50" s="65" t="s">
        <v>247</v>
      </c>
      <c r="B50" s="66"/>
      <c r="C50" s="66" t="s">
        <v>46</v>
      </c>
      <c r="D50" s="67"/>
      <c r="E50" s="69"/>
      <c r="F50" s="111" t="str">
        <f>HYPERLINK("https://pbs.twimg.com/profile_images/1471787262820110336/kjcV6Fok_normal.jpg")</f>
        <v>https://pbs.twimg.com/profile_images/1471787262820110336/kjcV6Fok_normal.jpg</v>
      </c>
      <c r="G50" s="66"/>
      <c r="H50" s="70" t="s">
        <v>247</v>
      </c>
      <c r="I50" s="71" t="s">
        <v>4408</v>
      </c>
      <c r="J50" s="71" t="s">
        <v>73</v>
      </c>
      <c r="K50" s="70" t="s">
        <v>1858</v>
      </c>
      <c r="L50" s="74">
        <v>1</v>
      </c>
      <c r="M50" s="75">
        <v>2339.556640625</v>
      </c>
      <c r="N50" s="75">
        <v>9653.7744140625</v>
      </c>
      <c r="O50" s="76"/>
      <c r="P50" s="77"/>
      <c r="Q50" s="77"/>
      <c r="R50" s="104"/>
      <c r="S50" s="49">
        <v>0</v>
      </c>
      <c r="T50" s="49">
        <v>1</v>
      </c>
      <c r="U50" s="50">
        <v>0</v>
      </c>
      <c r="V50" s="50">
        <v>0.210637</v>
      </c>
      <c r="W50" s="50">
        <v>0.031853</v>
      </c>
      <c r="X50" s="50">
        <v>0.003759</v>
      </c>
      <c r="Y50" s="50">
        <v>0</v>
      </c>
      <c r="Z50" s="50">
        <v>0</v>
      </c>
      <c r="AA50" s="72">
        <v>50</v>
      </c>
      <c r="AB50" s="72"/>
      <c r="AC50" s="73"/>
      <c r="AD50" s="89" t="s">
        <v>1214</v>
      </c>
      <c r="AE50" s="96" t="s">
        <v>1438</v>
      </c>
      <c r="AF50" s="89">
        <v>486</v>
      </c>
      <c r="AG50" s="89">
        <v>397</v>
      </c>
      <c r="AH50" s="89">
        <v>2966</v>
      </c>
      <c r="AI50" s="89">
        <v>10335</v>
      </c>
      <c r="AJ50" s="89"/>
      <c r="AK50" s="89" t="s">
        <v>1624</v>
      </c>
      <c r="AL50" s="89"/>
      <c r="AM50" s="99" t="str">
        <f>HYPERLINK("https://t.co/1NHAWceEjs")</f>
        <v>https://t.co/1NHAWceEjs</v>
      </c>
      <c r="AN50" s="89"/>
      <c r="AO50" s="92">
        <v>43589.401979166665</v>
      </c>
      <c r="AP50" s="99" t="str">
        <f>HYPERLINK("https://pbs.twimg.com/profile_banners/1124609321302732801/1639854871")</f>
        <v>https://pbs.twimg.com/profile_banners/1124609321302732801/1639854871</v>
      </c>
      <c r="AQ50" s="89" t="b">
        <v>1</v>
      </c>
      <c r="AR50" s="89" t="b">
        <v>0</v>
      </c>
      <c r="AS50" s="89" t="b">
        <v>0</v>
      </c>
      <c r="AT50" s="89"/>
      <c r="AU50" s="89">
        <v>1</v>
      </c>
      <c r="AV50" s="89"/>
      <c r="AW50" s="89" t="b">
        <v>0</v>
      </c>
      <c r="AX50" s="89" t="s">
        <v>1811</v>
      </c>
      <c r="AY50" s="99" t="str">
        <f>HYPERLINK("https://twitter.com/ureakefaali")</f>
        <v>https://twitter.com/ureakefaali</v>
      </c>
      <c r="AZ50" s="89" t="s">
        <v>66</v>
      </c>
      <c r="BA50" s="89" t="str">
        <f>REPLACE(INDEX(GroupVertices[Group],MATCH(Vertices[[#This Row],[Vertex]],GroupVertices[Vertex],0)),1,1,"")</f>
        <v>2</v>
      </c>
      <c r="BB50" s="49">
        <v>0</v>
      </c>
      <c r="BC50" s="50">
        <v>0</v>
      </c>
      <c r="BD50" s="49">
        <v>0</v>
      </c>
      <c r="BE50" s="50">
        <v>0</v>
      </c>
      <c r="BF50" s="49">
        <v>0</v>
      </c>
      <c r="BG50" s="50">
        <v>0</v>
      </c>
      <c r="BH50" s="49">
        <v>40</v>
      </c>
      <c r="BI50" s="50">
        <v>100</v>
      </c>
      <c r="BJ50" s="49">
        <v>40</v>
      </c>
      <c r="BK50" s="49"/>
      <c r="BL50" s="49"/>
      <c r="BM50" s="49"/>
      <c r="BN50" s="49"/>
      <c r="BO50" s="49" t="s">
        <v>556</v>
      </c>
      <c r="BP50" s="49" t="s">
        <v>556</v>
      </c>
      <c r="BQ50" s="123" t="s">
        <v>4195</v>
      </c>
      <c r="BR50" s="123" t="s">
        <v>4195</v>
      </c>
      <c r="BS50" s="123" t="s">
        <v>4315</v>
      </c>
      <c r="BT50" s="123" t="s">
        <v>4315</v>
      </c>
      <c r="BU50" s="2"/>
      <c r="BV50" s="3"/>
      <c r="BW50" s="3"/>
      <c r="BX50" s="3"/>
      <c r="BY50" s="3"/>
    </row>
    <row r="51" spans="1:77" ht="15">
      <c r="A51" s="65" t="s">
        <v>248</v>
      </c>
      <c r="B51" s="66"/>
      <c r="C51" s="66" t="s">
        <v>46</v>
      </c>
      <c r="D51" s="67"/>
      <c r="E51" s="69"/>
      <c r="F51" s="111" t="str">
        <f>HYPERLINK("https://pbs.twimg.com/profile_images/1388232098495049729/7MP7_B14_normal.jpg")</f>
        <v>https://pbs.twimg.com/profile_images/1388232098495049729/7MP7_B14_normal.jpg</v>
      </c>
      <c r="G51" s="66"/>
      <c r="H51" s="70" t="s">
        <v>248</v>
      </c>
      <c r="I51" s="71" t="s">
        <v>4408</v>
      </c>
      <c r="J51" s="71" t="s">
        <v>73</v>
      </c>
      <c r="K51" s="70" t="s">
        <v>1859</v>
      </c>
      <c r="L51" s="74">
        <v>1</v>
      </c>
      <c r="M51" s="75">
        <v>2486.46435546875</v>
      </c>
      <c r="N51" s="75">
        <v>8188.5595703125</v>
      </c>
      <c r="O51" s="76"/>
      <c r="P51" s="77"/>
      <c r="Q51" s="77"/>
      <c r="R51" s="104"/>
      <c r="S51" s="49">
        <v>0</v>
      </c>
      <c r="T51" s="49">
        <v>1</v>
      </c>
      <c r="U51" s="50">
        <v>0</v>
      </c>
      <c r="V51" s="50">
        <v>0.210637</v>
      </c>
      <c r="W51" s="50">
        <v>0.031853</v>
      </c>
      <c r="X51" s="50">
        <v>0.003759</v>
      </c>
      <c r="Y51" s="50">
        <v>0</v>
      </c>
      <c r="Z51" s="50">
        <v>0</v>
      </c>
      <c r="AA51" s="72">
        <v>51</v>
      </c>
      <c r="AB51" s="72"/>
      <c r="AC51" s="73"/>
      <c r="AD51" s="89" t="s">
        <v>1215</v>
      </c>
      <c r="AE51" s="96" t="s">
        <v>1439</v>
      </c>
      <c r="AF51" s="89">
        <v>2143</v>
      </c>
      <c r="AG51" s="89">
        <v>818</v>
      </c>
      <c r="AH51" s="89">
        <v>36097</v>
      </c>
      <c r="AI51" s="89">
        <v>116682</v>
      </c>
      <c r="AJ51" s="89"/>
      <c r="AK51" s="89" t="s">
        <v>1625</v>
      </c>
      <c r="AL51" s="89" t="s">
        <v>1773</v>
      </c>
      <c r="AM51" s="89"/>
      <c r="AN51" s="89"/>
      <c r="AO51" s="92">
        <v>40942.95271990741</v>
      </c>
      <c r="AP51" s="99" t="str">
        <f>HYPERLINK("https://pbs.twimg.com/profile_banners/482453978/1619815409")</f>
        <v>https://pbs.twimg.com/profile_banners/482453978/1619815409</v>
      </c>
      <c r="AQ51" s="89" t="b">
        <v>0</v>
      </c>
      <c r="AR51" s="89" t="b">
        <v>0</v>
      </c>
      <c r="AS51" s="89" t="b">
        <v>1</v>
      </c>
      <c r="AT51" s="89"/>
      <c r="AU51" s="89">
        <v>2</v>
      </c>
      <c r="AV51" s="99" t="str">
        <f>HYPERLINK("https://abs.twimg.com/images/themes/theme1/bg.png")</f>
        <v>https://abs.twimg.com/images/themes/theme1/bg.png</v>
      </c>
      <c r="AW51" s="89" t="b">
        <v>0</v>
      </c>
      <c r="AX51" s="89" t="s">
        <v>1811</v>
      </c>
      <c r="AY51" s="99" t="str">
        <f>HYPERLINK("https://twitter.com/javakalle")</f>
        <v>https://twitter.com/javakalle</v>
      </c>
      <c r="AZ51" s="89" t="s">
        <v>66</v>
      </c>
      <c r="BA51" s="89" t="str">
        <f>REPLACE(INDEX(GroupVertices[Group],MATCH(Vertices[[#This Row],[Vertex]],GroupVertices[Vertex],0)),1,1,"")</f>
        <v>2</v>
      </c>
      <c r="BB51" s="49">
        <v>0</v>
      </c>
      <c r="BC51" s="50">
        <v>0</v>
      </c>
      <c r="BD51" s="49">
        <v>0</v>
      </c>
      <c r="BE51" s="50">
        <v>0</v>
      </c>
      <c r="BF51" s="49">
        <v>0</v>
      </c>
      <c r="BG51" s="50">
        <v>0</v>
      </c>
      <c r="BH51" s="49">
        <v>24</v>
      </c>
      <c r="BI51" s="50">
        <v>100</v>
      </c>
      <c r="BJ51" s="49">
        <v>24</v>
      </c>
      <c r="BK51" s="49"/>
      <c r="BL51" s="49"/>
      <c r="BM51" s="49"/>
      <c r="BN51" s="49"/>
      <c r="BO51" s="49"/>
      <c r="BP51" s="49"/>
      <c r="BQ51" s="123" t="s">
        <v>4185</v>
      </c>
      <c r="BR51" s="123" t="s">
        <v>4185</v>
      </c>
      <c r="BS51" s="123" t="s">
        <v>4306</v>
      </c>
      <c r="BT51" s="123" t="s">
        <v>4306</v>
      </c>
      <c r="BU51" s="2"/>
      <c r="BV51" s="3"/>
      <c r="BW51" s="3"/>
      <c r="BX51" s="3"/>
      <c r="BY51" s="3"/>
    </row>
    <row r="52" spans="1:77" ht="15">
      <c r="A52" s="65" t="s">
        <v>249</v>
      </c>
      <c r="B52" s="66"/>
      <c r="C52" s="66" t="s">
        <v>46</v>
      </c>
      <c r="D52" s="67"/>
      <c r="E52" s="69"/>
      <c r="F52" s="111" t="str">
        <f>HYPERLINK("https://abs.twimg.com/sticky/default_profile_images/default_profile_normal.png")</f>
        <v>https://abs.twimg.com/sticky/default_profile_images/default_profile_normal.png</v>
      </c>
      <c r="G52" s="66"/>
      <c r="H52" s="70" t="s">
        <v>249</v>
      </c>
      <c r="I52" s="71" t="s">
        <v>4413</v>
      </c>
      <c r="J52" s="71" t="s">
        <v>73</v>
      </c>
      <c r="K52" s="70" t="s">
        <v>1860</v>
      </c>
      <c r="L52" s="74">
        <v>1</v>
      </c>
      <c r="M52" s="75">
        <v>8875.4423828125</v>
      </c>
      <c r="N52" s="75">
        <v>1879.203125</v>
      </c>
      <c r="O52" s="76"/>
      <c r="P52" s="77"/>
      <c r="Q52" s="77"/>
      <c r="R52" s="104"/>
      <c r="S52" s="49">
        <v>0</v>
      </c>
      <c r="T52" s="49">
        <v>1</v>
      </c>
      <c r="U52" s="50">
        <v>0</v>
      </c>
      <c r="V52" s="50">
        <v>0.004348</v>
      </c>
      <c r="W52" s="50">
        <v>0</v>
      </c>
      <c r="X52" s="50">
        <v>0.004329</v>
      </c>
      <c r="Y52" s="50">
        <v>0</v>
      </c>
      <c r="Z52" s="50">
        <v>0</v>
      </c>
      <c r="AA52" s="72">
        <v>52</v>
      </c>
      <c r="AB52" s="72"/>
      <c r="AC52" s="73"/>
      <c r="AD52" s="89" t="s">
        <v>1216</v>
      </c>
      <c r="AE52" s="96" t="s">
        <v>1440</v>
      </c>
      <c r="AF52" s="89">
        <v>34</v>
      </c>
      <c r="AG52" s="89">
        <v>79</v>
      </c>
      <c r="AH52" s="89">
        <v>437</v>
      </c>
      <c r="AI52" s="89">
        <v>22353</v>
      </c>
      <c r="AJ52" s="89"/>
      <c r="AK52" s="89"/>
      <c r="AL52" s="89"/>
      <c r="AM52" s="89"/>
      <c r="AN52" s="89"/>
      <c r="AO52" s="92">
        <v>44477.50414351852</v>
      </c>
      <c r="AP52" s="89"/>
      <c r="AQ52" s="89" t="b">
        <v>1</v>
      </c>
      <c r="AR52" s="89" t="b">
        <v>1</v>
      </c>
      <c r="AS52" s="89" t="b">
        <v>0</v>
      </c>
      <c r="AT52" s="89"/>
      <c r="AU52" s="89">
        <v>0</v>
      </c>
      <c r="AV52" s="89"/>
      <c r="AW52" s="89" t="b">
        <v>0</v>
      </c>
      <c r="AX52" s="89" t="s">
        <v>1811</v>
      </c>
      <c r="AY52" s="99" t="str">
        <f>HYPERLINK("https://twitter.com/thealph89725598")</f>
        <v>https://twitter.com/thealph89725598</v>
      </c>
      <c r="AZ52" s="89" t="s">
        <v>66</v>
      </c>
      <c r="BA52" s="89" t="str">
        <f>REPLACE(INDEX(GroupVertices[Group],MATCH(Vertices[[#This Row],[Vertex]],GroupVertices[Vertex],0)),1,1,"")</f>
        <v>19</v>
      </c>
      <c r="BB52" s="49">
        <v>0</v>
      </c>
      <c r="BC52" s="50">
        <v>0</v>
      </c>
      <c r="BD52" s="49">
        <v>0</v>
      </c>
      <c r="BE52" s="50">
        <v>0</v>
      </c>
      <c r="BF52" s="49">
        <v>0</v>
      </c>
      <c r="BG52" s="50">
        <v>0</v>
      </c>
      <c r="BH52" s="49">
        <v>29</v>
      </c>
      <c r="BI52" s="50">
        <v>100</v>
      </c>
      <c r="BJ52" s="49">
        <v>29</v>
      </c>
      <c r="BK52" s="49"/>
      <c r="BL52" s="49"/>
      <c r="BM52" s="49"/>
      <c r="BN52" s="49"/>
      <c r="BO52" s="49"/>
      <c r="BP52" s="49"/>
      <c r="BQ52" s="123" t="s">
        <v>4196</v>
      </c>
      <c r="BR52" s="123" t="s">
        <v>4196</v>
      </c>
      <c r="BS52" s="123" t="s">
        <v>4316</v>
      </c>
      <c r="BT52" s="123" t="s">
        <v>4316</v>
      </c>
      <c r="BU52" s="2"/>
      <c r="BV52" s="3"/>
      <c r="BW52" s="3"/>
      <c r="BX52" s="3"/>
      <c r="BY52" s="3"/>
    </row>
    <row r="53" spans="1:77" ht="15">
      <c r="A53" s="65" t="s">
        <v>419</v>
      </c>
      <c r="B53" s="66"/>
      <c r="C53" s="66" t="s">
        <v>46</v>
      </c>
      <c r="D53" s="67">
        <v>10</v>
      </c>
      <c r="E53" s="69"/>
      <c r="F53" s="111" t="str">
        <f>HYPERLINK("https://pbs.twimg.com/profile_images/1453433046221434880/uztO_VRD_normal.jpg")</f>
        <v>https://pbs.twimg.com/profile_images/1453433046221434880/uztO_VRD_normal.jpg</v>
      </c>
      <c r="G53" s="66"/>
      <c r="H53" s="70" t="s">
        <v>419</v>
      </c>
      <c r="I53" s="71" t="s">
        <v>4413</v>
      </c>
      <c r="J53" s="71" t="s">
        <v>75</v>
      </c>
      <c r="K53" s="70" t="s">
        <v>1861</v>
      </c>
      <c r="L53" s="74">
        <v>200.96</v>
      </c>
      <c r="M53" s="75">
        <v>8875.4423828125</v>
      </c>
      <c r="N53" s="75">
        <v>1469.4080810546875</v>
      </c>
      <c r="O53" s="76"/>
      <c r="P53" s="77"/>
      <c r="Q53" s="77"/>
      <c r="R53" s="104"/>
      <c r="S53" s="49">
        <v>1</v>
      </c>
      <c r="T53" s="49">
        <v>0</v>
      </c>
      <c r="U53" s="50">
        <v>0</v>
      </c>
      <c r="V53" s="50">
        <v>0.004348</v>
      </c>
      <c r="W53" s="50">
        <v>0</v>
      </c>
      <c r="X53" s="50">
        <v>0.004329</v>
      </c>
      <c r="Y53" s="50">
        <v>0</v>
      </c>
      <c r="Z53" s="50">
        <v>0</v>
      </c>
      <c r="AA53" s="72">
        <v>53</v>
      </c>
      <c r="AB53" s="72"/>
      <c r="AC53" s="73"/>
      <c r="AD53" s="89" t="s">
        <v>1217</v>
      </c>
      <c r="AE53" s="96" t="s">
        <v>1094</v>
      </c>
      <c r="AF53" s="89">
        <v>64</v>
      </c>
      <c r="AG53" s="89">
        <v>93</v>
      </c>
      <c r="AH53" s="89">
        <v>1056</v>
      </c>
      <c r="AI53" s="89">
        <v>367</v>
      </c>
      <c r="AJ53" s="89"/>
      <c r="AK53" s="89" t="s">
        <v>1626</v>
      </c>
      <c r="AL53" s="89"/>
      <c r="AM53" s="89"/>
      <c r="AN53" s="89"/>
      <c r="AO53" s="92">
        <v>39989.26802083333</v>
      </c>
      <c r="AP53" s="89"/>
      <c r="AQ53" s="89" t="b">
        <v>1</v>
      </c>
      <c r="AR53" s="89" t="b">
        <v>0</v>
      </c>
      <c r="AS53" s="89" t="b">
        <v>0</v>
      </c>
      <c r="AT53" s="89"/>
      <c r="AU53" s="89">
        <v>0</v>
      </c>
      <c r="AV53" s="99" t="str">
        <f>HYPERLINK("https://abs.twimg.com/images/themes/theme1/bg.png")</f>
        <v>https://abs.twimg.com/images/themes/theme1/bg.png</v>
      </c>
      <c r="AW53" s="89" t="b">
        <v>0</v>
      </c>
      <c r="AX53" s="89" t="s">
        <v>1811</v>
      </c>
      <c r="AY53" s="99" t="str">
        <f>HYPERLINK("https://twitter.com/suojelusprkl")</f>
        <v>https://twitter.com/suojelusprkl</v>
      </c>
      <c r="AZ53" s="89" t="s">
        <v>65</v>
      </c>
      <c r="BA53" s="89" t="str">
        <f>REPLACE(INDEX(GroupVertices[Group],MATCH(Vertices[[#This Row],[Vertex]],GroupVertices[Vertex],0)),1,1,"")</f>
        <v>19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250</v>
      </c>
      <c r="B54" s="66"/>
      <c r="C54" s="66" t="s">
        <v>46</v>
      </c>
      <c r="D54" s="67"/>
      <c r="E54" s="69"/>
      <c r="F54" s="111" t="str">
        <f>HYPERLINK("https://pbs.twimg.com/profile_images/1165647981338607616/GdBQJ6S0_normal.jpg")</f>
        <v>https://pbs.twimg.com/profile_images/1165647981338607616/GdBQJ6S0_normal.jpg</v>
      </c>
      <c r="G54" s="66"/>
      <c r="H54" s="70" t="s">
        <v>250</v>
      </c>
      <c r="I54" s="71" t="s">
        <v>4408</v>
      </c>
      <c r="J54" s="71" t="s">
        <v>73</v>
      </c>
      <c r="K54" s="70" t="s">
        <v>1862</v>
      </c>
      <c r="L54" s="74">
        <v>1</v>
      </c>
      <c r="M54" s="75">
        <v>1201.615234375</v>
      </c>
      <c r="N54" s="75">
        <v>8031.73291015625</v>
      </c>
      <c r="O54" s="76"/>
      <c r="P54" s="77"/>
      <c r="Q54" s="77"/>
      <c r="R54" s="104"/>
      <c r="S54" s="49">
        <v>0</v>
      </c>
      <c r="T54" s="49">
        <v>3</v>
      </c>
      <c r="U54" s="50">
        <v>85.3</v>
      </c>
      <c r="V54" s="50">
        <v>0.212916</v>
      </c>
      <c r="W54" s="50">
        <v>0.041623</v>
      </c>
      <c r="X54" s="50">
        <v>0.004091</v>
      </c>
      <c r="Y54" s="50">
        <v>0.3333333333333333</v>
      </c>
      <c r="Z54" s="50">
        <v>0</v>
      </c>
      <c r="AA54" s="72">
        <v>54</v>
      </c>
      <c r="AB54" s="72"/>
      <c r="AC54" s="73"/>
      <c r="AD54" s="89" t="s">
        <v>1218</v>
      </c>
      <c r="AE54" s="96" t="s">
        <v>1441</v>
      </c>
      <c r="AF54" s="89">
        <v>320</v>
      </c>
      <c r="AG54" s="89">
        <v>228</v>
      </c>
      <c r="AH54" s="89">
        <v>33341</v>
      </c>
      <c r="AI54" s="89">
        <v>60621</v>
      </c>
      <c r="AJ54" s="89"/>
      <c r="AK54" s="89" t="s">
        <v>1627</v>
      </c>
      <c r="AL54" s="89"/>
      <c r="AM54" s="89"/>
      <c r="AN54" s="89"/>
      <c r="AO54" s="92">
        <v>43679.74349537037</v>
      </c>
      <c r="AP54" s="89"/>
      <c r="AQ54" s="89" t="b">
        <v>1</v>
      </c>
      <c r="AR54" s="89" t="b">
        <v>0</v>
      </c>
      <c r="AS54" s="89" t="b">
        <v>0</v>
      </c>
      <c r="AT54" s="89"/>
      <c r="AU54" s="89">
        <v>1</v>
      </c>
      <c r="AV54" s="89"/>
      <c r="AW54" s="89" t="b">
        <v>0</v>
      </c>
      <c r="AX54" s="89" t="s">
        <v>1811</v>
      </c>
      <c r="AY54" s="99" t="str">
        <f>HYPERLINK("https://twitter.com/jt36292090")</f>
        <v>https://twitter.com/jt36292090</v>
      </c>
      <c r="AZ54" s="89" t="s">
        <v>66</v>
      </c>
      <c r="BA54" s="89" t="str">
        <f>REPLACE(INDEX(GroupVertices[Group],MATCH(Vertices[[#This Row],[Vertex]],GroupVertices[Vertex],0)),1,1,"")</f>
        <v>2</v>
      </c>
      <c r="BB54" s="49">
        <v>0</v>
      </c>
      <c r="BC54" s="50">
        <v>0</v>
      </c>
      <c r="BD54" s="49">
        <v>0</v>
      </c>
      <c r="BE54" s="50">
        <v>0</v>
      </c>
      <c r="BF54" s="49">
        <v>0</v>
      </c>
      <c r="BG54" s="50">
        <v>0</v>
      </c>
      <c r="BH54" s="49">
        <v>9</v>
      </c>
      <c r="BI54" s="50">
        <v>100</v>
      </c>
      <c r="BJ54" s="49">
        <v>9</v>
      </c>
      <c r="BK54" s="49"/>
      <c r="BL54" s="49"/>
      <c r="BM54" s="49"/>
      <c r="BN54" s="49"/>
      <c r="BO54" s="49" t="s">
        <v>558</v>
      </c>
      <c r="BP54" s="49" t="s">
        <v>558</v>
      </c>
      <c r="BQ54" s="123" t="s">
        <v>4197</v>
      </c>
      <c r="BR54" s="123" t="s">
        <v>4197</v>
      </c>
      <c r="BS54" s="123" t="s">
        <v>4317</v>
      </c>
      <c r="BT54" s="123" t="s">
        <v>4317</v>
      </c>
      <c r="BU54" s="2"/>
      <c r="BV54" s="3"/>
      <c r="BW54" s="3"/>
      <c r="BX54" s="3"/>
      <c r="BY54" s="3"/>
    </row>
    <row r="55" spans="1:77" ht="15">
      <c r="A55" s="65" t="s">
        <v>420</v>
      </c>
      <c r="B55" s="66"/>
      <c r="C55" s="66" t="s">
        <v>64</v>
      </c>
      <c r="D55" s="67">
        <v>505</v>
      </c>
      <c r="E55" s="69"/>
      <c r="F55" s="111" t="str">
        <f>HYPERLINK("https://pbs.twimg.com/profile_images/1481512032914620417/Ufl0gsCJ_normal.jpg")</f>
        <v>https://pbs.twimg.com/profile_images/1481512032914620417/Ufl0gsCJ_normal.jpg</v>
      </c>
      <c r="G55" s="66"/>
      <c r="H55" s="70" t="s">
        <v>420</v>
      </c>
      <c r="I55" s="71" t="s">
        <v>4408</v>
      </c>
      <c r="J55" s="71" t="s">
        <v>75</v>
      </c>
      <c r="K55" s="70" t="s">
        <v>1863</v>
      </c>
      <c r="L55" s="74">
        <v>600.88</v>
      </c>
      <c r="M55" s="75">
        <v>766.6036376953125</v>
      </c>
      <c r="N55" s="75">
        <v>7800.88720703125</v>
      </c>
      <c r="O55" s="76"/>
      <c r="P55" s="77"/>
      <c r="Q55" s="77"/>
      <c r="R55" s="104"/>
      <c r="S55" s="49">
        <v>3</v>
      </c>
      <c r="T55" s="49">
        <v>0</v>
      </c>
      <c r="U55" s="50">
        <v>155.716667</v>
      </c>
      <c r="V55" s="50">
        <v>0.204995</v>
      </c>
      <c r="W55" s="50">
        <v>0.014151</v>
      </c>
      <c r="X55" s="50">
        <v>0.004214</v>
      </c>
      <c r="Y55" s="50">
        <v>0.16666666666666666</v>
      </c>
      <c r="Z55" s="50">
        <v>0</v>
      </c>
      <c r="AA55" s="72">
        <v>55</v>
      </c>
      <c r="AB55" s="72"/>
      <c r="AC55" s="73"/>
      <c r="AD55" s="89" t="s">
        <v>1219</v>
      </c>
      <c r="AE55" s="96" t="s">
        <v>1442</v>
      </c>
      <c r="AF55" s="89">
        <v>2867</v>
      </c>
      <c r="AG55" s="89">
        <v>47769</v>
      </c>
      <c r="AH55" s="89">
        <v>72728</v>
      </c>
      <c r="AI55" s="89">
        <v>55685</v>
      </c>
      <c r="AJ55" s="89"/>
      <c r="AK55" s="89" t="s">
        <v>1628</v>
      </c>
      <c r="AL55" s="89" t="s">
        <v>1772</v>
      </c>
      <c r="AM55" s="99" t="str">
        <f>HYPERLINK("https://t.co/xQJozxeFLz")</f>
        <v>https://t.co/xQJozxeFLz</v>
      </c>
      <c r="AN55" s="89"/>
      <c r="AO55" s="92">
        <v>41301.839953703704</v>
      </c>
      <c r="AP55" s="99" t="str">
        <f>HYPERLINK("https://pbs.twimg.com/profile_banners/1126094768/1569603921")</f>
        <v>https://pbs.twimg.com/profile_banners/1126094768/1569603921</v>
      </c>
      <c r="AQ55" s="89" t="b">
        <v>1</v>
      </c>
      <c r="AR55" s="89" t="b">
        <v>0</v>
      </c>
      <c r="AS55" s="89" t="b">
        <v>1</v>
      </c>
      <c r="AT55" s="89"/>
      <c r="AU55" s="89">
        <v>135</v>
      </c>
      <c r="AV55" s="99" t="str">
        <f>HYPERLINK("https://abs.twimg.com/images/themes/theme1/bg.png")</f>
        <v>https://abs.twimg.com/images/themes/theme1/bg.png</v>
      </c>
      <c r="AW55" s="89" t="b">
        <v>0</v>
      </c>
      <c r="AX55" s="89" t="s">
        <v>1811</v>
      </c>
      <c r="AY55" s="99" t="str">
        <f>HYPERLINK("https://twitter.com/henrialen")</f>
        <v>https://twitter.com/henrialen</v>
      </c>
      <c r="AZ55" s="89" t="s">
        <v>65</v>
      </c>
      <c r="BA55" s="8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273</v>
      </c>
      <c r="B56" s="66"/>
      <c r="C56" s="66" t="s">
        <v>64</v>
      </c>
      <c r="D56" s="67">
        <v>505</v>
      </c>
      <c r="E56" s="69"/>
      <c r="F56" s="111" t="str">
        <f>HYPERLINK("https://pbs.twimg.com/profile_images/1467047380168187905/-_EXN5Eq_normal.jpg")</f>
        <v>https://pbs.twimg.com/profile_images/1467047380168187905/-_EXN5Eq_normal.jpg</v>
      </c>
      <c r="G56" s="66"/>
      <c r="H56" s="70" t="s">
        <v>273</v>
      </c>
      <c r="I56" s="71" t="s">
        <v>4408</v>
      </c>
      <c r="J56" s="71" t="s">
        <v>73</v>
      </c>
      <c r="K56" s="70" t="s">
        <v>1864</v>
      </c>
      <c r="L56" s="74">
        <v>600.88</v>
      </c>
      <c r="M56" s="75">
        <v>1665.26611328125</v>
      </c>
      <c r="N56" s="75">
        <v>7900.39501953125</v>
      </c>
      <c r="O56" s="76"/>
      <c r="P56" s="77"/>
      <c r="Q56" s="77"/>
      <c r="R56" s="104"/>
      <c r="S56" s="49">
        <v>3</v>
      </c>
      <c r="T56" s="49">
        <v>3</v>
      </c>
      <c r="U56" s="50">
        <v>608.767399</v>
      </c>
      <c r="V56" s="50">
        <v>0.240833</v>
      </c>
      <c r="W56" s="50">
        <v>0.062204</v>
      </c>
      <c r="X56" s="50">
        <v>0.004844</v>
      </c>
      <c r="Y56" s="50">
        <v>0.13333333333333333</v>
      </c>
      <c r="Z56" s="50">
        <v>0</v>
      </c>
      <c r="AA56" s="72">
        <v>56</v>
      </c>
      <c r="AB56" s="72"/>
      <c r="AC56" s="73"/>
      <c r="AD56" s="89" t="s">
        <v>1220</v>
      </c>
      <c r="AE56" s="96" t="s">
        <v>1105</v>
      </c>
      <c r="AF56" s="89">
        <v>252</v>
      </c>
      <c r="AG56" s="89">
        <v>197</v>
      </c>
      <c r="AH56" s="89">
        <v>701</v>
      </c>
      <c r="AI56" s="89">
        <v>5793</v>
      </c>
      <c r="AJ56" s="89"/>
      <c r="AK56" s="89" t="s">
        <v>1629</v>
      </c>
      <c r="AL56" s="89"/>
      <c r="AM56" s="89"/>
      <c r="AN56" s="89"/>
      <c r="AO56" s="92">
        <v>42656.84538194445</v>
      </c>
      <c r="AP56" s="99" t="str">
        <f>HYPERLINK("https://pbs.twimg.com/profile_banners/786662128719659008/1641589300")</f>
        <v>https://pbs.twimg.com/profile_banners/786662128719659008/1641589300</v>
      </c>
      <c r="AQ56" s="89" t="b">
        <v>1</v>
      </c>
      <c r="AR56" s="89" t="b">
        <v>0</v>
      </c>
      <c r="AS56" s="89" t="b">
        <v>0</v>
      </c>
      <c r="AT56" s="89"/>
      <c r="AU56" s="89">
        <v>0</v>
      </c>
      <c r="AV56" s="89"/>
      <c r="AW56" s="89" t="b">
        <v>0</v>
      </c>
      <c r="AX56" s="89" t="s">
        <v>1811</v>
      </c>
      <c r="AY56" s="99" t="str">
        <f>HYPERLINK("https://twitter.com/tolonensari")</f>
        <v>https://twitter.com/tolonensari</v>
      </c>
      <c r="AZ56" s="89" t="s">
        <v>66</v>
      </c>
      <c r="BA56" s="89" t="str">
        <f>REPLACE(INDEX(GroupVertices[Group],MATCH(Vertices[[#This Row],[Vertex]],GroupVertices[Vertex],0)),1,1,"")</f>
        <v>2</v>
      </c>
      <c r="BB56" s="49">
        <v>0</v>
      </c>
      <c r="BC56" s="50">
        <v>0</v>
      </c>
      <c r="BD56" s="49">
        <v>0</v>
      </c>
      <c r="BE56" s="50">
        <v>0</v>
      </c>
      <c r="BF56" s="49">
        <v>0</v>
      </c>
      <c r="BG56" s="50">
        <v>0</v>
      </c>
      <c r="BH56" s="49">
        <v>67</v>
      </c>
      <c r="BI56" s="50">
        <v>100</v>
      </c>
      <c r="BJ56" s="49">
        <v>67</v>
      </c>
      <c r="BK56" s="49"/>
      <c r="BL56" s="49"/>
      <c r="BM56" s="49"/>
      <c r="BN56" s="49"/>
      <c r="BO56" s="49" t="s">
        <v>4175</v>
      </c>
      <c r="BP56" s="49" t="s">
        <v>558</v>
      </c>
      <c r="BQ56" s="123" t="s">
        <v>4198</v>
      </c>
      <c r="BR56" s="123" t="s">
        <v>4280</v>
      </c>
      <c r="BS56" s="123" t="s">
        <v>4318</v>
      </c>
      <c r="BT56" s="123" t="s">
        <v>4318</v>
      </c>
      <c r="BU56" s="2"/>
      <c r="BV56" s="3"/>
      <c r="BW56" s="3"/>
      <c r="BX56" s="3"/>
      <c r="BY56" s="3"/>
    </row>
    <row r="57" spans="1:77" ht="15">
      <c r="A57" s="65" t="s">
        <v>251</v>
      </c>
      <c r="B57" s="66"/>
      <c r="C57" s="66" t="s">
        <v>46</v>
      </c>
      <c r="D57" s="67"/>
      <c r="E57" s="69"/>
      <c r="F57" s="111" t="str">
        <f>HYPERLINK("https://pbs.twimg.com/profile_images/1429624206627647493/uhfWWw9n_normal.jpg")</f>
        <v>https://pbs.twimg.com/profile_images/1429624206627647493/uhfWWw9n_normal.jpg</v>
      </c>
      <c r="G57" s="66"/>
      <c r="H57" s="70" t="s">
        <v>251</v>
      </c>
      <c r="I57" s="71" t="s">
        <v>4407</v>
      </c>
      <c r="J57" s="71" t="s">
        <v>73</v>
      </c>
      <c r="K57" s="70" t="s">
        <v>1865</v>
      </c>
      <c r="L57" s="74">
        <v>1</v>
      </c>
      <c r="M57" s="75">
        <v>9089.373046875</v>
      </c>
      <c r="N57" s="75">
        <v>5609.6025390625</v>
      </c>
      <c r="O57" s="76"/>
      <c r="P57" s="77"/>
      <c r="Q57" s="77"/>
      <c r="R57" s="104"/>
      <c r="S57" s="49">
        <v>0</v>
      </c>
      <c r="T57" s="49">
        <v>1</v>
      </c>
      <c r="U57" s="50">
        <v>0</v>
      </c>
      <c r="V57" s="50">
        <v>0.163412</v>
      </c>
      <c r="W57" s="50">
        <v>0.007398</v>
      </c>
      <c r="X57" s="50">
        <v>0.003783</v>
      </c>
      <c r="Y57" s="50">
        <v>0</v>
      </c>
      <c r="Z57" s="50">
        <v>0</v>
      </c>
      <c r="AA57" s="72">
        <v>57</v>
      </c>
      <c r="AB57" s="72"/>
      <c r="AC57" s="73"/>
      <c r="AD57" s="89" t="s">
        <v>1221</v>
      </c>
      <c r="AE57" s="96" t="s">
        <v>1443</v>
      </c>
      <c r="AF57" s="89">
        <v>131</v>
      </c>
      <c r="AG57" s="89">
        <v>566</v>
      </c>
      <c r="AH57" s="89">
        <v>23479</v>
      </c>
      <c r="AI57" s="89">
        <v>8503</v>
      </c>
      <c r="AJ57" s="89"/>
      <c r="AK57" s="89" t="s">
        <v>1630</v>
      </c>
      <c r="AL57" s="89" t="s">
        <v>1771</v>
      </c>
      <c r="AM57" s="99" t="str">
        <f>HYPERLINK("https://t.co/A0XeisaVel")</f>
        <v>https://t.co/A0XeisaVel</v>
      </c>
      <c r="AN57" s="89"/>
      <c r="AO57" s="92">
        <v>43749.20247685185</v>
      </c>
      <c r="AP57" s="99" t="str">
        <f>HYPERLINK("https://pbs.twimg.com/profile_banners/1182519041103159299/1629527760")</f>
        <v>https://pbs.twimg.com/profile_banners/1182519041103159299/1629527760</v>
      </c>
      <c r="AQ57" s="89" t="b">
        <v>1</v>
      </c>
      <c r="AR57" s="89" t="b">
        <v>0</v>
      </c>
      <c r="AS57" s="89" t="b">
        <v>0</v>
      </c>
      <c r="AT57" s="89"/>
      <c r="AU57" s="89">
        <v>5</v>
      </c>
      <c r="AV57" s="89"/>
      <c r="AW57" s="89" t="b">
        <v>0</v>
      </c>
      <c r="AX57" s="89" t="s">
        <v>1811</v>
      </c>
      <c r="AY57" s="99" t="str">
        <f>HYPERLINK("https://twitter.com/th3hypn0tist")</f>
        <v>https://twitter.com/th3hypn0tist</v>
      </c>
      <c r="AZ57" s="89" t="s">
        <v>66</v>
      </c>
      <c r="BA57" s="89" t="str">
        <f>REPLACE(INDEX(GroupVertices[Group],MATCH(Vertices[[#This Row],[Vertex]],GroupVertices[Vertex],0)),1,1,"")</f>
        <v>6</v>
      </c>
      <c r="BB57" s="49">
        <v>0</v>
      </c>
      <c r="BC57" s="50">
        <v>0</v>
      </c>
      <c r="BD57" s="49">
        <v>0</v>
      </c>
      <c r="BE57" s="50">
        <v>0</v>
      </c>
      <c r="BF57" s="49">
        <v>0</v>
      </c>
      <c r="BG57" s="50">
        <v>0</v>
      </c>
      <c r="BH57" s="49">
        <v>29</v>
      </c>
      <c r="BI57" s="50">
        <v>100</v>
      </c>
      <c r="BJ57" s="49">
        <v>29</v>
      </c>
      <c r="BK57" s="49"/>
      <c r="BL57" s="49"/>
      <c r="BM57" s="49"/>
      <c r="BN57" s="49"/>
      <c r="BO57" s="49" t="s">
        <v>555</v>
      </c>
      <c r="BP57" s="49" t="s">
        <v>555</v>
      </c>
      <c r="BQ57" s="123" t="s">
        <v>4183</v>
      </c>
      <c r="BR57" s="123" t="s">
        <v>4183</v>
      </c>
      <c r="BS57" s="123" t="s">
        <v>4305</v>
      </c>
      <c r="BT57" s="123" t="s">
        <v>4305</v>
      </c>
      <c r="BU57" s="2"/>
      <c r="BV57" s="3"/>
      <c r="BW57" s="3"/>
      <c r="BX57" s="3"/>
      <c r="BY57" s="3"/>
    </row>
    <row r="58" spans="1:77" ht="15">
      <c r="A58" s="65" t="s">
        <v>252</v>
      </c>
      <c r="B58" s="66"/>
      <c r="C58" s="66" t="s">
        <v>46</v>
      </c>
      <c r="D58" s="67"/>
      <c r="E58" s="69"/>
      <c r="F58" s="111" t="str">
        <f>HYPERLINK("https://pbs.twimg.com/profile_images/430426108777861121/VWyZQa6f_normal.jpeg")</f>
        <v>https://pbs.twimg.com/profile_images/430426108777861121/VWyZQa6f_normal.jpeg</v>
      </c>
      <c r="G58" s="66"/>
      <c r="H58" s="70" t="s">
        <v>252</v>
      </c>
      <c r="I58" s="71" t="s">
        <v>4408</v>
      </c>
      <c r="J58" s="71" t="s">
        <v>73</v>
      </c>
      <c r="K58" s="70" t="s">
        <v>1866</v>
      </c>
      <c r="L58" s="74">
        <v>1</v>
      </c>
      <c r="M58" s="75">
        <v>2260.795166015625</v>
      </c>
      <c r="N58" s="75">
        <v>6925.056640625</v>
      </c>
      <c r="O58" s="76"/>
      <c r="P58" s="77"/>
      <c r="Q58" s="77"/>
      <c r="R58" s="104"/>
      <c r="S58" s="49">
        <v>0</v>
      </c>
      <c r="T58" s="49">
        <v>1</v>
      </c>
      <c r="U58" s="50">
        <v>0</v>
      </c>
      <c r="V58" s="50">
        <v>0.210637</v>
      </c>
      <c r="W58" s="50">
        <v>0.031853</v>
      </c>
      <c r="X58" s="50">
        <v>0.003759</v>
      </c>
      <c r="Y58" s="50">
        <v>0</v>
      </c>
      <c r="Z58" s="50">
        <v>0</v>
      </c>
      <c r="AA58" s="72">
        <v>58</v>
      </c>
      <c r="AB58" s="72"/>
      <c r="AC58" s="73"/>
      <c r="AD58" s="89" t="s">
        <v>1222</v>
      </c>
      <c r="AE58" s="96" t="s">
        <v>1444</v>
      </c>
      <c r="AF58" s="89">
        <v>213</v>
      </c>
      <c r="AG58" s="89">
        <v>291</v>
      </c>
      <c r="AH58" s="89">
        <v>3441</v>
      </c>
      <c r="AI58" s="89">
        <v>49690</v>
      </c>
      <c r="AJ58" s="89"/>
      <c r="AK58" s="89" t="s">
        <v>1631</v>
      </c>
      <c r="AL58" s="89" t="s">
        <v>1774</v>
      </c>
      <c r="AM58" s="99" t="str">
        <f>HYPERLINK("http://t.co/kWvmmwCNfz")</f>
        <v>http://t.co/kWvmmwCNfz</v>
      </c>
      <c r="AN58" s="89"/>
      <c r="AO58" s="92">
        <v>39877.47126157407</v>
      </c>
      <c r="AP58" s="99" t="str">
        <f>HYPERLINK("https://pbs.twimg.com/profile_banners/22907979/1537184369")</f>
        <v>https://pbs.twimg.com/profile_banners/22907979/1537184369</v>
      </c>
      <c r="AQ58" s="89" t="b">
        <v>0</v>
      </c>
      <c r="AR58" s="89" t="b">
        <v>0</v>
      </c>
      <c r="AS58" s="89" t="b">
        <v>1</v>
      </c>
      <c r="AT58" s="89"/>
      <c r="AU58" s="89">
        <v>0</v>
      </c>
      <c r="AV58" s="99" t="str">
        <f>HYPERLINK("https://abs.twimg.com/images/themes/theme11/bg.gif")</f>
        <v>https://abs.twimg.com/images/themes/theme11/bg.gif</v>
      </c>
      <c r="AW58" s="89" t="b">
        <v>0</v>
      </c>
      <c r="AX58" s="89" t="s">
        <v>1811</v>
      </c>
      <c r="AY58" s="99" t="str">
        <f>HYPERLINK("https://twitter.com/jonnad")</f>
        <v>https://twitter.com/jonnad</v>
      </c>
      <c r="AZ58" s="89" t="s">
        <v>66</v>
      </c>
      <c r="BA58" s="89" t="str">
        <f>REPLACE(INDEX(GroupVertices[Group],MATCH(Vertices[[#This Row],[Vertex]],GroupVertices[Vertex],0)),1,1,"")</f>
        <v>2</v>
      </c>
      <c r="BB58" s="49">
        <v>0</v>
      </c>
      <c r="BC58" s="50">
        <v>0</v>
      </c>
      <c r="BD58" s="49">
        <v>0</v>
      </c>
      <c r="BE58" s="50">
        <v>0</v>
      </c>
      <c r="BF58" s="49">
        <v>0</v>
      </c>
      <c r="BG58" s="50">
        <v>0</v>
      </c>
      <c r="BH58" s="49">
        <v>24</v>
      </c>
      <c r="BI58" s="50">
        <v>100</v>
      </c>
      <c r="BJ58" s="49">
        <v>24</v>
      </c>
      <c r="BK58" s="49"/>
      <c r="BL58" s="49"/>
      <c r="BM58" s="49"/>
      <c r="BN58" s="49"/>
      <c r="BO58" s="49"/>
      <c r="BP58" s="49"/>
      <c r="BQ58" s="123" t="s">
        <v>4185</v>
      </c>
      <c r="BR58" s="123" t="s">
        <v>4185</v>
      </c>
      <c r="BS58" s="123" t="s">
        <v>4306</v>
      </c>
      <c r="BT58" s="123" t="s">
        <v>4306</v>
      </c>
      <c r="BU58" s="2"/>
      <c r="BV58" s="3"/>
      <c r="BW58" s="3"/>
      <c r="BX58" s="3"/>
      <c r="BY58" s="3"/>
    </row>
    <row r="59" spans="1:77" ht="15">
      <c r="A59" s="65" t="s">
        <v>253</v>
      </c>
      <c r="B59" s="66"/>
      <c r="C59" s="66" t="s">
        <v>46</v>
      </c>
      <c r="D59" s="67"/>
      <c r="E59" s="69"/>
      <c r="F59" s="111" t="str">
        <f>HYPERLINK("https://pbs.twimg.com/profile_images/1475579379229110275/je4S947I_normal.jpg")</f>
        <v>https://pbs.twimg.com/profile_images/1475579379229110275/je4S947I_normal.jpg</v>
      </c>
      <c r="G59" s="66"/>
      <c r="H59" s="70" t="s">
        <v>253</v>
      </c>
      <c r="I59" s="71" t="s">
        <v>4408</v>
      </c>
      <c r="J59" s="71" t="s">
        <v>73</v>
      </c>
      <c r="K59" s="70" t="s">
        <v>1867</v>
      </c>
      <c r="L59" s="74">
        <v>1</v>
      </c>
      <c r="M59" s="75">
        <v>2613.52099609375</v>
      </c>
      <c r="N59" s="75">
        <v>7246.51513671875</v>
      </c>
      <c r="O59" s="76"/>
      <c r="P59" s="77"/>
      <c r="Q59" s="77"/>
      <c r="R59" s="104"/>
      <c r="S59" s="49">
        <v>0</v>
      </c>
      <c r="T59" s="49">
        <v>1</v>
      </c>
      <c r="U59" s="50">
        <v>0</v>
      </c>
      <c r="V59" s="50">
        <v>0.210637</v>
      </c>
      <c r="W59" s="50">
        <v>0.031853</v>
      </c>
      <c r="X59" s="50">
        <v>0.003759</v>
      </c>
      <c r="Y59" s="50">
        <v>0</v>
      </c>
      <c r="Z59" s="50">
        <v>0</v>
      </c>
      <c r="AA59" s="72">
        <v>59</v>
      </c>
      <c r="AB59" s="72"/>
      <c r="AC59" s="73"/>
      <c r="AD59" s="89" t="s">
        <v>1223</v>
      </c>
      <c r="AE59" s="96" t="s">
        <v>1445</v>
      </c>
      <c r="AF59" s="89">
        <v>580</v>
      </c>
      <c r="AG59" s="89">
        <v>222</v>
      </c>
      <c r="AH59" s="89">
        <v>3632</v>
      </c>
      <c r="AI59" s="89">
        <v>60308</v>
      </c>
      <c r="AJ59" s="89"/>
      <c r="AK59" s="89"/>
      <c r="AL59" s="89"/>
      <c r="AM59" s="89"/>
      <c r="AN59" s="89"/>
      <c r="AO59" s="92">
        <v>42246.517916666664</v>
      </c>
      <c r="AP59" s="89"/>
      <c r="AQ59" s="89" t="b">
        <v>1</v>
      </c>
      <c r="AR59" s="89" t="b">
        <v>0</v>
      </c>
      <c r="AS59" s="89" t="b">
        <v>0</v>
      </c>
      <c r="AT59" s="89"/>
      <c r="AU59" s="89">
        <v>0</v>
      </c>
      <c r="AV59" s="99" t="str">
        <f>HYPERLINK("https://abs.twimg.com/images/themes/theme1/bg.png")</f>
        <v>https://abs.twimg.com/images/themes/theme1/bg.png</v>
      </c>
      <c r="AW59" s="89" t="b">
        <v>0</v>
      </c>
      <c r="AX59" s="89" t="s">
        <v>1811</v>
      </c>
      <c r="AY59" s="99" t="str">
        <f>HYPERLINK("https://twitter.com/miskakemppinen")</f>
        <v>https://twitter.com/miskakemppinen</v>
      </c>
      <c r="AZ59" s="89" t="s">
        <v>66</v>
      </c>
      <c r="BA59" s="89" t="str">
        <f>REPLACE(INDEX(GroupVertices[Group],MATCH(Vertices[[#This Row],[Vertex]],GroupVertices[Vertex],0)),1,1,"")</f>
        <v>2</v>
      </c>
      <c r="BB59" s="49">
        <v>0</v>
      </c>
      <c r="BC59" s="50">
        <v>0</v>
      </c>
      <c r="BD59" s="49">
        <v>0</v>
      </c>
      <c r="BE59" s="50">
        <v>0</v>
      </c>
      <c r="BF59" s="49">
        <v>0</v>
      </c>
      <c r="BG59" s="50">
        <v>0</v>
      </c>
      <c r="BH59" s="49">
        <v>24</v>
      </c>
      <c r="BI59" s="50">
        <v>100</v>
      </c>
      <c r="BJ59" s="49">
        <v>24</v>
      </c>
      <c r="BK59" s="49"/>
      <c r="BL59" s="49"/>
      <c r="BM59" s="49"/>
      <c r="BN59" s="49"/>
      <c r="BO59" s="49"/>
      <c r="BP59" s="49"/>
      <c r="BQ59" s="123" t="s">
        <v>4185</v>
      </c>
      <c r="BR59" s="123" t="s">
        <v>4185</v>
      </c>
      <c r="BS59" s="123" t="s">
        <v>4306</v>
      </c>
      <c r="BT59" s="123" t="s">
        <v>4306</v>
      </c>
      <c r="BU59" s="2"/>
      <c r="BV59" s="3"/>
      <c r="BW59" s="3"/>
      <c r="BX59" s="3"/>
      <c r="BY59" s="3"/>
    </row>
    <row r="60" spans="1:77" ht="15">
      <c r="A60" s="65" t="s">
        <v>254</v>
      </c>
      <c r="B60" s="66"/>
      <c r="C60" s="66" t="s">
        <v>46</v>
      </c>
      <c r="D60" s="67"/>
      <c r="E60" s="69"/>
      <c r="F60" s="111" t="str">
        <f>HYPERLINK("https://pbs.twimg.com/profile_images/618847880636432384/9kEm6U_e_normal.jpg")</f>
        <v>https://pbs.twimg.com/profile_images/618847880636432384/9kEm6U_e_normal.jpg</v>
      </c>
      <c r="G60" s="66"/>
      <c r="H60" s="70" t="s">
        <v>254</v>
      </c>
      <c r="I60" s="71" t="s">
        <v>4408</v>
      </c>
      <c r="J60" s="71" t="s">
        <v>73</v>
      </c>
      <c r="K60" s="70" t="s">
        <v>1868</v>
      </c>
      <c r="L60" s="74">
        <v>1</v>
      </c>
      <c r="M60" s="75">
        <v>2429.875</v>
      </c>
      <c r="N60" s="75">
        <v>8743.509765625</v>
      </c>
      <c r="O60" s="76"/>
      <c r="P60" s="77"/>
      <c r="Q60" s="77"/>
      <c r="R60" s="104"/>
      <c r="S60" s="49">
        <v>0</v>
      </c>
      <c r="T60" s="49">
        <v>1</v>
      </c>
      <c r="U60" s="50">
        <v>0</v>
      </c>
      <c r="V60" s="50">
        <v>0.210637</v>
      </c>
      <c r="W60" s="50">
        <v>0.031853</v>
      </c>
      <c r="X60" s="50">
        <v>0.003759</v>
      </c>
      <c r="Y60" s="50">
        <v>0</v>
      </c>
      <c r="Z60" s="50">
        <v>0</v>
      </c>
      <c r="AA60" s="72">
        <v>60</v>
      </c>
      <c r="AB60" s="72"/>
      <c r="AC60" s="73"/>
      <c r="AD60" s="89" t="s">
        <v>1224</v>
      </c>
      <c r="AE60" s="96" t="s">
        <v>1446</v>
      </c>
      <c r="AF60" s="89">
        <v>300</v>
      </c>
      <c r="AG60" s="89">
        <v>189</v>
      </c>
      <c r="AH60" s="89">
        <v>2546</v>
      </c>
      <c r="AI60" s="89">
        <v>15861</v>
      </c>
      <c r="AJ60" s="89"/>
      <c r="AK60" s="89" t="s">
        <v>1632</v>
      </c>
      <c r="AL60" s="89" t="s">
        <v>1775</v>
      </c>
      <c r="AM60" s="89"/>
      <c r="AN60" s="89"/>
      <c r="AO60" s="92">
        <v>41546.65806712963</v>
      </c>
      <c r="AP60" s="99" t="str">
        <f>HYPERLINK("https://pbs.twimg.com/profile_banners/1917480871/1427936081")</f>
        <v>https://pbs.twimg.com/profile_banners/1917480871/1427936081</v>
      </c>
      <c r="AQ60" s="89" t="b">
        <v>1</v>
      </c>
      <c r="AR60" s="89" t="b">
        <v>0</v>
      </c>
      <c r="AS60" s="89" t="b">
        <v>1</v>
      </c>
      <c r="AT60" s="89"/>
      <c r="AU60" s="89">
        <v>3</v>
      </c>
      <c r="AV60" s="99" t="str">
        <f>HYPERLINK("https://abs.twimg.com/images/themes/theme1/bg.png")</f>
        <v>https://abs.twimg.com/images/themes/theme1/bg.png</v>
      </c>
      <c r="AW60" s="89" t="b">
        <v>0</v>
      </c>
      <c r="AX60" s="89" t="s">
        <v>1811</v>
      </c>
      <c r="AY60" s="99" t="str">
        <f>HYPERLINK("https://twitter.com/nita14milan")</f>
        <v>https://twitter.com/nita14milan</v>
      </c>
      <c r="AZ60" s="89" t="s">
        <v>66</v>
      </c>
      <c r="BA60" s="89" t="str">
        <f>REPLACE(INDEX(GroupVertices[Group],MATCH(Vertices[[#This Row],[Vertex]],GroupVertices[Vertex],0)),1,1,"")</f>
        <v>2</v>
      </c>
      <c r="BB60" s="49">
        <v>0</v>
      </c>
      <c r="BC60" s="50">
        <v>0</v>
      </c>
      <c r="BD60" s="49">
        <v>0</v>
      </c>
      <c r="BE60" s="50">
        <v>0</v>
      </c>
      <c r="BF60" s="49">
        <v>0</v>
      </c>
      <c r="BG60" s="50">
        <v>0</v>
      </c>
      <c r="BH60" s="49">
        <v>24</v>
      </c>
      <c r="BI60" s="50">
        <v>100</v>
      </c>
      <c r="BJ60" s="49">
        <v>24</v>
      </c>
      <c r="BK60" s="49"/>
      <c r="BL60" s="49"/>
      <c r="BM60" s="49"/>
      <c r="BN60" s="49"/>
      <c r="BO60" s="49"/>
      <c r="BP60" s="49"/>
      <c r="BQ60" s="123" t="s">
        <v>4185</v>
      </c>
      <c r="BR60" s="123" t="s">
        <v>4185</v>
      </c>
      <c r="BS60" s="123" t="s">
        <v>4306</v>
      </c>
      <c r="BT60" s="123" t="s">
        <v>4306</v>
      </c>
      <c r="BU60" s="2"/>
      <c r="BV60" s="3"/>
      <c r="BW60" s="3"/>
      <c r="BX60" s="3"/>
      <c r="BY60" s="3"/>
    </row>
    <row r="61" spans="1:77" ht="15">
      <c r="A61" s="65" t="s">
        <v>255</v>
      </c>
      <c r="B61" s="66"/>
      <c r="C61" s="66" t="s">
        <v>46</v>
      </c>
      <c r="D61" s="67"/>
      <c r="E61" s="69"/>
      <c r="F61" s="111" t="str">
        <f>HYPERLINK("https://pbs.twimg.com/profile_images/1431275795708796934/J3u64dgs_normal.jpg")</f>
        <v>https://pbs.twimg.com/profile_images/1431275795708796934/J3u64dgs_normal.jpg</v>
      </c>
      <c r="G61" s="66"/>
      <c r="H61" s="70" t="s">
        <v>255</v>
      </c>
      <c r="I61" s="71" t="s">
        <v>4408</v>
      </c>
      <c r="J61" s="71" t="s">
        <v>73</v>
      </c>
      <c r="K61" s="70" t="s">
        <v>1869</v>
      </c>
      <c r="L61" s="74">
        <v>1</v>
      </c>
      <c r="M61" s="75">
        <v>1610.5302734375</v>
      </c>
      <c r="N61" s="75">
        <v>8491.658203125</v>
      </c>
      <c r="O61" s="76"/>
      <c r="P61" s="77"/>
      <c r="Q61" s="77"/>
      <c r="R61" s="104"/>
      <c r="S61" s="49">
        <v>0</v>
      </c>
      <c r="T61" s="49">
        <v>2</v>
      </c>
      <c r="U61" s="50">
        <v>0</v>
      </c>
      <c r="V61" s="50">
        <v>0.21226</v>
      </c>
      <c r="W61" s="50">
        <v>0.039812</v>
      </c>
      <c r="X61" s="50">
        <v>0.00388</v>
      </c>
      <c r="Y61" s="50">
        <v>0.5</v>
      </c>
      <c r="Z61" s="50">
        <v>0</v>
      </c>
      <c r="AA61" s="72">
        <v>61</v>
      </c>
      <c r="AB61" s="72"/>
      <c r="AC61" s="73"/>
      <c r="AD61" s="89" t="s">
        <v>1225</v>
      </c>
      <c r="AE61" s="96" t="s">
        <v>1447</v>
      </c>
      <c r="AF61" s="89">
        <v>341</v>
      </c>
      <c r="AG61" s="89">
        <v>196</v>
      </c>
      <c r="AH61" s="89">
        <v>7524</v>
      </c>
      <c r="AI61" s="89">
        <v>11370</v>
      </c>
      <c r="AJ61" s="89"/>
      <c r="AK61" s="89" t="s">
        <v>1633</v>
      </c>
      <c r="AL61" s="89"/>
      <c r="AM61" s="89"/>
      <c r="AN61" s="89"/>
      <c r="AO61" s="92">
        <v>44434.24445601852</v>
      </c>
      <c r="AP61" s="99" t="str">
        <f>HYPERLINK("https://pbs.twimg.com/profile_banners/1430769658383241220/1630077750")</f>
        <v>https://pbs.twimg.com/profile_banners/1430769658383241220/1630077750</v>
      </c>
      <c r="AQ61" s="89" t="b">
        <v>1</v>
      </c>
      <c r="AR61" s="89" t="b">
        <v>0</v>
      </c>
      <c r="AS61" s="89" t="b">
        <v>0</v>
      </c>
      <c r="AT61" s="89"/>
      <c r="AU61" s="89">
        <v>2</v>
      </c>
      <c r="AV61" s="89"/>
      <c r="AW61" s="89" t="b">
        <v>0</v>
      </c>
      <c r="AX61" s="89" t="s">
        <v>1811</v>
      </c>
      <c r="AY61" s="99" t="str">
        <f>HYPERLINK("https://twitter.com/sliquid84")</f>
        <v>https://twitter.com/sliquid84</v>
      </c>
      <c r="AZ61" s="89" t="s">
        <v>66</v>
      </c>
      <c r="BA61" s="89" t="str">
        <f>REPLACE(INDEX(GroupVertices[Group],MATCH(Vertices[[#This Row],[Vertex]],GroupVertices[Vertex],0)),1,1,"")</f>
        <v>2</v>
      </c>
      <c r="BB61" s="49">
        <v>0</v>
      </c>
      <c r="BC61" s="50">
        <v>0</v>
      </c>
      <c r="BD61" s="49">
        <v>0</v>
      </c>
      <c r="BE61" s="50">
        <v>0</v>
      </c>
      <c r="BF61" s="49">
        <v>0</v>
      </c>
      <c r="BG61" s="50">
        <v>0</v>
      </c>
      <c r="BH61" s="49">
        <v>38</v>
      </c>
      <c r="BI61" s="50">
        <v>100</v>
      </c>
      <c r="BJ61" s="49">
        <v>38</v>
      </c>
      <c r="BK61" s="49"/>
      <c r="BL61" s="49"/>
      <c r="BM61" s="49"/>
      <c r="BN61" s="49"/>
      <c r="BO61" s="49" t="s">
        <v>556</v>
      </c>
      <c r="BP61" s="49" t="s">
        <v>556</v>
      </c>
      <c r="BQ61" s="123" t="s">
        <v>4199</v>
      </c>
      <c r="BR61" s="123" t="s">
        <v>4199</v>
      </c>
      <c r="BS61" s="123" t="s">
        <v>4319</v>
      </c>
      <c r="BT61" s="123" t="s">
        <v>4319</v>
      </c>
      <c r="BU61" s="2"/>
      <c r="BV61" s="3"/>
      <c r="BW61" s="3"/>
      <c r="BX61" s="3"/>
      <c r="BY61" s="3"/>
    </row>
    <row r="62" spans="1:77" ht="15">
      <c r="A62" s="65" t="s">
        <v>256</v>
      </c>
      <c r="B62" s="66"/>
      <c r="C62" s="66" t="s">
        <v>46</v>
      </c>
      <c r="D62" s="67"/>
      <c r="E62" s="69"/>
      <c r="F62" s="111" t="str">
        <f>HYPERLINK("https://pbs.twimg.com/profile_images/1481551033428066304/BZ0_XS4w_normal.jpg")</f>
        <v>https://pbs.twimg.com/profile_images/1481551033428066304/BZ0_XS4w_normal.jpg</v>
      </c>
      <c r="G62" s="66"/>
      <c r="H62" s="70" t="s">
        <v>256</v>
      </c>
      <c r="I62" s="71" t="s">
        <v>4414</v>
      </c>
      <c r="J62" s="71" t="s">
        <v>73</v>
      </c>
      <c r="K62" s="70" t="s">
        <v>1870</v>
      </c>
      <c r="L62" s="74">
        <v>1</v>
      </c>
      <c r="M62" s="75">
        <v>8822.255859375</v>
      </c>
      <c r="N62" s="75">
        <v>5081.458984375</v>
      </c>
      <c r="O62" s="76"/>
      <c r="P62" s="77"/>
      <c r="Q62" s="77"/>
      <c r="R62" s="104"/>
      <c r="S62" s="49">
        <v>0</v>
      </c>
      <c r="T62" s="49">
        <v>2</v>
      </c>
      <c r="U62" s="50">
        <v>2</v>
      </c>
      <c r="V62" s="50">
        <v>0.008696</v>
      </c>
      <c r="W62" s="50">
        <v>0</v>
      </c>
      <c r="X62" s="50">
        <v>0.004894</v>
      </c>
      <c r="Y62" s="50">
        <v>0</v>
      </c>
      <c r="Z62" s="50">
        <v>0</v>
      </c>
      <c r="AA62" s="72">
        <v>62</v>
      </c>
      <c r="AB62" s="72"/>
      <c r="AC62" s="73"/>
      <c r="AD62" s="89" t="s">
        <v>1226</v>
      </c>
      <c r="AE62" s="96" t="s">
        <v>1448</v>
      </c>
      <c r="AF62" s="89">
        <v>49</v>
      </c>
      <c r="AG62" s="89">
        <v>8</v>
      </c>
      <c r="AH62" s="89">
        <v>32</v>
      </c>
      <c r="AI62" s="89">
        <v>636</v>
      </c>
      <c r="AJ62" s="89"/>
      <c r="AK62" s="89" t="s">
        <v>1634</v>
      </c>
      <c r="AL62" s="89"/>
      <c r="AM62" s="89"/>
      <c r="AN62" s="89"/>
      <c r="AO62" s="92">
        <v>44573.75855324074</v>
      </c>
      <c r="AP62" s="99" t="str">
        <f>HYPERLINK("https://pbs.twimg.com/profile_banners/1481328167956668419/1642064268")</f>
        <v>https://pbs.twimg.com/profile_banners/1481328167956668419/1642064268</v>
      </c>
      <c r="AQ62" s="89" t="b">
        <v>1</v>
      </c>
      <c r="AR62" s="89" t="b">
        <v>0</v>
      </c>
      <c r="AS62" s="89" t="b">
        <v>0</v>
      </c>
      <c r="AT62" s="89"/>
      <c r="AU62" s="89">
        <v>0</v>
      </c>
      <c r="AV62" s="89"/>
      <c r="AW62" s="89" t="b">
        <v>0</v>
      </c>
      <c r="AX62" s="89" t="s">
        <v>1811</v>
      </c>
      <c r="AY62" s="99" t="str">
        <f>HYPERLINK("https://twitter.com/hosionahosuvi")</f>
        <v>https://twitter.com/hosionahosuvi</v>
      </c>
      <c r="AZ62" s="89" t="s">
        <v>66</v>
      </c>
      <c r="BA62" s="89" t="str">
        <f>REPLACE(INDEX(GroupVertices[Group],MATCH(Vertices[[#This Row],[Vertex]],GroupVertices[Vertex],0)),1,1,"")</f>
        <v>14</v>
      </c>
      <c r="BB62" s="49">
        <v>0</v>
      </c>
      <c r="BC62" s="50">
        <v>0</v>
      </c>
      <c r="BD62" s="49">
        <v>0</v>
      </c>
      <c r="BE62" s="50">
        <v>0</v>
      </c>
      <c r="BF62" s="49">
        <v>0</v>
      </c>
      <c r="BG62" s="50">
        <v>0</v>
      </c>
      <c r="BH62" s="49">
        <v>16</v>
      </c>
      <c r="BI62" s="50">
        <v>100</v>
      </c>
      <c r="BJ62" s="49">
        <v>16</v>
      </c>
      <c r="BK62" s="49"/>
      <c r="BL62" s="49"/>
      <c r="BM62" s="49"/>
      <c r="BN62" s="49"/>
      <c r="BO62" s="49" t="s">
        <v>556</v>
      </c>
      <c r="BP62" s="49" t="s">
        <v>556</v>
      </c>
      <c r="BQ62" s="123" t="s">
        <v>4200</v>
      </c>
      <c r="BR62" s="123" t="s">
        <v>4200</v>
      </c>
      <c r="BS62" s="123" t="s">
        <v>4320</v>
      </c>
      <c r="BT62" s="123" t="s">
        <v>4320</v>
      </c>
      <c r="BU62" s="2"/>
      <c r="BV62" s="3"/>
      <c r="BW62" s="3"/>
      <c r="BX62" s="3"/>
      <c r="BY62" s="3"/>
    </row>
    <row r="63" spans="1:77" ht="15">
      <c r="A63" s="65" t="s">
        <v>421</v>
      </c>
      <c r="B63" s="66"/>
      <c r="C63" s="66" t="s">
        <v>46</v>
      </c>
      <c r="D63" s="67">
        <v>10</v>
      </c>
      <c r="E63" s="69"/>
      <c r="F63" s="111" t="str">
        <f>HYPERLINK("https://pbs.twimg.com/profile_images/1001405430709604353/E5U9-nBf_normal.jpg")</f>
        <v>https://pbs.twimg.com/profile_images/1001405430709604353/E5U9-nBf_normal.jpg</v>
      </c>
      <c r="G63" s="66"/>
      <c r="H63" s="70" t="s">
        <v>421</v>
      </c>
      <c r="I63" s="71" t="s">
        <v>4414</v>
      </c>
      <c r="J63" s="71" t="s">
        <v>75</v>
      </c>
      <c r="K63" s="70" t="s">
        <v>1871</v>
      </c>
      <c r="L63" s="74">
        <v>200.96</v>
      </c>
      <c r="M63" s="75">
        <v>8822.255859375</v>
      </c>
      <c r="N63" s="75">
        <v>4566.2880859375</v>
      </c>
      <c r="O63" s="76"/>
      <c r="P63" s="77"/>
      <c r="Q63" s="77"/>
      <c r="R63" s="104"/>
      <c r="S63" s="49">
        <v>1</v>
      </c>
      <c r="T63" s="49">
        <v>0</v>
      </c>
      <c r="U63" s="50">
        <v>0</v>
      </c>
      <c r="V63" s="50">
        <v>0.005797</v>
      </c>
      <c r="W63" s="50">
        <v>0</v>
      </c>
      <c r="X63" s="50">
        <v>0.004047</v>
      </c>
      <c r="Y63" s="50">
        <v>0</v>
      </c>
      <c r="Z63" s="50">
        <v>0</v>
      </c>
      <c r="AA63" s="72">
        <v>63</v>
      </c>
      <c r="AB63" s="72"/>
      <c r="AC63" s="73"/>
      <c r="AD63" s="89" t="s">
        <v>1227</v>
      </c>
      <c r="AE63" s="96" t="s">
        <v>1449</v>
      </c>
      <c r="AF63" s="89">
        <v>607</v>
      </c>
      <c r="AG63" s="89">
        <v>2626</v>
      </c>
      <c r="AH63" s="89">
        <v>1818</v>
      </c>
      <c r="AI63" s="89">
        <v>13555</v>
      </c>
      <c r="AJ63" s="89"/>
      <c r="AK63" s="89" t="s">
        <v>1635</v>
      </c>
      <c r="AL63" s="89" t="s">
        <v>1776</v>
      </c>
      <c r="AM63" s="89"/>
      <c r="AN63" s="89"/>
      <c r="AO63" s="92">
        <v>41729.339212962965</v>
      </c>
      <c r="AP63" s="99" t="str">
        <f>HYPERLINK("https://pbs.twimg.com/profile_banners/2449216576/1614107766")</f>
        <v>https://pbs.twimg.com/profile_banners/2449216576/1614107766</v>
      </c>
      <c r="AQ63" s="89" t="b">
        <v>1</v>
      </c>
      <c r="AR63" s="89" t="b">
        <v>0</v>
      </c>
      <c r="AS63" s="89" t="b">
        <v>0</v>
      </c>
      <c r="AT63" s="89"/>
      <c r="AU63" s="89">
        <v>0</v>
      </c>
      <c r="AV63" s="99" t="str">
        <f>HYPERLINK("https://abs.twimg.com/images/themes/theme1/bg.png")</f>
        <v>https://abs.twimg.com/images/themes/theme1/bg.png</v>
      </c>
      <c r="AW63" s="89" t="b">
        <v>0</v>
      </c>
      <c r="AX63" s="89" t="s">
        <v>1811</v>
      </c>
      <c r="AY63" s="99" t="str">
        <f>HYPERLINK("https://twitter.com/jriihijarvi")</f>
        <v>https://twitter.com/jriihijarvi</v>
      </c>
      <c r="AZ63" s="89" t="s">
        <v>65</v>
      </c>
      <c r="BA63" s="89"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422</v>
      </c>
      <c r="B64" s="66"/>
      <c r="C64" s="66" t="s">
        <v>46</v>
      </c>
      <c r="D64" s="67">
        <v>10</v>
      </c>
      <c r="E64" s="69"/>
      <c r="F64" s="111" t="str">
        <f>HYPERLINK("https://pbs.twimg.com/profile_images/1479851621899292675/cwSaxjpa_normal.jpg")</f>
        <v>https://pbs.twimg.com/profile_images/1479851621899292675/cwSaxjpa_normal.jpg</v>
      </c>
      <c r="G64" s="66"/>
      <c r="H64" s="70" t="s">
        <v>422</v>
      </c>
      <c r="I64" s="71" t="s">
        <v>4414</v>
      </c>
      <c r="J64" s="71" t="s">
        <v>75</v>
      </c>
      <c r="K64" s="70" t="s">
        <v>1872</v>
      </c>
      <c r="L64" s="74">
        <v>200.96</v>
      </c>
      <c r="M64" s="75">
        <v>8822.255859375</v>
      </c>
      <c r="N64" s="75">
        <v>4051.1171875</v>
      </c>
      <c r="O64" s="76"/>
      <c r="P64" s="77"/>
      <c r="Q64" s="77"/>
      <c r="R64" s="104"/>
      <c r="S64" s="49">
        <v>1</v>
      </c>
      <c r="T64" s="49">
        <v>0</v>
      </c>
      <c r="U64" s="50">
        <v>0</v>
      </c>
      <c r="V64" s="50">
        <v>0.005797</v>
      </c>
      <c r="W64" s="50">
        <v>0</v>
      </c>
      <c r="X64" s="50">
        <v>0.004047</v>
      </c>
      <c r="Y64" s="50">
        <v>0</v>
      </c>
      <c r="Z64" s="50">
        <v>0</v>
      </c>
      <c r="AA64" s="72">
        <v>64</v>
      </c>
      <c r="AB64" s="72"/>
      <c r="AC64" s="73"/>
      <c r="AD64" s="89" t="s">
        <v>1228</v>
      </c>
      <c r="AE64" s="96" t="s">
        <v>1095</v>
      </c>
      <c r="AF64" s="89">
        <v>186</v>
      </c>
      <c r="AG64" s="89">
        <v>178</v>
      </c>
      <c r="AH64" s="89">
        <v>804</v>
      </c>
      <c r="AI64" s="89">
        <v>1918</v>
      </c>
      <c r="AJ64" s="89"/>
      <c r="AK64" s="89"/>
      <c r="AL64" s="89" t="s">
        <v>1777</v>
      </c>
      <c r="AM64" s="99" t="str">
        <f>HYPERLINK("https://t.co/6ymW0uuUDP")</f>
        <v>https://t.co/6ymW0uuUDP</v>
      </c>
      <c r="AN64" s="89"/>
      <c r="AO64" s="92">
        <v>42973.85653935185</v>
      </c>
      <c r="AP64" s="99" t="str">
        <f>HYPERLINK("https://pbs.twimg.com/profile_banners/901543122945134592/1641659096")</f>
        <v>https://pbs.twimg.com/profile_banners/901543122945134592/1641659096</v>
      </c>
      <c r="AQ64" s="89" t="b">
        <v>0</v>
      </c>
      <c r="AR64" s="89" t="b">
        <v>0</v>
      </c>
      <c r="AS64" s="89" t="b">
        <v>0</v>
      </c>
      <c r="AT64" s="89"/>
      <c r="AU64" s="89">
        <v>1</v>
      </c>
      <c r="AV64" s="99" t="str">
        <f>HYPERLINK("https://abs.twimg.com/images/themes/theme1/bg.png")</f>
        <v>https://abs.twimg.com/images/themes/theme1/bg.png</v>
      </c>
      <c r="AW64" s="89" t="b">
        <v>0</v>
      </c>
      <c r="AX64" s="89" t="s">
        <v>1811</v>
      </c>
      <c r="AY64" s="99" t="str">
        <f>HYPERLINK("https://twitter.com/laineentatu")</f>
        <v>https://twitter.com/laineentatu</v>
      </c>
      <c r="AZ64" s="89" t="s">
        <v>65</v>
      </c>
      <c r="BA64" s="89"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257</v>
      </c>
      <c r="B65" s="66"/>
      <c r="C65" s="66" t="s">
        <v>46</v>
      </c>
      <c r="D65" s="67"/>
      <c r="E65" s="69"/>
      <c r="F65" s="111" t="str">
        <f>HYPERLINK("https://pbs.twimg.com/profile_images/1473636502978576385/VKZYz0yl_normal.jpg")</f>
        <v>https://pbs.twimg.com/profile_images/1473636502978576385/VKZYz0yl_normal.jpg</v>
      </c>
      <c r="G65" s="66"/>
      <c r="H65" s="70" t="s">
        <v>257</v>
      </c>
      <c r="I65" s="71" t="s">
        <v>4408</v>
      </c>
      <c r="J65" s="71" t="s">
        <v>73</v>
      </c>
      <c r="K65" s="70" t="s">
        <v>1873</v>
      </c>
      <c r="L65" s="74">
        <v>1</v>
      </c>
      <c r="M65" s="75">
        <v>1270.853515625</v>
      </c>
      <c r="N65" s="75">
        <v>7638.5712890625</v>
      </c>
      <c r="O65" s="76"/>
      <c r="P65" s="77"/>
      <c r="Q65" s="77"/>
      <c r="R65" s="104"/>
      <c r="S65" s="49">
        <v>0</v>
      </c>
      <c r="T65" s="49">
        <v>1</v>
      </c>
      <c r="U65" s="50">
        <v>0</v>
      </c>
      <c r="V65" s="50">
        <v>0.210637</v>
      </c>
      <c r="W65" s="50">
        <v>0.031853</v>
      </c>
      <c r="X65" s="50">
        <v>0.003759</v>
      </c>
      <c r="Y65" s="50">
        <v>0</v>
      </c>
      <c r="Z65" s="50">
        <v>0</v>
      </c>
      <c r="AA65" s="72">
        <v>65</v>
      </c>
      <c r="AB65" s="72"/>
      <c r="AC65" s="73"/>
      <c r="AD65" s="89" t="s">
        <v>1229</v>
      </c>
      <c r="AE65" s="96" t="s">
        <v>1450</v>
      </c>
      <c r="AF65" s="89">
        <v>1573</v>
      </c>
      <c r="AG65" s="89">
        <v>665</v>
      </c>
      <c r="AH65" s="89">
        <v>7326</v>
      </c>
      <c r="AI65" s="89">
        <v>9331</v>
      </c>
      <c r="AJ65" s="89"/>
      <c r="AK65" s="89" t="s">
        <v>1636</v>
      </c>
      <c r="AL65" s="89" t="s">
        <v>1778</v>
      </c>
      <c r="AM65" s="89"/>
      <c r="AN65" s="89"/>
      <c r="AO65" s="92">
        <v>44552.533171296294</v>
      </c>
      <c r="AP65" s="99" t="str">
        <f>HYPERLINK("https://pbs.twimg.com/profile_banners/1473636303883407360/1640338330")</f>
        <v>https://pbs.twimg.com/profile_banners/1473636303883407360/1640338330</v>
      </c>
      <c r="AQ65" s="89" t="b">
        <v>1</v>
      </c>
      <c r="AR65" s="89" t="b">
        <v>0</v>
      </c>
      <c r="AS65" s="89" t="b">
        <v>0</v>
      </c>
      <c r="AT65" s="89"/>
      <c r="AU65" s="89">
        <v>0</v>
      </c>
      <c r="AV65" s="89"/>
      <c r="AW65" s="89" t="b">
        <v>0</v>
      </c>
      <c r="AX65" s="89" t="s">
        <v>1811</v>
      </c>
      <c r="AY65" s="99" t="str">
        <f>HYPERLINK("https://twitter.com/river17_eagle")</f>
        <v>https://twitter.com/river17_eagle</v>
      </c>
      <c r="AZ65" s="89" t="s">
        <v>66</v>
      </c>
      <c r="BA65" s="89" t="str">
        <f>REPLACE(INDEX(GroupVertices[Group],MATCH(Vertices[[#This Row],[Vertex]],GroupVertices[Vertex],0)),1,1,"")</f>
        <v>2</v>
      </c>
      <c r="BB65" s="49">
        <v>0</v>
      </c>
      <c r="BC65" s="50">
        <v>0</v>
      </c>
      <c r="BD65" s="49">
        <v>0</v>
      </c>
      <c r="BE65" s="50">
        <v>0</v>
      </c>
      <c r="BF65" s="49">
        <v>0</v>
      </c>
      <c r="BG65" s="50">
        <v>0</v>
      </c>
      <c r="BH65" s="49">
        <v>24</v>
      </c>
      <c r="BI65" s="50">
        <v>100</v>
      </c>
      <c r="BJ65" s="49">
        <v>24</v>
      </c>
      <c r="BK65" s="49"/>
      <c r="BL65" s="49"/>
      <c r="BM65" s="49"/>
      <c r="BN65" s="49"/>
      <c r="BO65" s="49"/>
      <c r="BP65" s="49"/>
      <c r="BQ65" s="123" t="s">
        <v>4185</v>
      </c>
      <c r="BR65" s="123" t="s">
        <v>4185</v>
      </c>
      <c r="BS65" s="123" t="s">
        <v>4306</v>
      </c>
      <c r="BT65" s="123" t="s">
        <v>4306</v>
      </c>
      <c r="BU65" s="2"/>
      <c r="BV65" s="3"/>
      <c r="BW65" s="3"/>
      <c r="BX65" s="3"/>
      <c r="BY65" s="3"/>
    </row>
    <row r="66" spans="1:77" ht="15">
      <c r="A66" s="65" t="s">
        <v>258</v>
      </c>
      <c r="B66" s="66"/>
      <c r="C66" s="66" t="s">
        <v>46</v>
      </c>
      <c r="D66" s="67">
        <v>10</v>
      </c>
      <c r="E66" s="69"/>
      <c r="F66" s="111" t="str">
        <f>HYPERLINK("https://pbs.twimg.com/profile_images/1455985306939834371/hKxtj1Xe_normal.jpg")</f>
        <v>https://pbs.twimg.com/profile_images/1455985306939834371/hKxtj1Xe_normal.jpg</v>
      </c>
      <c r="G66" s="66"/>
      <c r="H66" s="70" t="s">
        <v>258</v>
      </c>
      <c r="I66" s="71" t="s">
        <v>4411</v>
      </c>
      <c r="J66" s="71" t="s">
        <v>73</v>
      </c>
      <c r="K66" s="70" t="s">
        <v>1874</v>
      </c>
      <c r="L66" s="74">
        <v>200.96</v>
      </c>
      <c r="M66" s="75">
        <v>6329.4228515625</v>
      </c>
      <c r="N66" s="75">
        <v>7826.12939453125</v>
      </c>
      <c r="O66" s="76"/>
      <c r="P66" s="77"/>
      <c r="Q66" s="77"/>
      <c r="R66" s="104"/>
      <c r="S66" s="49">
        <v>1</v>
      </c>
      <c r="T66" s="49">
        <v>1</v>
      </c>
      <c r="U66" s="50">
        <v>0</v>
      </c>
      <c r="V66" s="50">
        <v>0.201693</v>
      </c>
      <c r="W66" s="50">
        <v>0.004689</v>
      </c>
      <c r="X66" s="50">
        <v>0.004058</v>
      </c>
      <c r="Y66" s="50">
        <v>0.5</v>
      </c>
      <c r="Z66" s="50">
        <v>0</v>
      </c>
      <c r="AA66" s="72">
        <v>66</v>
      </c>
      <c r="AB66" s="72"/>
      <c r="AC66" s="73"/>
      <c r="AD66" s="89" t="s">
        <v>1230</v>
      </c>
      <c r="AE66" s="96" t="s">
        <v>1096</v>
      </c>
      <c r="AF66" s="89">
        <v>400</v>
      </c>
      <c r="AG66" s="89">
        <v>283</v>
      </c>
      <c r="AH66" s="89">
        <v>3546</v>
      </c>
      <c r="AI66" s="89">
        <v>20784</v>
      </c>
      <c r="AJ66" s="89"/>
      <c r="AK66" s="89" t="s">
        <v>1637</v>
      </c>
      <c r="AL66" s="89"/>
      <c r="AM66" s="89"/>
      <c r="AN66" s="89"/>
      <c r="AO66" s="92">
        <v>44405.30474537037</v>
      </c>
      <c r="AP66" s="89"/>
      <c r="AQ66" s="89" t="b">
        <v>1</v>
      </c>
      <c r="AR66" s="89" t="b">
        <v>0</v>
      </c>
      <c r="AS66" s="89" t="b">
        <v>0</v>
      </c>
      <c r="AT66" s="89"/>
      <c r="AU66" s="89">
        <v>2</v>
      </c>
      <c r="AV66" s="89"/>
      <c r="AW66" s="89" t="b">
        <v>0</v>
      </c>
      <c r="AX66" s="89" t="s">
        <v>1811</v>
      </c>
      <c r="AY66" s="99" t="str">
        <f>HYPERLINK("https://twitter.com/jkallila")</f>
        <v>https://twitter.com/jkallila</v>
      </c>
      <c r="AZ66" s="89" t="s">
        <v>66</v>
      </c>
      <c r="BA66" s="89" t="str">
        <f>REPLACE(INDEX(GroupVertices[Group],MATCH(Vertices[[#This Row],[Vertex]],GroupVertices[Vertex],0)),1,1,"")</f>
        <v>3</v>
      </c>
      <c r="BB66" s="49">
        <v>0</v>
      </c>
      <c r="BC66" s="50">
        <v>0</v>
      </c>
      <c r="BD66" s="49">
        <v>0</v>
      </c>
      <c r="BE66" s="50">
        <v>0</v>
      </c>
      <c r="BF66" s="49">
        <v>0</v>
      </c>
      <c r="BG66" s="50">
        <v>0</v>
      </c>
      <c r="BH66" s="49">
        <v>26</v>
      </c>
      <c r="BI66" s="50">
        <v>100</v>
      </c>
      <c r="BJ66" s="49">
        <v>26</v>
      </c>
      <c r="BK66" s="49" t="s">
        <v>3931</v>
      </c>
      <c r="BL66" s="49" t="s">
        <v>3931</v>
      </c>
      <c r="BM66" s="49" t="s">
        <v>548</v>
      </c>
      <c r="BN66" s="49" t="s">
        <v>548</v>
      </c>
      <c r="BO66" s="49" t="s">
        <v>559</v>
      </c>
      <c r="BP66" s="49" t="s">
        <v>559</v>
      </c>
      <c r="BQ66" s="123" t="s">
        <v>4201</v>
      </c>
      <c r="BR66" s="123" t="s">
        <v>4201</v>
      </c>
      <c r="BS66" s="123" t="s">
        <v>4321</v>
      </c>
      <c r="BT66" s="123" t="s">
        <v>4321</v>
      </c>
      <c r="BU66" s="2"/>
      <c r="BV66" s="3"/>
      <c r="BW66" s="3"/>
      <c r="BX66" s="3"/>
      <c r="BY66" s="3"/>
    </row>
    <row r="67" spans="1:77" ht="15">
      <c r="A67" s="65" t="s">
        <v>259</v>
      </c>
      <c r="B67" s="66"/>
      <c r="C67" s="66" t="s">
        <v>46</v>
      </c>
      <c r="D67" s="67"/>
      <c r="E67" s="69"/>
      <c r="F67" s="111" t="str">
        <f>HYPERLINK("https://pbs.twimg.com/profile_images/1479929865604419599/lT9FwHd8_normal.jpg")</f>
        <v>https://pbs.twimg.com/profile_images/1479929865604419599/lT9FwHd8_normal.jpg</v>
      </c>
      <c r="G67" s="66"/>
      <c r="H67" s="70" t="s">
        <v>259</v>
      </c>
      <c r="I67" s="71" t="s">
        <v>4411</v>
      </c>
      <c r="J67" s="71" t="s">
        <v>73</v>
      </c>
      <c r="K67" s="70" t="s">
        <v>1875</v>
      </c>
      <c r="L67" s="74">
        <v>1</v>
      </c>
      <c r="M67" s="75">
        <v>6268.8857421875</v>
      </c>
      <c r="N67" s="75">
        <v>7486.67919921875</v>
      </c>
      <c r="O67" s="76"/>
      <c r="P67" s="77"/>
      <c r="Q67" s="77"/>
      <c r="R67" s="104"/>
      <c r="S67" s="49">
        <v>0</v>
      </c>
      <c r="T67" s="49">
        <v>2</v>
      </c>
      <c r="U67" s="50">
        <v>0</v>
      </c>
      <c r="V67" s="50">
        <v>0.201693</v>
      </c>
      <c r="W67" s="50">
        <v>0.004689</v>
      </c>
      <c r="X67" s="50">
        <v>0.004058</v>
      </c>
      <c r="Y67" s="50">
        <v>0.5</v>
      </c>
      <c r="Z67" s="50">
        <v>0</v>
      </c>
      <c r="AA67" s="72">
        <v>67</v>
      </c>
      <c r="AB67" s="72"/>
      <c r="AC67" s="73"/>
      <c r="AD67" s="89" t="s">
        <v>1231</v>
      </c>
      <c r="AE67" s="96" t="s">
        <v>1451</v>
      </c>
      <c r="AF67" s="89">
        <v>205</v>
      </c>
      <c r="AG67" s="89">
        <v>244</v>
      </c>
      <c r="AH67" s="89">
        <v>702</v>
      </c>
      <c r="AI67" s="89">
        <v>20464</v>
      </c>
      <c r="AJ67" s="89"/>
      <c r="AK67" s="89" t="s">
        <v>1638</v>
      </c>
      <c r="AL67" s="89"/>
      <c r="AM67" s="89"/>
      <c r="AN67" s="89"/>
      <c r="AO67" s="92">
        <v>43804.75994212963</v>
      </c>
      <c r="AP67" s="99" t="str">
        <f>HYPERLINK("https://pbs.twimg.com/profile_banners/1202651929748353024/1577298259")</f>
        <v>https://pbs.twimg.com/profile_banners/1202651929748353024/1577298259</v>
      </c>
      <c r="AQ67" s="89" t="b">
        <v>1</v>
      </c>
      <c r="AR67" s="89" t="b">
        <v>0</v>
      </c>
      <c r="AS67" s="89" t="b">
        <v>0</v>
      </c>
      <c r="AT67" s="89"/>
      <c r="AU67" s="89">
        <v>0</v>
      </c>
      <c r="AV67" s="89"/>
      <c r="AW67" s="89" t="b">
        <v>0</v>
      </c>
      <c r="AX67" s="89" t="s">
        <v>1811</v>
      </c>
      <c r="AY67" s="99" t="str">
        <f>HYPERLINK("https://twitter.com/never_ever_red")</f>
        <v>https://twitter.com/never_ever_red</v>
      </c>
      <c r="AZ67" s="89" t="s">
        <v>66</v>
      </c>
      <c r="BA67" s="89" t="str">
        <f>REPLACE(INDEX(GroupVertices[Group],MATCH(Vertices[[#This Row],[Vertex]],GroupVertices[Vertex],0)),1,1,"")</f>
        <v>3</v>
      </c>
      <c r="BB67" s="49">
        <v>0</v>
      </c>
      <c r="BC67" s="50">
        <v>0</v>
      </c>
      <c r="BD67" s="49">
        <v>0</v>
      </c>
      <c r="BE67" s="50">
        <v>0</v>
      </c>
      <c r="BF67" s="49">
        <v>0</v>
      </c>
      <c r="BG67" s="50">
        <v>0</v>
      </c>
      <c r="BH67" s="49">
        <v>13</v>
      </c>
      <c r="BI67" s="50">
        <v>100</v>
      </c>
      <c r="BJ67" s="49">
        <v>13</v>
      </c>
      <c r="BK67" s="49"/>
      <c r="BL67" s="49"/>
      <c r="BM67" s="49"/>
      <c r="BN67" s="49"/>
      <c r="BO67" s="49"/>
      <c r="BP67" s="49"/>
      <c r="BQ67" s="123" t="s">
        <v>4202</v>
      </c>
      <c r="BR67" s="123" t="s">
        <v>4202</v>
      </c>
      <c r="BS67" s="123" t="s">
        <v>4322</v>
      </c>
      <c r="BT67" s="123" t="s">
        <v>4322</v>
      </c>
      <c r="BU67" s="2"/>
      <c r="BV67" s="3"/>
      <c r="BW67" s="3"/>
      <c r="BX67" s="3"/>
      <c r="BY67" s="3"/>
    </row>
    <row r="68" spans="1:77" ht="15">
      <c r="A68" s="65" t="s">
        <v>260</v>
      </c>
      <c r="B68" s="66"/>
      <c r="C68" s="66" t="s">
        <v>46</v>
      </c>
      <c r="D68" s="67">
        <v>10</v>
      </c>
      <c r="E68" s="69"/>
      <c r="F68" s="111" t="str">
        <f>HYPERLINK("https://pbs.twimg.com/profile_images/1474225639817367556/VP0zsz7b_normal.jpg")</f>
        <v>https://pbs.twimg.com/profile_images/1474225639817367556/VP0zsz7b_normal.jpg</v>
      </c>
      <c r="G68" s="66"/>
      <c r="H68" s="70" t="s">
        <v>260</v>
      </c>
      <c r="I68" s="71" t="s">
        <v>4410</v>
      </c>
      <c r="J68" s="71" t="s">
        <v>73</v>
      </c>
      <c r="K68" s="70" t="s">
        <v>1876</v>
      </c>
      <c r="L68" s="74">
        <v>200.96</v>
      </c>
      <c r="M68" s="75">
        <v>929.6976318359375</v>
      </c>
      <c r="N68" s="75">
        <v>1490.8890380859375</v>
      </c>
      <c r="O68" s="76"/>
      <c r="P68" s="77"/>
      <c r="Q68" s="77"/>
      <c r="R68" s="104"/>
      <c r="S68" s="49">
        <v>1</v>
      </c>
      <c r="T68" s="49">
        <v>1</v>
      </c>
      <c r="U68" s="50">
        <v>0</v>
      </c>
      <c r="V68" s="50">
        <v>0</v>
      </c>
      <c r="W68" s="50">
        <v>0</v>
      </c>
      <c r="X68" s="50">
        <v>0.004329</v>
      </c>
      <c r="Y68" s="50">
        <v>0</v>
      </c>
      <c r="Z68" s="50">
        <v>0</v>
      </c>
      <c r="AA68" s="72">
        <v>68</v>
      </c>
      <c r="AB68" s="72"/>
      <c r="AC68" s="73"/>
      <c r="AD68" s="89" t="s">
        <v>1232</v>
      </c>
      <c r="AE68" s="96" t="s">
        <v>1452</v>
      </c>
      <c r="AF68" s="89">
        <v>1</v>
      </c>
      <c r="AG68" s="89">
        <v>3</v>
      </c>
      <c r="AH68" s="89">
        <v>82</v>
      </c>
      <c r="AI68" s="89">
        <v>19</v>
      </c>
      <c r="AJ68" s="89"/>
      <c r="AK68" s="89" t="s">
        <v>1639</v>
      </c>
      <c r="AL68" s="89"/>
      <c r="AM68" s="89"/>
      <c r="AN68" s="89"/>
      <c r="AO68" s="92">
        <v>44491.11545138889</v>
      </c>
      <c r="AP68" s="99" t="str">
        <f>HYPERLINK("https://pbs.twimg.com/profile_banners/1451379132458315793/1635916885")</f>
        <v>https://pbs.twimg.com/profile_banners/1451379132458315793/1635916885</v>
      </c>
      <c r="AQ68" s="89" t="b">
        <v>1</v>
      </c>
      <c r="AR68" s="89" t="b">
        <v>0</v>
      </c>
      <c r="AS68" s="89" t="b">
        <v>0</v>
      </c>
      <c r="AT68" s="89"/>
      <c r="AU68" s="89">
        <v>1</v>
      </c>
      <c r="AV68" s="89"/>
      <c r="AW68" s="89" t="b">
        <v>0</v>
      </c>
      <c r="AX68" s="89" t="s">
        <v>1811</v>
      </c>
      <c r="AY68" s="99" t="str">
        <f>HYPERLINK("https://twitter.com/joravisjarvi")</f>
        <v>https://twitter.com/joravisjarvi</v>
      </c>
      <c r="AZ68" s="89" t="s">
        <v>66</v>
      </c>
      <c r="BA68" s="89" t="str">
        <f>REPLACE(INDEX(GroupVertices[Group],MATCH(Vertices[[#This Row],[Vertex]],GroupVertices[Vertex],0)),1,1,"")</f>
        <v>7</v>
      </c>
      <c r="BB68" s="49">
        <v>0</v>
      </c>
      <c r="BC68" s="50">
        <v>0</v>
      </c>
      <c r="BD68" s="49">
        <v>0</v>
      </c>
      <c r="BE68" s="50">
        <v>0</v>
      </c>
      <c r="BF68" s="49">
        <v>0</v>
      </c>
      <c r="BG68" s="50">
        <v>0</v>
      </c>
      <c r="BH68" s="49">
        <v>14</v>
      </c>
      <c r="BI68" s="50">
        <v>100</v>
      </c>
      <c r="BJ68" s="49">
        <v>14</v>
      </c>
      <c r="BK68" s="49" t="s">
        <v>3915</v>
      </c>
      <c r="BL68" s="49" t="s">
        <v>3915</v>
      </c>
      <c r="BM68" s="49" t="s">
        <v>549</v>
      </c>
      <c r="BN68" s="49" t="s">
        <v>549</v>
      </c>
      <c r="BO68" s="49"/>
      <c r="BP68" s="49"/>
      <c r="BQ68" s="123" t="s">
        <v>4203</v>
      </c>
      <c r="BR68" s="123" t="s">
        <v>4203</v>
      </c>
      <c r="BS68" s="123" t="s">
        <v>4323</v>
      </c>
      <c r="BT68" s="123" t="s">
        <v>4323</v>
      </c>
      <c r="BU68" s="2"/>
      <c r="BV68" s="3"/>
      <c r="BW68" s="3"/>
      <c r="BX68" s="3"/>
      <c r="BY68" s="3"/>
    </row>
    <row r="69" spans="1:77" ht="15">
      <c r="A69" s="65" t="s">
        <v>261</v>
      </c>
      <c r="B69" s="66"/>
      <c r="C69" s="66" t="s">
        <v>46</v>
      </c>
      <c r="D69" s="67"/>
      <c r="E69" s="69"/>
      <c r="F69" s="111" t="str">
        <f>HYPERLINK("https://pbs.twimg.com/profile_images/1468316075406282761/GafdFfbv_normal.jpg")</f>
        <v>https://pbs.twimg.com/profile_images/1468316075406282761/GafdFfbv_normal.jpg</v>
      </c>
      <c r="G69" s="66"/>
      <c r="H69" s="70" t="s">
        <v>261</v>
      </c>
      <c r="I69" s="71" t="s">
        <v>4415</v>
      </c>
      <c r="J69" s="71" t="s">
        <v>73</v>
      </c>
      <c r="K69" s="70" t="s">
        <v>1877</v>
      </c>
      <c r="L69" s="74">
        <v>1</v>
      </c>
      <c r="M69" s="75">
        <v>7609.1015625</v>
      </c>
      <c r="N69" s="75">
        <v>6150.400390625</v>
      </c>
      <c r="O69" s="76"/>
      <c r="P69" s="77"/>
      <c r="Q69" s="77"/>
      <c r="R69" s="104"/>
      <c r="S69" s="49">
        <v>0</v>
      </c>
      <c r="T69" s="49">
        <v>2</v>
      </c>
      <c r="U69" s="50">
        <v>194.366091</v>
      </c>
      <c r="V69" s="50">
        <v>0.208722</v>
      </c>
      <c r="W69" s="50">
        <v>0.008652</v>
      </c>
      <c r="X69" s="50">
        <v>0.003865</v>
      </c>
      <c r="Y69" s="50">
        <v>0</v>
      </c>
      <c r="Z69" s="50">
        <v>0</v>
      </c>
      <c r="AA69" s="72">
        <v>69</v>
      </c>
      <c r="AB69" s="72"/>
      <c r="AC69" s="73"/>
      <c r="AD69" s="89" t="s">
        <v>1233</v>
      </c>
      <c r="AE69" s="96" t="s">
        <v>1098</v>
      </c>
      <c r="AF69" s="89">
        <v>262</v>
      </c>
      <c r="AG69" s="89">
        <v>91</v>
      </c>
      <c r="AH69" s="89">
        <v>868</v>
      </c>
      <c r="AI69" s="89">
        <v>2099</v>
      </c>
      <c r="AJ69" s="89"/>
      <c r="AK69" s="89" t="s">
        <v>1640</v>
      </c>
      <c r="AL69" s="89"/>
      <c r="AM69" s="89"/>
      <c r="AN69" s="89"/>
      <c r="AO69" s="92">
        <v>44537.47042824074</v>
      </c>
      <c r="AP69" s="89"/>
      <c r="AQ69" s="89" t="b">
        <v>1</v>
      </c>
      <c r="AR69" s="89" t="b">
        <v>0</v>
      </c>
      <c r="AS69" s="89" t="b">
        <v>0</v>
      </c>
      <c r="AT69" s="89"/>
      <c r="AU69" s="89">
        <v>1</v>
      </c>
      <c r="AV69" s="89"/>
      <c r="AW69" s="89" t="b">
        <v>0</v>
      </c>
      <c r="AX69" s="89" t="s">
        <v>1811</v>
      </c>
      <c r="AY69" s="99" t="str">
        <f>HYPERLINK("https://twitter.com/emmil33")</f>
        <v>https://twitter.com/emmil33</v>
      </c>
      <c r="AZ69" s="89" t="s">
        <v>66</v>
      </c>
      <c r="BA69" s="89" t="str">
        <f>REPLACE(INDEX(GroupVertices[Group],MATCH(Vertices[[#This Row],[Vertex]],GroupVertices[Vertex],0)),1,1,"")</f>
        <v>5</v>
      </c>
      <c r="BB69" s="49">
        <v>0</v>
      </c>
      <c r="BC69" s="50">
        <v>0</v>
      </c>
      <c r="BD69" s="49">
        <v>0</v>
      </c>
      <c r="BE69" s="50">
        <v>0</v>
      </c>
      <c r="BF69" s="49">
        <v>0</v>
      </c>
      <c r="BG69" s="50">
        <v>0</v>
      </c>
      <c r="BH69" s="49">
        <v>67</v>
      </c>
      <c r="BI69" s="50">
        <v>100</v>
      </c>
      <c r="BJ69" s="49">
        <v>67</v>
      </c>
      <c r="BK69" s="49"/>
      <c r="BL69" s="49"/>
      <c r="BM69" s="49"/>
      <c r="BN69" s="49"/>
      <c r="BO69" s="49"/>
      <c r="BP69" s="49"/>
      <c r="BQ69" s="123" t="s">
        <v>4204</v>
      </c>
      <c r="BR69" s="123" t="s">
        <v>4281</v>
      </c>
      <c r="BS69" s="123" t="s">
        <v>4324</v>
      </c>
      <c r="BT69" s="123" t="s">
        <v>4324</v>
      </c>
      <c r="BU69" s="2"/>
      <c r="BV69" s="3"/>
      <c r="BW69" s="3"/>
      <c r="BX69" s="3"/>
      <c r="BY69" s="3"/>
    </row>
    <row r="70" spans="1:77" ht="15">
      <c r="A70" s="65" t="s">
        <v>346</v>
      </c>
      <c r="B70" s="66"/>
      <c r="C70" s="66" t="s">
        <v>64</v>
      </c>
      <c r="D70" s="67">
        <v>886.7656558349039</v>
      </c>
      <c r="E70" s="69"/>
      <c r="F70" s="111" t="str">
        <f>HYPERLINK("https://pbs.twimg.com/profile_images/1477405043745767424/A4r2j9QF_normal.jpg")</f>
        <v>https://pbs.twimg.com/profile_images/1477405043745767424/A4r2j9QF_normal.jpg</v>
      </c>
      <c r="G70" s="66"/>
      <c r="H70" s="70" t="s">
        <v>346</v>
      </c>
      <c r="I70" s="71" t="s">
        <v>4415</v>
      </c>
      <c r="J70" s="71" t="s">
        <v>73</v>
      </c>
      <c r="K70" s="70" t="s">
        <v>1878</v>
      </c>
      <c r="L70" s="74">
        <v>1400.72</v>
      </c>
      <c r="M70" s="75">
        <v>7737.533203125</v>
      </c>
      <c r="N70" s="75">
        <v>6554.8466796875</v>
      </c>
      <c r="O70" s="76"/>
      <c r="P70" s="77"/>
      <c r="Q70" s="77"/>
      <c r="R70" s="104"/>
      <c r="S70" s="49">
        <v>7</v>
      </c>
      <c r="T70" s="49">
        <v>1</v>
      </c>
      <c r="U70" s="50">
        <v>1322.798039</v>
      </c>
      <c r="V70" s="50">
        <v>0.216258</v>
      </c>
      <c r="W70" s="50">
        <v>0.035658</v>
      </c>
      <c r="X70" s="50">
        <v>0.005967</v>
      </c>
      <c r="Y70" s="50">
        <v>0.03571428571428571</v>
      </c>
      <c r="Z70" s="50">
        <v>0</v>
      </c>
      <c r="AA70" s="72">
        <v>70</v>
      </c>
      <c r="AB70" s="72"/>
      <c r="AC70" s="73"/>
      <c r="AD70" s="89" t="s">
        <v>1234</v>
      </c>
      <c r="AE70" s="96" t="s">
        <v>1097</v>
      </c>
      <c r="AF70" s="89">
        <v>444</v>
      </c>
      <c r="AG70" s="89">
        <v>1345</v>
      </c>
      <c r="AH70" s="89">
        <v>12774</v>
      </c>
      <c r="AI70" s="89">
        <v>28008</v>
      </c>
      <c r="AJ70" s="89"/>
      <c r="AK70" s="89" t="s">
        <v>1641</v>
      </c>
      <c r="AL70" s="89"/>
      <c r="AM70" s="89"/>
      <c r="AN70" s="89"/>
      <c r="AO70" s="92">
        <v>40922.89335648148</v>
      </c>
      <c r="AP70" s="99" t="str">
        <f>HYPERLINK("https://pbs.twimg.com/profile_banners/464115593/1630352017")</f>
        <v>https://pbs.twimg.com/profile_banners/464115593/1630352017</v>
      </c>
      <c r="AQ70" s="89" t="b">
        <v>1</v>
      </c>
      <c r="AR70" s="89" t="b">
        <v>0</v>
      </c>
      <c r="AS70" s="89" t="b">
        <v>0</v>
      </c>
      <c r="AT70" s="89"/>
      <c r="AU70" s="89">
        <v>2</v>
      </c>
      <c r="AV70" s="99" t="str">
        <f>HYPERLINK("https://abs.twimg.com/images/themes/theme1/bg.png")</f>
        <v>https://abs.twimg.com/images/themes/theme1/bg.png</v>
      </c>
      <c r="AW70" s="89" t="b">
        <v>0</v>
      </c>
      <c r="AX70" s="89" t="s">
        <v>1811</v>
      </c>
      <c r="AY70" s="99" t="str">
        <f>HYPERLINK("https://twitter.com/sirumustikkamaa")</f>
        <v>https://twitter.com/sirumustikkamaa</v>
      </c>
      <c r="AZ70" s="89" t="s">
        <v>66</v>
      </c>
      <c r="BA70" s="89" t="str">
        <f>REPLACE(INDEX(GroupVertices[Group],MATCH(Vertices[[#This Row],[Vertex]],GroupVertices[Vertex],0)),1,1,"")</f>
        <v>5</v>
      </c>
      <c r="BB70" s="49">
        <v>0</v>
      </c>
      <c r="BC70" s="50">
        <v>0</v>
      </c>
      <c r="BD70" s="49">
        <v>0</v>
      </c>
      <c r="BE70" s="50">
        <v>0</v>
      </c>
      <c r="BF70" s="49">
        <v>0</v>
      </c>
      <c r="BG70" s="50">
        <v>0</v>
      </c>
      <c r="BH70" s="49">
        <v>13</v>
      </c>
      <c r="BI70" s="50">
        <v>100</v>
      </c>
      <c r="BJ70" s="49">
        <v>13</v>
      </c>
      <c r="BK70" s="49"/>
      <c r="BL70" s="49"/>
      <c r="BM70" s="49"/>
      <c r="BN70" s="49"/>
      <c r="BO70" s="49"/>
      <c r="BP70" s="49"/>
      <c r="BQ70" s="123" t="s">
        <v>4205</v>
      </c>
      <c r="BR70" s="123" t="s">
        <v>4205</v>
      </c>
      <c r="BS70" s="123" t="s">
        <v>4325</v>
      </c>
      <c r="BT70" s="123" t="s">
        <v>4325</v>
      </c>
      <c r="BU70" s="2"/>
      <c r="BV70" s="3"/>
      <c r="BW70" s="3"/>
      <c r="BX70" s="3"/>
      <c r="BY70" s="3"/>
    </row>
    <row r="71" spans="1:77" ht="15">
      <c r="A71" s="65" t="s">
        <v>262</v>
      </c>
      <c r="B71" s="66"/>
      <c r="C71" s="66" t="s">
        <v>46</v>
      </c>
      <c r="D71" s="67"/>
      <c r="E71" s="69"/>
      <c r="F71" s="111" t="str">
        <f>HYPERLINK("https://pbs.twimg.com/profile_images/1191030515454926850/dAlsmw9n_normal.jpg")</f>
        <v>https://pbs.twimg.com/profile_images/1191030515454926850/dAlsmw9n_normal.jpg</v>
      </c>
      <c r="G71" s="66"/>
      <c r="H71" s="70" t="s">
        <v>262</v>
      </c>
      <c r="I71" s="71" t="s">
        <v>4411</v>
      </c>
      <c r="J71" s="71" t="s">
        <v>73</v>
      </c>
      <c r="K71" s="70" t="s">
        <v>1879</v>
      </c>
      <c r="L71" s="74">
        <v>1</v>
      </c>
      <c r="M71" s="75">
        <v>6321.87646484375</v>
      </c>
      <c r="N71" s="75">
        <v>8355.3447265625</v>
      </c>
      <c r="O71" s="76"/>
      <c r="P71" s="77"/>
      <c r="Q71" s="77"/>
      <c r="R71" s="104"/>
      <c r="S71" s="49">
        <v>0</v>
      </c>
      <c r="T71" s="49">
        <v>1</v>
      </c>
      <c r="U71" s="50">
        <v>0</v>
      </c>
      <c r="V71" s="50">
        <v>0.201398</v>
      </c>
      <c r="W71" s="50">
        <v>0.004089</v>
      </c>
      <c r="X71" s="50">
        <v>0.003753</v>
      </c>
      <c r="Y71" s="50">
        <v>0</v>
      </c>
      <c r="Z71" s="50">
        <v>0</v>
      </c>
      <c r="AA71" s="72">
        <v>71</v>
      </c>
      <c r="AB71" s="72"/>
      <c r="AC71" s="73"/>
      <c r="AD71" s="89" t="s">
        <v>1235</v>
      </c>
      <c r="AE71" s="96" t="s">
        <v>1453</v>
      </c>
      <c r="AF71" s="89">
        <v>0</v>
      </c>
      <c r="AG71" s="89">
        <v>49</v>
      </c>
      <c r="AH71" s="89">
        <v>169</v>
      </c>
      <c r="AI71" s="89">
        <v>0</v>
      </c>
      <c r="AJ71" s="89"/>
      <c r="AK71" s="89" t="s">
        <v>1642</v>
      </c>
      <c r="AL71" s="89"/>
      <c r="AM71" s="89"/>
      <c r="AN71" s="89"/>
      <c r="AO71" s="92">
        <v>43766.406018518515</v>
      </c>
      <c r="AP71" s="99" t="str">
        <f>HYPERLINK("https://pbs.twimg.com/profile_banners/1188753344707338240/1572257522")</f>
        <v>https://pbs.twimg.com/profile_banners/1188753344707338240/1572257522</v>
      </c>
      <c r="AQ71" s="89" t="b">
        <v>1</v>
      </c>
      <c r="AR71" s="89" t="b">
        <v>0</v>
      </c>
      <c r="AS71" s="89" t="b">
        <v>0</v>
      </c>
      <c r="AT71" s="89"/>
      <c r="AU71" s="89">
        <v>0</v>
      </c>
      <c r="AV71" s="89"/>
      <c r="AW71" s="89" t="b">
        <v>0</v>
      </c>
      <c r="AX71" s="89" t="s">
        <v>1811</v>
      </c>
      <c r="AY71" s="99" t="str">
        <f>HYPERLINK("https://twitter.com/paavola_petri")</f>
        <v>https://twitter.com/paavola_petri</v>
      </c>
      <c r="AZ71" s="89" t="s">
        <v>66</v>
      </c>
      <c r="BA71" s="89" t="str">
        <f>REPLACE(INDEX(GroupVertices[Group],MATCH(Vertices[[#This Row],[Vertex]],GroupVertices[Vertex],0)),1,1,"")</f>
        <v>3</v>
      </c>
      <c r="BB71" s="49">
        <v>0</v>
      </c>
      <c r="BC71" s="50">
        <v>0</v>
      </c>
      <c r="BD71" s="49">
        <v>0</v>
      </c>
      <c r="BE71" s="50">
        <v>0</v>
      </c>
      <c r="BF71" s="49">
        <v>0</v>
      </c>
      <c r="BG71" s="50">
        <v>0</v>
      </c>
      <c r="BH71" s="49">
        <v>6</v>
      </c>
      <c r="BI71" s="50">
        <v>100</v>
      </c>
      <c r="BJ71" s="49">
        <v>6</v>
      </c>
      <c r="BK71" s="49" t="s">
        <v>3930</v>
      </c>
      <c r="BL71" s="49" t="s">
        <v>3930</v>
      </c>
      <c r="BM71" s="49" t="s">
        <v>550</v>
      </c>
      <c r="BN71" s="49" t="s">
        <v>550</v>
      </c>
      <c r="BO71" s="49"/>
      <c r="BP71" s="49"/>
      <c r="BQ71" s="123" t="s">
        <v>4206</v>
      </c>
      <c r="BR71" s="123" t="s">
        <v>4206</v>
      </c>
      <c r="BS71" s="123" t="s">
        <v>4326</v>
      </c>
      <c r="BT71" s="123" t="s">
        <v>4326</v>
      </c>
      <c r="BU71" s="2"/>
      <c r="BV71" s="3"/>
      <c r="BW71" s="3"/>
      <c r="BX71" s="3"/>
      <c r="BY71" s="3"/>
    </row>
    <row r="72" spans="1:77" ht="15">
      <c r="A72" s="65" t="s">
        <v>263</v>
      </c>
      <c r="B72" s="66"/>
      <c r="C72" s="66" t="s">
        <v>46</v>
      </c>
      <c r="D72" s="67"/>
      <c r="E72" s="69"/>
      <c r="F72" s="111" t="str">
        <f>HYPERLINK("https://pbs.twimg.com/profile_images/1283449599420702721/a4_J-0YR_normal.jpg")</f>
        <v>https://pbs.twimg.com/profile_images/1283449599420702721/a4_J-0YR_normal.jpg</v>
      </c>
      <c r="G72" s="66"/>
      <c r="H72" s="70" t="s">
        <v>263</v>
      </c>
      <c r="I72" s="71" t="s">
        <v>4408</v>
      </c>
      <c r="J72" s="71" t="s">
        <v>73</v>
      </c>
      <c r="K72" s="70" t="s">
        <v>1880</v>
      </c>
      <c r="L72" s="74">
        <v>1</v>
      </c>
      <c r="M72" s="75">
        <v>3683.141845703125</v>
      </c>
      <c r="N72" s="75">
        <v>7359.5322265625</v>
      </c>
      <c r="O72" s="76"/>
      <c r="P72" s="77"/>
      <c r="Q72" s="77"/>
      <c r="R72" s="104"/>
      <c r="S72" s="49">
        <v>0</v>
      </c>
      <c r="T72" s="49">
        <v>1</v>
      </c>
      <c r="U72" s="50">
        <v>0</v>
      </c>
      <c r="V72" s="50">
        <v>0.138728</v>
      </c>
      <c r="W72" s="50">
        <v>0.000686</v>
      </c>
      <c r="X72" s="50">
        <v>0.003933</v>
      </c>
      <c r="Y72" s="50">
        <v>0</v>
      </c>
      <c r="Z72" s="50">
        <v>0</v>
      </c>
      <c r="AA72" s="72">
        <v>72</v>
      </c>
      <c r="AB72" s="72"/>
      <c r="AC72" s="73"/>
      <c r="AD72" s="89" t="s">
        <v>1236</v>
      </c>
      <c r="AE72" s="96" t="s">
        <v>1454</v>
      </c>
      <c r="AF72" s="89">
        <v>596</v>
      </c>
      <c r="AG72" s="89">
        <v>135</v>
      </c>
      <c r="AH72" s="89">
        <v>2988</v>
      </c>
      <c r="AI72" s="89">
        <v>12224</v>
      </c>
      <c r="AJ72" s="89"/>
      <c r="AK72" s="89"/>
      <c r="AL72" s="89"/>
      <c r="AM72" s="89"/>
      <c r="AN72" s="89"/>
      <c r="AO72" s="92">
        <v>43897.50748842592</v>
      </c>
      <c r="AP72" s="99" t="str">
        <f>HYPERLINK("https://pbs.twimg.com/profile_banners/1236262946533146624/1594833276")</f>
        <v>https://pbs.twimg.com/profile_banners/1236262946533146624/1594833276</v>
      </c>
      <c r="AQ72" s="89" t="b">
        <v>1</v>
      </c>
      <c r="AR72" s="89" t="b">
        <v>0</v>
      </c>
      <c r="AS72" s="89" t="b">
        <v>0</v>
      </c>
      <c r="AT72" s="89"/>
      <c r="AU72" s="89">
        <v>0</v>
      </c>
      <c r="AV72" s="89"/>
      <c r="AW72" s="89" t="b">
        <v>0</v>
      </c>
      <c r="AX72" s="89" t="s">
        <v>1811</v>
      </c>
      <c r="AY72" s="99" t="str">
        <f>HYPERLINK("https://twitter.com/janhunen18")</f>
        <v>https://twitter.com/janhunen18</v>
      </c>
      <c r="AZ72" s="89" t="s">
        <v>66</v>
      </c>
      <c r="BA72" s="89" t="str">
        <f>REPLACE(INDEX(GroupVertices[Group],MATCH(Vertices[[#This Row],[Vertex]],GroupVertices[Vertex],0)),1,1,"")</f>
        <v>2</v>
      </c>
      <c r="BB72" s="49">
        <v>0</v>
      </c>
      <c r="BC72" s="50">
        <v>0</v>
      </c>
      <c r="BD72" s="49">
        <v>0</v>
      </c>
      <c r="BE72" s="50">
        <v>0</v>
      </c>
      <c r="BF72" s="49">
        <v>0</v>
      </c>
      <c r="BG72" s="50">
        <v>0</v>
      </c>
      <c r="BH72" s="49">
        <v>5</v>
      </c>
      <c r="BI72" s="50">
        <v>100</v>
      </c>
      <c r="BJ72" s="49">
        <v>5</v>
      </c>
      <c r="BK72" s="49"/>
      <c r="BL72" s="49"/>
      <c r="BM72" s="49"/>
      <c r="BN72" s="49"/>
      <c r="BO72" s="49"/>
      <c r="BP72" s="49"/>
      <c r="BQ72" s="123" t="s">
        <v>4207</v>
      </c>
      <c r="BR72" s="123" t="s">
        <v>4207</v>
      </c>
      <c r="BS72" s="123" t="s">
        <v>4327</v>
      </c>
      <c r="BT72" s="123" t="s">
        <v>4327</v>
      </c>
      <c r="BU72" s="2"/>
      <c r="BV72" s="3"/>
      <c r="BW72" s="3"/>
      <c r="BX72" s="3"/>
      <c r="BY72" s="3"/>
    </row>
    <row r="73" spans="1:77" ht="15">
      <c r="A73" s="65" t="s">
        <v>423</v>
      </c>
      <c r="B73" s="66"/>
      <c r="C73" s="66" t="s">
        <v>64</v>
      </c>
      <c r="D73" s="67">
        <v>505</v>
      </c>
      <c r="E73" s="69"/>
      <c r="F73" s="111" t="str">
        <f>HYPERLINK("https://pbs.twimg.com/profile_images/1452683904540889101/tz2x4RNQ_normal.jpg")</f>
        <v>https://pbs.twimg.com/profile_images/1452683904540889101/tz2x4RNQ_normal.jpg</v>
      </c>
      <c r="G73" s="66"/>
      <c r="H73" s="70" t="s">
        <v>423</v>
      </c>
      <c r="I73" s="71" t="s">
        <v>4408</v>
      </c>
      <c r="J73" s="71" t="s">
        <v>75</v>
      </c>
      <c r="K73" s="70" t="s">
        <v>1881</v>
      </c>
      <c r="L73" s="74">
        <v>600.88</v>
      </c>
      <c r="M73" s="75">
        <v>3265.992919921875</v>
      </c>
      <c r="N73" s="75">
        <v>6584.09716796875</v>
      </c>
      <c r="O73" s="76"/>
      <c r="P73" s="77"/>
      <c r="Q73" s="77"/>
      <c r="R73" s="104"/>
      <c r="S73" s="49">
        <v>3</v>
      </c>
      <c r="T73" s="49">
        <v>0</v>
      </c>
      <c r="U73" s="50">
        <v>706</v>
      </c>
      <c r="V73" s="50">
        <v>0.168819</v>
      </c>
      <c r="W73" s="50">
        <v>0.005357</v>
      </c>
      <c r="X73" s="50">
        <v>0.005066</v>
      </c>
      <c r="Y73" s="50">
        <v>0</v>
      </c>
      <c r="Z73" s="50">
        <v>0</v>
      </c>
      <c r="AA73" s="72">
        <v>73</v>
      </c>
      <c r="AB73" s="72"/>
      <c r="AC73" s="73"/>
      <c r="AD73" s="89" t="s">
        <v>1237</v>
      </c>
      <c r="AE73" s="96" t="s">
        <v>1099</v>
      </c>
      <c r="AF73" s="89">
        <v>1067</v>
      </c>
      <c r="AG73" s="89">
        <v>510</v>
      </c>
      <c r="AH73" s="89">
        <v>1069</v>
      </c>
      <c r="AI73" s="89">
        <v>19300</v>
      </c>
      <c r="AJ73" s="89"/>
      <c r="AK73" s="89" t="s">
        <v>1643</v>
      </c>
      <c r="AL73" s="89"/>
      <c r="AM73" s="89"/>
      <c r="AN73" s="89"/>
      <c r="AO73" s="92">
        <v>44450.2265162037</v>
      </c>
      <c r="AP73" s="99" t="str">
        <f>HYPERLINK("https://pbs.twimg.com/profile_banners/1436561629609615360/1640195020")</f>
        <v>https://pbs.twimg.com/profile_banners/1436561629609615360/1640195020</v>
      </c>
      <c r="AQ73" s="89" t="b">
        <v>1</v>
      </c>
      <c r="AR73" s="89" t="b">
        <v>0</v>
      </c>
      <c r="AS73" s="89" t="b">
        <v>0</v>
      </c>
      <c r="AT73" s="89"/>
      <c r="AU73" s="89">
        <v>0</v>
      </c>
      <c r="AV73" s="89"/>
      <c r="AW73" s="89" t="b">
        <v>0</v>
      </c>
      <c r="AX73" s="89" t="s">
        <v>1811</v>
      </c>
      <c r="AY73" s="99" t="str">
        <f>HYPERLINK("https://twitter.com/toivovalo")</f>
        <v>https://twitter.com/toivovalo</v>
      </c>
      <c r="AZ73" s="89" t="s">
        <v>65</v>
      </c>
      <c r="BA73" s="8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264</v>
      </c>
      <c r="B74" s="66"/>
      <c r="C74" s="66" t="s">
        <v>46</v>
      </c>
      <c r="D74" s="67"/>
      <c r="E74" s="69"/>
      <c r="F74" s="111" t="str">
        <f>HYPERLINK("https://abs.twimg.com/sticky/default_profile_images/default_profile_normal.png")</f>
        <v>https://abs.twimg.com/sticky/default_profile_images/default_profile_normal.png</v>
      </c>
      <c r="G74" s="66"/>
      <c r="H74" s="70" t="s">
        <v>264</v>
      </c>
      <c r="I74" s="71" t="s">
        <v>4413</v>
      </c>
      <c r="J74" s="71" t="s">
        <v>73</v>
      </c>
      <c r="K74" s="70" t="s">
        <v>1882</v>
      </c>
      <c r="L74" s="74">
        <v>1</v>
      </c>
      <c r="M74" s="75">
        <v>9639.9931640625</v>
      </c>
      <c r="N74" s="75">
        <v>3249.089599609375</v>
      </c>
      <c r="O74" s="76"/>
      <c r="P74" s="77"/>
      <c r="Q74" s="77"/>
      <c r="R74" s="104"/>
      <c r="S74" s="49">
        <v>0</v>
      </c>
      <c r="T74" s="49">
        <v>1</v>
      </c>
      <c r="U74" s="50">
        <v>0</v>
      </c>
      <c r="V74" s="50">
        <v>0.004348</v>
      </c>
      <c r="W74" s="50">
        <v>0</v>
      </c>
      <c r="X74" s="50">
        <v>0.004329</v>
      </c>
      <c r="Y74" s="50">
        <v>0</v>
      </c>
      <c r="Z74" s="50">
        <v>0</v>
      </c>
      <c r="AA74" s="72">
        <v>74</v>
      </c>
      <c r="AB74" s="72"/>
      <c r="AC74" s="73"/>
      <c r="AD74" s="89" t="s">
        <v>1238</v>
      </c>
      <c r="AE74" s="96" t="s">
        <v>1455</v>
      </c>
      <c r="AF74" s="89">
        <v>61</v>
      </c>
      <c r="AG74" s="89">
        <v>23</v>
      </c>
      <c r="AH74" s="89">
        <v>52</v>
      </c>
      <c r="AI74" s="89">
        <v>2560</v>
      </c>
      <c r="AJ74" s="89"/>
      <c r="AK74" s="89" t="s">
        <v>1644</v>
      </c>
      <c r="AL74" s="89"/>
      <c r="AM74" s="89"/>
      <c r="AN74" s="89"/>
      <c r="AO74" s="92">
        <v>44261.61305555556</v>
      </c>
      <c r="AP74" s="89"/>
      <c r="AQ74" s="89" t="b">
        <v>1</v>
      </c>
      <c r="AR74" s="89" t="b">
        <v>1</v>
      </c>
      <c r="AS74" s="89" t="b">
        <v>0</v>
      </c>
      <c r="AT74" s="89"/>
      <c r="AU74" s="89">
        <v>0</v>
      </c>
      <c r="AV74" s="89"/>
      <c r="AW74" s="89" t="b">
        <v>0</v>
      </c>
      <c r="AX74" s="89" t="s">
        <v>1811</v>
      </c>
      <c r="AY74" s="99" t="str">
        <f>HYPERLINK("https://twitter.com/hirvonen_martti")</f>
        <v>https://twitter.com/hirvonen_martti</v>
      </c>
      <c r="AZ74" s="89" t="s">
        <v>66</v>
      </c>
      <c r="BA74" s="89" t="str">
        <f>REPLACE(INDEX(GroupVertices[Group],MATCH(Vertices[[#This Row],[Vertex]],GroupVertices[Vertex],0)),1,1,"")</f>
        <v>18</v>
      </c>
      <c r="BB74" s="49">
        <v>0</v>
      </c>
      <c r="BC74" s="50">
        <v>0</v>
      </c>
      <c r="BD74" s="49">
        <v>0</v>
      </c>
      <c r="BE74" s="50">
        <v>0</v>
      </c>
      <c r="BF74" s="49">
        <v>0</v>
      </c>
      <c r="BG74" s="50">
        <v>0</v>
      </c>
      <c r="BH74" s="49">
        <v>23</v>
      </c>
      <c r="BI74" s="50">
        <v>100</v>
      </c>
      <c r="BJ74" s="49">
        <v>23</v>
      </c>
      <c r="BK74" s="49"/>
      <c r="BL74" s="49"/>
      <c r="BM74" s="49"/>
      <c r="BN74" s="49"/>
      <c r="BO74" s="49"/>
      <c r="BP74" s="49"/>
      <c r="BQ74" s="123" t="s">
        <v>4208</v>
      </c>
      <c r="BR74" s="123" t="s">
        <v>4208</v>
      </c>
      <c r="BS74" s="123" t="s">
        <v>4328</v>
      </c>
      <c r="BT74" s="123" t="s">
        <v>4328</v>
      </c>
      <c r="BU74" s="2"/>
      <c r="BV74" s="3"/>
      <c r="BW74" s="3"/>
      <c r="BX74" s="3"/>
      <c r="BY74" s="3"/>
    </row>
    <row r="75" spans="1:77" ht="15">
      <c r="A75" s="65" t="s">
        <v>424</v>
      </c>
      <c r="B75" s="66"/>
      <c r="C75" s="66" t="s">
        <v>46</v>
      </c>
      <c r="D75" s="67">
        <v>10</v>
      </c>
      <c r="E75" s="69"/>
      <c r="F75" s="111" t="str">
        <f>HYPERLINK("https://pbs.twimg.com/profile_images/555740364896612352/XKukpjfj_normal.jpeg")</f>
        <v>https://pbs.twimg.com/profile_images/555740364896612352/XKukpjfj_normal.jpeg</v>
      </c>
      <c r="G75" s="66"/>
      <c r="H75" s="70" t="s">
        <v>424</v>
      </c>
      <c r="I75" s="71" t="s">
        <v>4413</v>
      </c>
      <c r="J75" s="71" t="s">
        <v>75</v>
      </c>
      <c r="K75" s="70" t="s">
        <v>1883</v>
      </c>
      <c r="L75" s="74">
        <v>200.96</v>
      </c>
      <c r="M75" s="75">
        <v>9639.9931640625</v>
      </c>
      <c r="N75" s="75">
        <v>2628.542724609375</v>
      </c>
      <c r="O75" s="76"/>
      <c r="P75" s="77"/>
      <c r="Q75" s="77"/>
      <c r="R75" s="104"/>
      <c r="S75" s="49">
        <v>1</v>
      </c>
      <c r="T75" s="49">
        <v>0</v>
      </c>
      <c r="U75" s="50">
        <v>0</v>
      </c>
      <c r="V75" s="50">
        <v>0.004348</v>
      </c>
      <c r="W75" s="50">
        <v>0</v>
      </c>
      <c r="X75" s="50">
        <v>0.004329</v>
      </c>
      <c r="Y75" s="50">
        <v>0</v>
      </c>
      <c r="Z75" s="50">
        <v>0</v>
      </c>
      <c r="AA75" s="72">
        <v>75</v>
      </c>
      <c r="AB75" s="72"/>
      <c r="AC75" s="73"/>
      <c r="AD75" s="89" t="s">
        <v>1239</v>
      </c>
      <c r="AE75" s="96" t="s">
        <v>1100</v>
      </c>
      <c r="AF75" s="89">
        <v>50</v>
      </c>
      <c r="AG75" s="89">
        <v>986</v>
      </c>
      <c r="AH75" s="89">
        <v>145</v>
      </c>
      <c r="AI75" s="89">
        <v>8</v>
      </c>
      <c r="AJ75" s="89"/>
      <c r="AK75" s="89"/>
      <c r="AL75" s="89"/>
      <c r="AM75" s="89"/>
      <c r="AN75" s="89"/>
      <c r="AO75" s="92">
        <v>40963.61377314815</v>
      </c>
      <c r="AP75" s="89"/>
      <c r="AQ75" s="89" t="b">
        <v>1</v>
      </c>
      <c r="AR75" s="89" t="b">
        <v>0</v>
      </c>
      <c r="AS75" s="89" t="b">
        <v>1</v>
      </c>
      <c r="AT75" s="89"/>
      <c r="AU75" s="89">
        <v>7</v>
      </c>
      <c r="AV75" s="99" t="str">
        <f>HYPERLINK("https://abs.twimg.com/images/themes/theme1/bg.png")</f>
        <v>https://abs.twimg.com/images/themes/theme1/bg.png</v>
      </c>
      <c r="AW75" s="89" t="b">
        <v>0</v>
      </c>
      <c r="AX75" s="89" t="s">
        <v>1811</v>
      </c>
      <c r="AY75" s="99" t="str">
        <f>HYPERLINK("https://twitter.com/hansvalimaki")</f>
        <v>https://twitter.com/hansvalimaki</v>
      </c>
      <c r="AZ75" s="89" t="s">
        <v>65</v>
      </c>
      <c r="BA75" s="89" t="str">
        <f>REPLACE(INDEX(GroupVertices[Group],MATCH(Vertices[[#This Row],[Vertex]],GroupVertices[Vertex],0)),1,1,"")</f>
        <v>18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265</v>
      </c>
      <c r="B76" s="66"/>
      <c r="C76" s="66" t="s">
        <v>64</v>
      </c>
      <c r="D76" s="67">
        <v>322.3102280178714</v>
      </c>
      <c r="E76" s="69"/>
      <c r="F76" s="111" t="str">
        <f>HYPERLINK("https://pbs.twimg.com/profile_images/928538330077237248/PUv-u3qY_normal.jpg")</f>
        <v>https://pbs.twimg.com/profile_images/928538330077237248/PUv-u3qY_normal.jpg</v>
      </c>
      <c r="G76" s="66"/>
      <c r="H76" s="70" t="s">
        <v>265</v>
      </c>
      <c r="I76" s="71" t="s">
        <v>4411</v>
      </c>
      <c r="J76" s="71" t="s">
        <v>73</v>
      </c>
      <c r="K76" s="70" t="s">
        <v>1884</v>
      </c>
      <c r="L76" s="74">
        <v>400.92</v>
      </c>
      <c r="M76" s="75">
        <v>4819.34130859375</v>
      </c>
      <c r="N76" s="75">
        <v>8474.0576171875</v>
      </c>
      <c r="O76" s="76"/>
      <c r="P76" s="77"/>
      <c r="Q76" s="77"/>
      <c r="R76" s="104"/>
      <c r="S76" s="49">
        <v>2</v>
      </c>
      <c r="T76" s="49">
        <v>1</v>
      </c>
      <c r="U76" s="50">
        <v>0</v>
      </c>
      <c r="V76" s="50">
        <v>0.160368</v>
      </c>
      <c r="W76" s="50">
        <v>0.000612</v>
      </c>
      <c r="X76" s="50">
        <v>0.004309</v>
      </c>
      <c r="Y76" s="50">
        <v>0</v>
      </c>
      <c r="Z76" s="50">
        <v>0</v>
      </c>
      <c r="AA76" s="72">
        <v>76</v>
      </c>
      <c r="AB76" s="72"/>
      <c r="AC76" s="73"/>
      <c r="AD76" s="89" t="s">
        <v>1240</v>
      </c>
      <c r="AE76" s="96" t="s">
        <v>1101</v>
      </c>
      <c r="AF76" s="89">
        <v>213</v>
      </c>
      <c r="AG76" s="89">
        <v>279357</v>
      </c>
      <c r="AH76" s="89">
        <v>265976</v>
      </c>
      <c r="AI76" s="89">
        <v>4</v>
      </c>
      <c r="AJ76" s="89"/>
      <c r="AK76" s="89" t="s">
        <v>1645</v>
      </c>
      <c r="AL76" s="89" t="s">
        <v>1140</v>
      </c>
      <c r="AM76" s="99" t="str">
        <f>HYPERLINK("https://t.co/lnluImu2zm")</f>
        <v>https://t.co/lnluImu2zm</v>
      </c>
      <c r="AN76" s="89"/>
      <c r="AO76" s="92">
        <v>39908.8569212963</v>
      </c>
      <c r="AP76" s="99" t="str">
        <f>HYPERLINK("https://pbs.twimg.com/profile_banners/29057955/1583140126")</f>
        <v>https://pbs.twimg.com/profile_banners/29057955/1583140126</v>
      </c>
      <c r="AQ76" s="89" t="b">
        <v>0</v>
      </c>
      <c r="AR76" s="89" t="b">
        <v>0</v>
      </c>
      <c r="AS76" s="89" t="b">
        <v>1</v>
      </c>
      <c r="AT76" s="89"/>
      <c r="AU76" s="89">
        <v>810</v>
      </c>
      <c r="AV76" s="99" t="str">
        <f>HYPERLINK("https://abs.twimg.com/images/themes/theme7/bg.gif")</f>
        <v>https://abs.twimg.com/images/themes/theme7/bg.gif</v>
      </c>
      <c r="AW76" s="89" t="b">
        <v>1</v>
      </c>
      <c r="AX76" s="89" t="s">
        <v>1811</v>
      </c>
      <c r="AY76" s="99" t="str">
        <f>HYPERLINK("https://twitter.com/iltasanomat")</f>
        <v>https://twitter.com/iltasanomat</v>
      </c>
      <c r="AZ76" s="89" t="s">
        <v>66</v>
      </c>
      <c r="BA76" s="89" t="str">
        <f>REPLACE(INDEX(GroupVertices[Group],MATCH(Vertices[[#This Row],[Vertex]],GroupVertices[Vertex],0)),1,1,"")</f>
        <v>3</v>
      </c>
      <c r="BB76" s="49">
        <v>0</v>
      </c>
      <c r="BC76" s="50">
        <v>0</v>
      </c>
      <c r="BD76" s="49">
        <v>0</v>
      </c>
      <c r="BE76" s="50">
        <v>0</v>
      </c>
      <c r="BF76" s="49">
        <v>0</v>
      </c>
      <c r="BG76" s="50">
        <v>0</v>
      </c>
      <c r="BH76" s="49">
        <v>15</v>
      </c>
      <c r="BI76" s="50">
        <v>100</v>
      </c>
      <c r="BJ76" s="49">
        <v>15</v>
      </c>
      <c r="BK76" s="49" t="s">
        <v>3929</v>
      </c>
      <c r="BL76" s="49" t="s">
        <v>3929</v>
      </c>
      <c r="BM76" s="49" t="s">
        <v>551</v>
      </c>
      <c r="BN76" s="49" t="s">
        <v>551</v>
      </c>
      <c r="BO76" s="49"/>
      <c r="BP76" s="49"/>
      <c r="BQ76" s="123" t="s">
        <v>4209</v>
      </c>
      <c r="BR76" s="123" t="s">
        <v>4209</v>
      </c>
      <c r="BS76" s="123" t="s">
        <v>4329</v>
      </c>
      <c r="BT76" s="123" t="s">
        <v>4329</v>
      </c>
      <c r="BU76" s="2"/>
      <c r="BV76" s="3"/>
      <c r="BW76" s="3"/>
      <c r="BX76" s="3"/>
      <c r="BY76" s="3"/>
    </row>
    <row r="77" spans="1:77" ht="15">
      <c r="A77" s="65" t="s">
        <v>266</v>
      </c>
      <c r="B77" s="66"/>
      <c r="C77" s="66" t="s">
        <v>46</v>
      </c>
      <c r="D77" s="67"/>
      <c r="E77" s="69"/>
      <c r="F77" s="111" t="str">
        <f>HYPERLINK("https://abs.twimg.com/sticky/default_profile_images/default_profile_normal.png")</f>
        <v>https://abs.twimg.com/sticky/default_profile_images/default_profile_normal.png</v>
      </c>
      <c r="G77" s="66"/>
      <c r="H77" s="70" t="s">
        <v>266</v>
      </c>
      <c r="I77" s="71" t="s">
        <v>4411</v>
      </c>
      <c r="J77" s="71" t="s">
        <v>73</v>
      </c>
      <c r="K77" s="70" t="s">
        <v>1885</v>
      </c>
      <c r="L77" s="74">
        <v>1</v>
      </c>
      <c r="M77" s="75">
        <v>5132.82421875</v>
      </c>
      <c r="N77" s="75">
        <v>8081.9296875</v>
      </c>
      <c r="O77" s="76"/>
      <c r="P77" s="77"/>
      <c r="Q77" s="77"/>
      <c r="R77" s="104"/>
      <c r="S77" s="49">
        <v>0</v>
      </c>
      <c r="T77" s="49">
        <v>2</v>
      </c>
      <c r="U77" s="50">
        <v>354</v>
      </c>
      <c r="V77" s="50">
        <v>0.201989</v>
      </c>
      <c r="W77" s="50">
        <v>0.004168</v>
      </c>
      <c r="X77" s="50">
        <v>0.004077</v>
      </c>
      <c r="Y77" s="50">
        <v>0</v>
      </c>
      <c r="Z77" s="50">
        <v>0</v>
      </c>
      <c r="AA77" s="72">
        <v>77</v>
      </c>
      <c r="AB77" s="72"/>
      <c r="AC77" s="73"/>
      <c r="AD77" s="89" t="s">
        <v>1241</v>
      </c>
      <c r="AE77" s="96" t="s">
        <v>1102</v>
      </c>
      <c r="AF77" s="89">
        <v>0</v>
      </c>
      <c r="AG77" s="89">
        <v>31</v>
      </c>
      <c r="AH77" s="89">
        <v>1996</v>
      </c>
      <c r="AI77" s="89">
        <v>2361</v>
      </c>
      <c r="AJ77" s="89"/>
      <c r="AK77" s="89" t="s">
        <v>1646</v>
      </c>
      <c r="AL77" s="89"/>
      <c r="AM77" s="89"/>
      <c r="AN77" s="89"/>
      <c r="AO77" s="92">
        <v>40843.763402777775</v>
      </c>
      <c r="AP77" s="89"/>
      <c r="AQ77" s="89" t="b">
        <v>1</v>
      </c>
      <c r="AR77" s="89" t="b">
        <v>1</v>
      </c>
      <c r="AS77" s="89" t="b">
        <v>0</v>
      </c>
      <c r="AT77" s="89"/>
      <c r="AU77" s="89">
        <v>2</v>
      </c>
      <c r="AV77" s="99" t="str">
        <f>HYPERLINK("https://abs.twimg.com/images/themes/theme1/bg.png")</f>
        <v>https://abs.twimg.com/images/themes/theme1/bg.png</v>
      </c>
      <c r="AW77" s="89" t="b">
        <v>0</v>
      </c>
      <c r="AX77" s="89" t="s">
        <v>1811</v>
      </c>
      <c r="AY77" s="99" t="str">
        <f>HYPERLINK("https://twitter.com/humandildo")</f>
        <v>https://twitter.com/humandildo</v>
      </c>
      <c r="AZ77" s="89" t="s">
        <v>66</v>
      </c>
      <c r="BA77" s="89" t="str">
        <f>REPLACE(INDEX(GroupVertices[Group],MATCH(Vertices[[#This Row],[Vertex]],GroupVertices[Vertex],0)),1,1,"")</f>
        <v>3</v>
      </c>
      <c r="BB77" s="49">
        <v>0</v>
      </c>
      <c r="BC77" s="50">
        <v>0</v>
      </c>
      <c r="BD77" s="49">
        <v>0</v>
      </c>
      <c r="BE77" s="50">
        <v>0</v>
      </c>
      <c r="BF77" s="49">
        <v>0</v>
      </c>
      <c r="BG77" s="50">
        <v>0</v>
      </c>
      <c r="BH77" s="49">
        <v>80</v>
      </c>
      <c r="BI77" s="50">
        <v>100</v>
      </c>
      <c r="BJ77" s="49">
        <v>80</v>
      </c>
      <c r="BK77" s="49"/>
      <c r="BL77" s="49"/>
      <c r="BM77" s="49"/>
      <c r="BN77" s="49"/>
      <c r="BO77" s="49" t="s">
        <v>4176</v>
      </c>
      <c r="BP77" s="49" t="s">
        <v>4176</v>
      </c>
      <c r="BQ77" s="123" t="s">
        <v>4210</v>
      </c>
      <c r="BR77" s="123" t="s">
        <v>4282</v>
      </c>
      <c r="BS77" s="123" t="s">
        <v>4330</v>
      </c>
      <c r="BT77" s="123" t="s">
        <v>4393</v>
      </c>
      <c r="BU77" s="2"/>
      <c r="BV77" s="3"/>
      <c r="BW77" s="3"/>
      <c r="BX77" s="3"/>
      <c r="BY77" s="3"/>
    </row>
    <row r="78" spans="1:77" ht="15">
      <c r="A78" s="65" t="s">
        <v>267</v>
      </c>
      <c r="B78" s="66"/>
      <c r="C78" s="66" t="s">
        <v>46</v>
      </c>
      <c r="D78" s="67"/>
      <c r="E78" s="69"/>
      <c r="F78" s="111" t="str">
        <f>HYPERLINK("https://pbs.twimg.com/profile_images/1478409671857872901/9i3zL67g_normal.jpg")</f>
        <v>https://pbs.twimg.com/profile_images/1478409671857872901/9i3zL67g_normal.jpg</v>
      </c>
      <c r="G78" s="66"/>
      <c r="H78" s="70" t="s">
        <v>267</v>
      </c>
      <c r="I78" s="71" t="s">
        <v>4408</v>
      </c>
      <c r="J78" s="71" t="s">
        <v>73</v>
      </c>
      <c r="K78" s="70" t="s">
        <v>1886</v>
      </c>
      <c r="L78" s="74">
        <v>1</v>
      </c>
      <c r="M78" s="75">
        <v>3505.577392578125</v>
      </c>
      <c r="N78" s="75">
        <v>5593.0068359375</v>
      </c>
      <c r="O78" s="76"/>
      <c r="P78" s="77"/>
      <c r="Q78" s="77"/>
      <c r="R78" s="104"/>
      <c r="S78" s="49">
        <v>0</v>
      </c>
      <c r="T78" s="49">
        <v>1</v>
      </c>
      <c r="U78" s="50">
        <v>0</v>
      </c>
      <c r="V78" s="50">
        <v>0.138728</v>
      </c>
      <c r="W78" s="50">
        <v>0.000686</v>
      </c>
      <c r="X78" s="50">
        <v>0.003933</v>
      </c>
      <c r="Y78" s="50">
        <v>0</v>
      </c>
      <c r="Z78" s="50">
        <v>0</v>
      </c>
      <c r="AA78" s="72">
        <v>78</v>
      </c>
      <c r="AB78" s="72"/>
      <c r="AC78" s="73"/>
      <c r="AD78" s="89" t="s">
        <v>1242</v>
      </c>
      <c r="AE78" s="96" t="s">
        <v>1456</v>
      </c>
      <c r="AF78" s="89">
        <v>97</v>
      </c>
      <c r="AG78" s="89">
        <v>47</v>
      </c>
      <c r="AH78" s="89">
        <v>317</v>
      </c>
      <c r="AI78" s="89">
        <v>2458</v>
      </c>
      <c r="AJ78" s="89"/>
      <c r="AK78" s="89" t="s">
        <v>1647</v>
      </c>
      <c r="AL78" s="89"/>
      <c r="AM78" s="89"/>
      <c r="AN78" s="89"/>
      <c r="AO78" s="92">
        <v>44532.64371527778</v>
      </c>
      <c r="AP78" s="99" t="str">
        <f>HYPERLINK("https://pbs.twimg.com/profile_banners/1466428545069166606/1641490940")</f>
        <v>https://pbs.twimg.com/profile_banners/1466428545069166606/1641490940</v>
      </c>
      <c r="AQ78" s="89" t="b">
        <v>1</v>
      </c>
      <c r="AR78" s="89" t="b">
        <v>0</v>
      </c>
      <c r="AS78" s="89" t="b">
        <v>0</v>
      </c>
      <c r="AT78" s="89"/>
      <c r="AU78" s="89">
        <v>1</v>
      </c>
      <c r="AV78" s="89"/>
      <c r="AW78" s="89" t="b">
        <v>0</v>
      </c>
      <c r="AX78" s="89" t="s">
        <v>1811</v>
      </c>
      <c r="AY78" s="99" t="str">
        <f>HYPERLINK("https://twitter.com/nokelainenmikko")</f>
        <v>https://twitter.com/nokelainenmikko</v>
      </c>
      <c r="AZ78" s="89" t="s">
        <v>66</v>
      </c>
      <c r="BA78" s="89" t="str">
        <f>REPLACE(INDEX(GroupVertices[Group],MATCH(Vertices[[#This Row],[Vertex]],GroupVertices[Vertex],0)),1,1,"")</f>
        <v>2</v>
      </c>
      <c r="BB78" s="49">
        <v>0</v>
      </c>
      <c r="BC78" s="50">
        <v>0</v>
      </c>
      <c r="BD78" s="49">
        <v>0</v>
      </c>
      <c r="BE78" s="50">
        <v>0</v>
      </c>
      <c r="BF78" s="49">
        <v>0</v>
      </c>
      <c r="BG78" s="50">
        <v>0</v>
      </c>
      <c r="BH78" s="49">
        <v>9</v>
      </c>
      <c r="BI78" s="50">
        <v>100</v>
      </c>
      <c r="BJ78" s="49">
        <v>9</v>
      </c>
      <c r="BK78" s="49"/>
      <c r="BL78" s="49"/>
      <c r="BM78" s="49"/>
      <c r="BN78" s="49"/>
      <c r="BO78" s="49"/>
      <c r="BP78" s="49"/>
      <c r="BQ78" s="123" t="s">
        <v>4211</v>
      </c>
      <c r="BR78" s="123" t="s">
        <v>4211</v>
      </c>
      <c r="BS78" s="123" t="s">
        <v>4331</v>
      </c>
      <c r="BT78" s="123" t="s">
        <v>4331</v>
      </c>
      <c r="BU78" s="2"/>
      <c r="BV78" s="3"/>
      <c r="BW78" s="3"/>
      <c r="BX78" s="3"/>
      <c r="BY78" s="3"/>
    </row>
    <row r="79" spans="1:77" ht="15">
      <c r="A79" s="65" t="s">
        <v>268</v>
      </c>
      <c r="B79" s="66"/>
      <c r="C79" s="66" t="s">
        <v>46</v>
      </c>
      <c r="D79" s="67">
        <v>10</v>
      </c>
      <c r="E79" s="69"/>
      <c r="F79" s="111" t="str">
        <f>HYPERLINK("https://pbs.twimg.com/profile_images/1442584193330860033/ZNktSmfO_normal.jpg")</f>
        <v>https://pbs.twimg.com/profile_images/1442584193330860033/ZNktSmfO_normal.jpg</v>
      </c>
      <c r="G79" s="66"/>
      <c r="H79" s="70" t="s">
        <v>268</v>
      </c>
      <c r="I79" s="71" t="s">
        <v>4410</v>
      </c>
      <c r="J79" s="71" t="s">
        <v>73</v>
      </c>
      <c r="K79" s="70" t="s">
        <v>1887</v>
      </c>
      <c r="L79" s="74">
        <v>200.96</v>
      </c>
      <c r="M79" s="75">
        <v>6814.34912109375</v>
      </c>
      <c r="N79" s="75">
        <v>1806.0068359375</v>
      </c>
      <c r="O79" s="76"/>
      <c r="P79" s="77"/>
      <c r="Q79" s="77"/>
      <c r="R79" s="104"/>
      <c r="S79" s="49">
        <v>1</v>
      </c>
      <c r="T79" s="49">
        <v>1</v>
      </c>
      <c r="U79" s="50">
        <v>0</v>
      </c>
      <c r="V79" s="50">
        <v>0</v>
      </c>
      <c r="W79" s="50">
        <v>0</v>
      </c>
      <c r="X79" s="50">
        <v>0.004329</v>
      </c>
      <c r="Y79" s="50">
        <v>0</v>
      </c>
      <c r="Z79" s="50">
        <v>0</v>
      </c>
      <c r="AA79" s="72">
        <v>79</v>
      </c>
      <c r="AB79" s="72"/>
      <c r="AC79" s="73"/>
      <c r="AD79" s="89" t="s">
        <v>1243</v>
      </c>
      <c r="AE79" s="96" t="s">
        <v>1457</v>
      </c>
      <c r="AF79" s="89">
        <v>55</v>
      </c>
      <c r="AG79" s="89">
        <v>24</v>
      </c>
      <c r="AH79" s="89">
        <v>32</v>
      </c>
      <c r="AI79" s="89">
        <v>11861</v>
      </c>
      <c r="AJ79" s="89"/>
      <c r="AK79" s="89" t="s">
        <v>1648</v>
      </c>
      <c r="AL79" s="89"/>
      <c r="AM79" s="89"/>
      <c r="AN79" s="89"/>
      <c r="AO79" s="92">
        <v>44072.62520833333</v>
      </c>
      <c r="AP79" s="89"/>
      <c r="AQ79" s="89" t="b">
        <v>1</v>
      </c>
      <c r="AR79" s="89" t="b">
        <v>0</v>
      </c>
      <c r="AS79" s="89" t="b">
        <v>0</v>
      </c>
      <c r="AT79" s="89"/>
      <c r="AU79" s="89">
        <v>0</v>
      </c>
      <c r="AV79" s="89"/>
      <c r="AW79" s="89" t="b">
        <v>0</v>
      </c>
      <c r="AX79" s="89" t="s">
        <v>1811</v>
      </c>
      <c r="AY79" s="99" t="str">
        <f>HYPERLINK("https://twitter.com/railistordell")</f>
        <v>https://twitter.com/railistordell</v>
      </c>
      <c r="AZ79" s="89" t="s">
        <v>66</v>
      </c>
      <c r="BA79" s="89" t="str">
        <f>REPLACE(INDEX(GroupVertices[Group],MATCH(Vertices[[#This Row],[Vertex]],GroupVertices[Vertex],0)),1,1,"")</f>
        <v>7</v>
      </c>
      <c r="BB79" s="49">
        <v>1</v>
      </c>
      <c r="BC79" s="50">
        <v>6.25</v>
      </c>
      <c r="BD79" s="49">
        <v>0</v>
      </c>
      <c r="BE79" s="50">
        <v>0</v>
      </c>
      <c r="BF79" s="49">
        <v>0</v>
      </c>
      <c r="BG79" s="50">
        <v>0</v>
      </c>
      <c r="BH79" s="49">
        <v>15</v>
      </c>
      <c r="BI79" s="50">
        <v>93.75</v>
      </c>
      <c r="BJ79" s="49">
        <v>16</v>
      </c>
      <c r="BK79" s="49"/>
      <c r="BL79" s="49"/>
      <c r="BM79" s="49"/>
      <c r="BN79" s="49"/>
      <c r="BO79" s="49"/>
      <c r="BP79" s="49"/>
      <c r="BQ79" s="123" t="s">
        <v>4212</v>
      </c>
      <c r="BR79" s="123" t="s">
        <v>4212</v>
      </c>
      <c r="BS79" s="123" t="s">
        <v>4332</v>
      </c>
      <c r="BT79" s="123" t="s">
        <v>4332</v>
      </c>
      <c r="BU79" s="2"/>
      <c r="BV79" s="3"/>
      <c r="BW79" s="3"/>
      <c r="BX79" s="3"/>
      <c r="BY79" s="3"/>
    </row>
    <row r="80" spans="1:77" ht="15">
      <c r="A80" s="65" t="s">
        <v>269</v>
      </c>
      <c r="B80" s="66"/>
      <c r="C80" s="66" t="s">
        <v>46</v>
      </c>
      <c r="D80" s="67"/>
      <c r="E80" s="69"/>
      <c r="F80" s="111" t="str">
        <f>HYPERLINK("https://abs.twimg.com/sticky/default_profile_images/default_profile_normal.png")</f>
        <v>https://abs.twimg.com/sticky/default_profile_images/default_profile_normal.png</v>
      </c>
      <c r="G80" s="66"/>
      <c r="H80" s="70" t="s">
        <v>269</v>
      </c>
      <c r="I80" s="71" t="s">
        <v>4411</v>
      </c>
      <c r="J80" s="71" t="s">
        <v>73</v>
      </c>
      <c r="K80" s="70" t="s">
        <v>1888</v>
      </c>
      <c r="L80" s="74">
        <v>1</v>
      </c>
      <c r="M80" s="75">
        <v>5453.0859375</v>
      </c>
      <c r="N80" s="75">
        <v>8896.76953125</v>
      </c>
      <c r="O80" s="76"/>
      <c r="P80" s="77"/>
      <c r="Q80" s="77"/>
      <c r="R80" s="104"/>
      <c r="S80" s="49">
        <v>0</v>
      </c>
      <c r="T80" s="49">
        <v>1</v>
      </c>
      <c r="U80" s="50">
        <v>0</v>
      </c>
      <c r="V80" s="50">
        <v>0.201398</v>
      </c>
      <c r="W80" s="50">
        <v>0.004089</v>
      </c>
      <c r="X80" s="50">
        <v>0.003753</v>
      </c>
      <c r="Y80" s="50">
        <v>0</v>
      </c>
      <c r="Z80" s="50">
        <v>0</v>
      </c>
      <c r="AA80" s="72">
        <v>80</v>
      </c>
      <c r="AB80" s="72"/>
      <c r="AC80" s="73"/>
      <c r="AD80" s="89" t="s">
        <v>1244</v>
      </c>
      <c r="AE80" s="96" t="s">
        <v>1458</v>
      </c>
      <c r="AF80" s="89">
        <v>32</v>
      </c>
      <c r="AG80" s="89">
        <v>10</v>
      </c>
      <c r="AH80" s="89">
        <v>1706</v>
      </c>
      <c r="AI80" s="89">
        <v>182</v>
      </c>
      <c r="AJ80" s="89"/>
      <c r="AK80" s="89"/>
      <c r="AL80" s="89" t="s">
        <v>1779</v>
      </c>
      <c r="AM80" s="89"/>
      <c r="AN80" s="89"/>
      <c r="AO80" s="92">
        <v>43595.47961805556</v>
      </c>
      <c r="AP80" s="89"/>
      <c r="AQ80" s="89" t="b">
        <v>1</v>
      </c>
      <c r="AR80" s="89" t="b">
        <v>1</v>
      </c>
      <c r="AS80" s="89" t="b">
        <v>0</v>
      </c>
      <c r="AT80" s="89"/>
      <c r="AU80" s="89">
        <v>0</v>
      </c>
      <c r="AV80" s="89"/>
      <c r="AW80" s="89" t="b">
        <v>0</v>
      </c>
      <c r="AX80" s="89" t="s">
        <v>1811</v>
      </c>
      <c r="AY80" s="99" t="str">
        <f>HYPERLINK("https://twitter.com/jannejuhani1")</f>
        <v>https://twitter.com/jannejuhani1</v>
      </c>
      <c r="AZ80" s="89" t="s">
        <v>66</v>
      </c>
      <c r="BA80" s="89" t="str">
        <f>REPLACE(INDEX(GroupVertices[Group],MATCH(Vertices[[#This Row],[Vertex]],GroupVertices[Vertex],0)),1,1,"")</f>
        <v>3</v>
      </c>
      <c r="BB80" s="49">
        <v>0</v>
      </c>
      <c r="BC80" s="50">
        <v>0</v>
      </c>
      <c r="BD80" s="49">
        <v>0</v>
      </c>
      <c r="BE80" s="50">
        <v>0</v>
      </c>
      <c r="BF80" s="49">
        <v>0</v>
      </c>
      <c r="BG80" s="50">
        <v>0</v>
      </c>
      <c r="BH80" s="49">
        <v>9</v>
      </c>
      <c r="BI80" s="50">
        <v>100</v>
      </c>
      <c r="BJ80" s="49">
        <v>9</v>
      </c>
      <c r="BK80" s="49"/>
      <c r="BL80" s="49"/>
      <c r="BM80" s="49"/>
      <c r="BN80" s="49"/>
      <c r="BO80" s="49"/>
      <c r="BP80" s="49"/>
      <c r="BQ80" s="123" t="s">
        <v>4213</v>
      </c>
      <c r="BR80" s="123" t="s">
        <v>4213</v>
      </c>
      <c r="BS80" s="123" t="s">
        <v>4333</v>
      </c>
      <c r="BT80" s="123" t="s">
        <v>4333</v>
      </c>
      <c r="BU80" s="2"/>
      <c r="BV80" s="3"/>
      <c r="BW80" s="3"/>
      <c r="BX80" s="3"/>
      <c r="BY80" s="3"/>
    </row>
    <row r="81" spans="1:77" ht="15">
      <c r="A81" s="65" t="s">
        <v>270</v>
      </c>
      <c r="B81" s="66"/>
      <c r="C81" s="66" t="s">
        <v>46</v>
      </c>
      <c r="D81" s="67"/>
      <c r="E81" s="69"/>
      <c r="F81" s="111" t="str">
        <f>HYPERLINK("https://pbs.twimg.com/profile_images/1469228849963712515/HCtD1szP_normal.jpg")</f>
        <v>https://pbs.twimg.com/profile_images/1469228849963712515/HCtD1szP_normal.jpg</v>
      </c>
      <c r="G81" s="66"/>
      <c r="H81" s="70" t="s">
        <v>270</v>
      </c>
      <c r="I81" s="71" t="s">
        <v>4411</v>
      </c>
      <c r="J81" s="71" t="s">
        <v>73</v>
      </c>
      <c r="K81" s="70" t="s">
        <v>1889</v>
      </c>
      <c r="L81" s="74">
        <v>1</v>
      </c>
      <c r="M81" s="75">
        <v>5830.97119140625</v>
      </c>
      <c r="N81" s="75">
        <v>6108.6904296875</v>
      </c>
      <c r="O81" s="76"/>
      <c r="P81" s="77"/>
      <c r="Q81" s="77"/>
      <c r="R81" s="104"/>
      <c r="S81" s="49">
        <v>0</v>
      </c>
      <c r="T81" s="49">
        <v>5</v>
      </c>
      <c r="U81" s="50">
        <v>1229</v>
      </c>
      <c r="V81" s="50">
        <v>0.203782</v>
      </c>
      <c r="W81" s="50">
        <v>0.004462</v>
      </c>
      <c r="X81" s="50">
        <v>0.00553</v>
      </c>
      <c r="Y81" s="50">
        <v>0</v>
      </c>
      <c r="Z81" s="50">
        <v>0</v>
      </c>
      <c r="AA81" s="72">
        <v>81</v>
      </c>
      <c r="AB81" s="72"/>
      <c r="AC81" s="73"/>
      <c r="AD81" s="89" t="s">
        <v>1245</v>
      </c>
      <c r="AE81" s="96" t="s">
        <v>1459</v>
      </c>
      <c r="AF81" s="89">
        <v>72</v>
      </c>
      <c r="AG81" s="89">
        <v>26</v>
      </c>
      <c r="AH81" s="89">
        <v>194</v>
      </c>
      <c r="AI81" s="89">
        <v>2087</v>
      </c>
      <c r="AJ81" s="89"/>
      <c r="AK81" s="89"/>
      <c r="AL81" s="89"/>
      <c r="AM81" s="89"/>
      <c r="AN81" s="89"/>
      <c r="AO81" s="92">
        <v>44540.37050925926</v>
      </c>
      <c r="AP81" s="89"/>
      <c r="AQ81" s="89" t="b">
        <v>1</v>
      </c>
      <c r="AR81" s="89" t="b">
        <v>0</v>
      </c>
      <c r="AS81" s="89" t="b">
        <v>0</v>
      </c>
      <c r="AT81" s="89"/>
      <c r="AU81" s="89">
        <v>1</v>
      </c>
      <c r="AV81" s="89"/>
      <c r="AW81" s="89" t="b">
        <v>0</v>
      </c>
      <c r="AX81" s="89" t="s">
        <v>1811</v>
      </c>
      <c r="AY81" s="99" t="str">
        <f>HYPERLINK("https://twitter.com/janinadarc7")</f>
        <v>https://twitter.com/janinadarc7</v>
      </c>
      <c r="AZ81" s="89" t="s">
        <v>66</v>
      </c>
      <c r="BA81" s="89" t="str">
        <f>REPLACE(INDEX(GroupVertices[Group],MATCH(Vertices[[#This Row],[Vertex]],GroupVertices[Vertex],0)),1,1,"")</f>
        <v>3</v>
      </c>
      <c r="BB81" s="49">
        <v>0</v>
      </c>
      <c r="BC81" s="50">
        <v>0</v>
      </c>
      <c r="BD81" s="49">
        <v>0</v>
      </c>
      <c r="BE81" s="50">
        <v>0</v>
      </c>
      <c r="BF81" s="49">
        <v>0</v>
      </c>
      <c r="BG81" s="50">
        <v>0</v>
      </c>
      <c r="BH81" s="49">
        <v>35</v>
      </c>
      <c r="BI81" s="50">
        <v>100</v>
      </c>
      <c r="BJ81" s="49">
        <v>35</v>
      </c>
      <c r="BK81" s="49"/>
      <c r="BL81" s="49"/>
      <c r="BM81" s="49"/>
      <c r="BN81" s="49"/>
      <c r="BO81" s="49"/>
      <c r="BP81" s="49"/>
      <c r="BQ81" s="123" t="s">
        <v>4214</v>
      </c>
      <c r="BR81" s="123" t="s">
        <v>4214</v>
      </c>
      <c r="BS81" s="123" t="s">
        <v>4334</v>
      </c>
      <c r="BT81" s="123" t="s">
        <v>4334</v>
      </c>
      <c r="BU81" s="2"/>
      <c r="BV81" s="3"/>
      <c r="BW81" s="3"/>
      <c r="BX81" s="3"/>
      <c r="BY81" s="3"/>
    </row>
    <row r="82" spans="1:77" ht="15">
      <c r="A82" s="65" t="s">
        <v>425</v>
      </c>
      <c r="B82" s="66"/>
      <c r="C82" s="66" t="s">
        <v>46</v>
      </c>
      <c r="D82" s="67">
        <v>10</v>
      </c>
      <c r="E82" s="69"/>
      <c r="F82" s="111" t="str">
        <f>HYPERLINK("https://pbs.twimg.com/profile_images/1473613000636575746/88-a3naM_normal.jpg")</f>
        <v>https://pbs.twimg.com/profile_images/1473613000636575746/88-a3naM_normal.jpg</v>
      </c>
      <c r="G82" s="66"/>
      <c r="H82" s="70" t="s">
        <v>425</v>
      </c>
      <c r="I82" s="71" t="s">
        <v>4411</v>
      </c>
      <c r="J82" s="71" t="s">
        <v>75</v>
      </c>
      <c r="K82" s="70" t="s">
        <v>1890</v>
      </c>
      <c r="L82" s="74">
        <v>200.96</v>
      </c>
      <c r="M82" s="75">
        <v>5204.6689453125</v>
      </c>
      <c r="N82" s="75">
        <v>6165.91796875</v>
      </c>
      <c r="O82" s="76"/>
      <c r="P82" s="77"/>
      <c r="Q82" s="77"/>
      <c r="R82" s="104"/>
      <c r="S82" s="49">
        <v>1</v>
      </c>
      <c r="T82" s="49">
        <v>0</v>
      </c>
      <c r="U82" s="50">
        <v>0</v>
      </c>
      <c r="V82" s="50">
        <v>0.161497</v>
      </c>
      <c r="W82" s="50">
        <v>0.000571</v>
      </c>
      <c r="X82" s="50">
        <v>0.003846</v>
      </c>
      <c r="Y82" s="50">
        <v>0</v>
      </c>
      <c r="Z82" s="50">
        <v>0</v>
      </c>
      <c r="AA82" s="72">
        <v>82</v>
      </c>
      <c r="AB82" s="72"/>
      <c r="AC82" s="73"/>
      <c r="AD82" s="89" t="s">
        <v>1246</v>
      </c>
      <c r="AE82" s="96" t="s">
        <v>1460</v>
      </c>
      <c r="AF82" s="89">
        <v>43</v>
      </c>
      <c r="AG82" s="89">
        <v>4928</v>
      </c>
      <c r="AH82" s="89">
        <v>1902</v>
      </c>
      <c r="AI82" s="89">
        <v>2153</v>
      </c>
      <c r="AJ82" s="89"/>
      <c r="AK82" s="89" t="s">
        <v>1649</v>
      </c>
      <c r="AL82" s="89"/>
      <c r="AM82" s="99" t="str">
        <f>HYPERLINK("https://t.co/AJOdmtI55V")</f>
        <v>https://t.co/AJOdmtI55V</v>
      </c>
      <c r="AN82" s="89"/>
      <c r="AO82" s="92">
        <v>44360.62961805556</v>
      </c>
      <c r="AP82" s="99" t="str">
        <f>HYPERLINK("https://pbs.twimg.com/profile_banners/1404092809808912387/1636021732")</f>
        <v>https://pbs.twimg.com/profile_banners/1404092809808912387/1636021732</v>
      </c>
      <c r="AQ82" s="89" t="b">
        <v>1</v>
      </c>
      <c r="AR82" s="89" t="b">
        <v>0</v>
      </c>
      <c r="AS82" s="89" t="b">
        <v>0</v>
      </c>
      <c r="AT82" s="89"/>
      <c r="AU82" s="89">
        <v>0</v>
      </c>
      <c r="AV82" s="89"/>
      <c r="AW82" s="89" t="b">
        <v>0</v>
      </c>
      <c r="AX82" s="89" t="s">
        <v>1811</v>
      </c>
      <c r="AY82" s="99" t="str">
        <f>HYPERLINK("https://twitter.com/ipiikki")</f>
        <v>https://twitter.com/ipiikki</v>
      </c>
      <c r="AZ82" s="89" t="s">
        <v>65</v>
      </c>
      <c r="BA82" s="89"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426</v>
      </c>
      <c r="B83" s="66"/>
      <c r="C83" s="66" t="s">
        <v>46</v>
      </c>
      <c r="D83" s="67">
        <v>10</v>
      </c>
      <c r="E83" s="69"/>
      <c r="F83" s="111" t="str">
        <f>HYPERLINK("https://abs.twimg.com/sticky/default_profile_images/default_profile_normal.png")</f>
        <v>https://abs.twimg.com/sticky/default_profile_images/default_profile_normal.png</v>
      </c>
      <c r="G83" s="66"/>
      <c r="H83" s="70" t="s">
        <v>426</v>
      </c>
      <c r="I83" s="71" t="s">
        <v>4411</v>
      </c>
      <c r="J83" s="71" t="s">
        <v>75</v>
      </c>
      <c r="K83" s="70" t="s">
        <v>1891</v>
      </c>
      <c r="L83" s="74">
        <v>200.96</v>
      </c>
      <c r="M83" s="75">
        <v>6502.0078125</v>
      </c>
      <c r="N83" s="75">
        <v>5628.9931640625</v>
      </c>
      <c r="O83" s="76"/>
      <c r="P83" s="77"/>
      <c r="Q83" s="77"/>
      <c r="R83" s="104"/>
      <c r="S83" s="49">
        <v>1</v>
      </c>
      <c r="T83" s="49">
        <v>0</v>
      </c>
      <c r="U83" s="50">
        <v>0</v>
      </c>
      <c r="V83" s="50">
        <v>0.161497</v>
      </c>
      <c r="W83" s="50">
        <v>0.000571</v>
      </c>
      <c r="X83" s="50">
        <v>0.003846</v>
      </c>
      <c r="Y83" s="50">
        <v>0</v>
      </c>
      <c r="Z83" s="50">
        <v>0</v>
      </c>
      <c r="AA83" s="72">
        <v>83</v>
      </c>
      <c r="AB83" s="72"/>
      <c r="AC83" s="73"/>
      <c r="AD83" s="89" t="s">
        <v>1247</v>
      </c>
      <c r="AE83" s="96" t="s">
        <v>1103</v>
      </c>
      <c r="AF83" s="89">
        <v>376</v>
      </c>
      <c r="AG83" s="89">
        <v>275</v>
      </c>
      <c r="AH83" s="89">
        <v>5069</v>
      </c>
      <c r="AI83" s="89">
        <v>10785</v>
      </c>
      <c r="AJ83" s="89"/>
      <c r="AK83" s="89"/>
      <c r="AL83" s="89"/>
      <c r="AM83" s="89"/>
      <c r="AN83" s="89"/>
      <c r="AO83" s="92">
        <v>44404.43712962963</v>
      </c>
      <c r="AP83" s="89"/>
      <c r="AQ83" s="89" t="b">
        <v>1</v>
      </c>
      <c r="AR83" s="89" t="b">
        <v>1</v>
      </c>
      <c r="AS83" s="89" t="b">
        <v>0</v>
      </c>
      <c r="AT83" s="89"/>
      <c r="AU83" s="89">
        <v>0</v>
      </c>
      <c r="AV83" s="89"/>
      <c r="AW83" s="89" t="b">
        <v>0</v>
      </c>
      <c r="AX83" s="89" t="s">
        <v>1811</v>
      </c>
      <c r="AY83" s="99" t="str">
        <f>HYPERLINK("https://twitter.com/tk6379055")</f>
        <v>https://twitter.com/tk6379055</v>
      </c>
      <c r="AZ83" s="89" t="s">
        <v>65</v>
      </c>
      <c r="BA83" s="89"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271</v>
      </c>
      <c r="B84" s="66"/>
      <c r="C84" s="66" t="s">
        <v>64</v>
      </c>
      <c r="D84" s="67">
        <v>322.3102280178714</v>
      </c>
      <c r="E84" s="69"/>
      <c r="F84" s="111" t="str">
        <f>HYPERLINK("https://pbs.twimg.com/profile_images/1331636457275084801/Dc8uQQVW_normal.jpg")</f>
        <v>https://pbs.twimg.com/profile_images/1331636457275084801/Dc8uQQVW_normal.jpg</v>
      </c>
      <c r="G84" s="66"/>
      <c r="H84" s="70" t="s">
        <v>271</v>
      </c>
      <c r="I84" s="71" t="s">
        <v>4411</v>
      </c>
      <c r="J84" s="71" t="s">
        <v>73</v>
      </c>
      <c r="K84" s="70" t="s">
        <v>1892</v>
      </c>
      <c r="L84" s="74">
        <v>400.92</v>
      </c>
      <c r="M84" s="75">
        <v>5675.02783203125</v>
      </c>
      <c r="N84" s="75">
        <v>5034.6259765625</v>
      </c>
      <c r="O84" s="76"/>
      <c r="P84" s="77"/>
      <c r="Q84" s="77"/>
      <c r="R84" s="104"/>
      <c r="S84" s="49">
        <v>2</v>
      </c>
      <c r="T84" s="49">
        <v>1</v>
      </c>
      <c r="U84" s="50">
        <v>0</v>
      </c>
      <c r="V84" s="50">
        <v>0.161497</v>
      </c>
      <c r="W84" s="50">
        <v>0.000655</v>
      </c>
      <c r="X84" s="50">
        <v>0.004157</v>
      </c>
      <c r="Y84" s="50">
        <v>0</v>
      </c>
      <c r="Z84" s="50">
        <v>0</v>
      </c>
      <c r="AA84" s="72">
        <v>84</v>
      </c>
      <c r="AB84" s="72"/>
      <c r="AC84" s="73"/>
      <c r="AD84" s="89" t="s">
        <v>1248</v>
      </c>
      <c r="AE84" s="96" t="s">
        <v>1104</v>
      </c>
      <c r="AF84" s="89">
        <v>308</v>
      </c>
      <c r="AG84" s="89">
        <v>4833</v>
      </c>
      <c r="AH84" s="89">
        <v>3310</v>
      </c>
      <c r="AI84" s="89">
        <v>26325</v>
      </c>
      <c r="AJ84" s="89"/>
      <c r="AK84" s="89" t="s">
        <v>1650</v>
      </c>
      <c r="AL84" s="89" t="s">
        <v>1769</v>
      </c>
      <c r="AM84" s="99" t="str">
        <f>HYPERLINK("https://t.co/uA1z3mVYdi")</f>
        <v>https://t.co/uA1z3mVYdi</v>
      </c>
      <c r="AN84" s="89"/>
      <c r="AO84" s="92">
        <v>41808.479155092595</v>
      </c>
      <c r="AP84" s="99" t="str">
        <f>HYPERLINK("https://pbs.twimg.com/profile_banners/2574680077/1606321848")</f>
        <v>https://pbs.twimg.com/profile_banners/2574680077/1606321848</v>
      </c>
      <c r="AQ84" s="89" t="b">
        <v>1</v>
      </c>
      <c r="AR84" s="89" t="b">
        <v>0</v>
      </c>
      <c r="AS84" s="89" t="b">
        <v>1</v>
      </c>
      <c r="AT84" s="89"/>
      <c r="AU84" s="89">
        <v>4</v>
      </c>
      <c r="AV84" s="99" t="str">
        <f>HYPERLINK("https://abs.twimg.com/images/themes/theme1/bg.png")</f>
        <v>https://abs.twimg.com/images/themes/theme1/bg.png</v>
      </c>
      <c r="AW84" s="89" t="b">
        <v>0</v>
      </c>
      <c r="AX84" s="89" t="s">
        <v>1811</v>
      </c>
      <c r="AY84" s="99" t="str">
        <f>HYPERLINK("https://twitter.com/olliposti")</f>
        <v>https://twitter.com/olliposti</v>
      </c>
      <c r="AZ84" s="89" t="s">
        <v>66</v>
      </c>
      <c r="BA84" s="89" t="str">
        <f>REPLACE(INDEX(GroupVertices[Group],MATCH(Vertices[[#This Row],[Vertex]],GroupVertices[Vertex],0)),1,1,"")</f>
        <v>3</v>
      </c>
      <c r="BB84" s="49">
        <v>0</v>
      </c>
      <c r="BC84" s="50">
        <v>0</v>
      </c>
      <c r="BD84" s="49">
        <v>0</v>
      </c>
      <c r="BE84" s="50">
        <v>0</v>
      </c>
      <c r="BF84" s="49">
        <v>0</v>
      </c>
      <c r="BG84" s="50">
        <v>0</v>
      </c>
      <c r="BH84" s="49">
        <v>21</v>
      </c>
      <c r="BI84" s="50">
        <v>100</v>
      </c>
      <c r="BJ84" s="49">
        <v>21</v>
      </c>
      <c r="BK84" s="49" t="s">
        <v>3922</v>
      </c>
      <c r="BL84" s="49" t="s">
        <v>3922</v>
      </c>
      <c r="BM84" s="49" t="s">
        <v>548</v>
      </c>
      <c r="BN84" s="49" t="s">
        <v>548</v>
      </c>
      <c r="BO84" s="49" t="s">
        <v>562</v>
      </c>
      <c r="BP84" s="49" t="s">
        <v>562</v>
      </c>
      <c r="BQ84" s="123" t="s">
        <v>4215</v>
      </c>
      <c r="BR84" s="123" t="s">
        <v>4215</v>
      </c>
      <c r="BS84" s="123" t="s">
        <v>4335</v>
      </c>
      <c r="BT84" s="123" t="s">
        <v>4335</v>
      </c>
      <c r="BU84" s="2"/>
      <c r="BV84" s="3"/>
      <c r="BW84" s="3"/>
      <c r="BX84" s="3"/>
      <c r="BY84" s="3"/>
    </row>
    <row r="85" spans="1:77" ht="15">
      <c r="A85" s="65" t="s">
        <v>427</v>
      </c>
      <c r="B85" s="66"/>
      <c r="C85" s="66" t="s">
        <v>64</v>
      </c>
      <c r="D85" s="67">
        <v>322.3102280178714</v>
      </c>
      <c r="E85" s="69"/>
      <c r="F85" s="111" t="str">
        <f>HYPERLINK("https://pbs.twimg.com/profile_images/1239847940589576196/xpX7Ia_m_normal.jpg")</f>
        <v>https://pbs.twimg.com/profile_images/1239847940589576196/xpX7Ia_m_normal.jpg</v>
      </c>
      <c r="G85" s="66"/>
      <c r="H85" s="70" t="s">
        <v>427</v>
      </c>
      <c r="I85" s="71" t="s">
        <v>4411</v>
      </c>
      <c r="J85" s="71" t="s">
        <v>75</v>
      </c>
      <c r="K85" s="70" t="s">
        <v>1893</v>
      </c>
      <c r="L85" s="74">
        <v>400.92</v>
      </c>
      <c r="M85" s="75">
        <v>6370.19482421875</v>
      </c>
      <c r="N85" s="75">
        <v>6298.0224609375</v>
      </c>
      <c r="O85" s="76"/>
      <c r="P85" s="77"/>
      <c r="Q85" s="77"/>
      <c r="R85" s="104"/>
      <c r="S85" s="49">
        <v>2</v>
      </c>
      <c r="T85" s="49">
        <v>0</v>
      </c>
      <c r="U85" s="50">
        <v>4</v>
      </c>
      <c r="V85" s="50">
        <v>0.161876</v>
      </c>
      <c r="W85" s="50">
        <v>0.001112</v>
      </c>
      <c r="X85" s="50">
        <v>0.00415</v>
      </c>
      <c r="Y85" s="50">
        <v>0</v>
      </c>
      <c r="Z85" s="50">
        <v>0</v>
      </c>
      <c r="AA85" s="72">
        <v>85</v>
      </c>
      <c r="AB85" s="72"/>
      <c r="AC85" s="73"/>
      <c r="AD85" s="89" t="s">
        <v>1249</v>
      </c>
      <c r="AE85" s="96" t="s">
        <v>1461</v>
      </c>
      <c r="AF85" s="89">
        <v>1401</v>
      </c>
      <c r="AG85" s="89">
        <v>79089</v>
      </c>
      <c r="AH85" s="89">
        <v>3548</v>
      </c>
      <c r="AI85" s="89">
        <v>5175</v>
      </c>
      <c r="AJ85" s="89"/>
      <c r="AK85" s="89" t="s">
        <v>1651</v>
      </c>
      <c r="AL85" s="89" t="s">
        <v>1780</v>
      </c>
      <c r="AM85" s="99" t="str">
        <f>HYPERLINK("https://t.co/XOwvVgPdyf")</f>
        <v>https://t.co/XOwvVgPdyf</v>
      </c>
      <c r="AN85" s="89"/>
      <c r="AO85" s="92">
        <v>41373.585648148146</v>
      </c>
      <c r="AP85" s="99" t="str">
        <f>HYPERLINK("https://pbs.twimg.com/profile_banners/1339265868/1611397491")</f>
        <v>https://pbs.twimg.com/profile_banners/1339265868/1611397491</v>
      </c>
      <c r="AQ85" s="89" t="b">
        <v>1</v>
      </c>
      <c r="AR85" s="89" t="b">
        <v>0</v>
      </c>
      <c r="AS85" s="89" t="b">
        <v>1</v>
      </c>
      <c r="AT85" s="89"/>
      <c r="AU85" s="89">
        <v>265</v>
      </c>
      <c r="AV85" s="99" t="str">
        <f>HYPERLINK("https://abs.twimg.com/images/themes/theme1/bg.png")</f>
        <v>https://abs.twimg.com/images/themes/theme1/bg.png</v>
      </c>
      <c r="AW85" s="89" t="b">
        <v>1</v>
      </c>
      <c r="AX85" s="89" t="s">
        <v>1811</v>
      </c>
      <c r="AY85" s="99" t="str">
        <f>HYPERLINK("https://twitter.com/petteriorpo")</f>
        <v>https://twitter.com/petteriorpo</v>
      </c>
      <c r="AZ85" s="89" t="s">
        <v>65</v>
      </c>
      <c r="BA85" s="89"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272</v>
      </c>
      <c r="B86" s="66"/>
      <c r="C86" s="66" t="s">
        <v>46</v>
      </c>
      <c r="D86" s="67"/>
      <c r="E86" s="69"/>
      <c r="F86" s="111" t="str">
        <f>HYPERLINK("https://pbs.twimg.com/profile_images/1230669364971610112/Km_WlxYr_normal.jpg")</f>
        <v>https://pbs.twimg.com/profile_images/1230669364971610112/Km_WlxYr_normal.jpg</v>
      </c>
      <c r="G86" s="66"/>
      <c r="H86" s="70" t="s">
        <v>272</v>
      </c>
      <c r="I86" s="71" t="s">
        <v>4408</v>
      </c>
      <c r="J86" s="71" t="s">
        <v>73</v>
      </c>
      <c r="K86" s="70" t="s">
        <v>1894</v>
      </c>
      <c r="L86" s="74">
        <v>1</v>
      </c>
      <c r="M86" s="75">
        <v>2447.007080078125</v>
      </c>
      <c r="N86" s="75">
        <v>7298.88037109375</v>
      </c>
      <c r="O86" s="76"/>
      <c r="P86" s="77"/>
      <c r="Q86" s="77"/>
      <c r="R86" s="104"/>
      <c r="S86" s="49">
        <v>0</v>
      </c>
      <c r="T86" s="49">
        <v>3</v>
      </c>
      <c r="U86" s="50">
        <v>1050</v>
      </c>
      <c r="V86" s="50">
        <v>0.21424</v>
      </c>
      <c r="W86" s="50">
        <v>0.040498</v>
      </c>
      <c r="X86" s="50">
        <v>0.004134</v>
      </c>
      <c r="Y86" s="50">
        <v>0.16666666666666666</v>
      </c>
      <c r="Z86" s="50">
        <v>0</v>
      </c>
      <c r="AA86" s="72">
        <v>86</v>
      </c>
      <c r="AB86" s="72"/>
      <c r="AC86" s="73"/>
      <c r="AD86" s="89" t="s">
        <v>1250</v>
      </c>
      <c r="AE86" s="96" t="s">
        <v>1462</v>
      </c>
      <c r="AF86" s="89">
        <v>1905</v>
      </c>
      <c r="AG86" s="89">
        <v>356</v>
      </c>
      <c r="AH86" s="89">
        <v>2615</v>
      </c>
      <c r="AI86" s="89">
        <v>4803</v>
      </c>
      <c r="AJ86" s="89"/>
      <c r="AK86" s="89" t="s">
        <v>1652</v>
      </c>
      <c r="AL86" s="89" t="s">
        <v>1781</v>
      </c>
      <c r="AM86" s="99" t="str">
        <f>HYPERLINK("https://t.co/cu0JFWpEyT")</f>
        <v>https://t.co/cu0JFWpEyT</v>
      </c>
      <c r="AN86" s="89"/>
      <c r="AO86" s="92">
        <v>41518.09490740741</v>
      </c>
      <c r="AP86" s="99" t="str">
        <f>HYPERLINK("https://pbs.twimg.com/profile_banners/1717386762/1638921614")</f>
        <v>https://pbs.twimg.com/profile_banners/1717386762/1638921614</v>
      </c>
      <c r="AQ86" s="89" t="b">
        <v>1</v>
      </c>
      <c r="AR86" s="89" t="b">
        <v>0</v>
      </c>
      <c r="AS86" s="89" t="b">
        <v>1</v>
      </c>
      <c r="AT86" s="89"/>
      <c r="AU86" s="89">
        <v>2</v>
      </c>
      <c r="AV86" s="99" t="str">
        <f>HYPERLINK("https://abs.twimg.com/images/themes/theme1/bg.png")</f>
        <v>https://abs.twimg.com/images/themes/theme1/bg.png</v>
      </c>
      <c r="AW86" s="89" t="b">
        <v>0</v>
      </c>
      <c r="AX86" s="89" t="s">
        <v>1811</v>
      </c>
      <c r="AY86" s="99" t="str">
        <f>HYPERLINK("https://twitter.com/tommisiniluoto")</f>
        <v>https://twitter.com/tommisiniluoto</v>
      </c>
      <c r="AZ86" s="89" t="s">
        <v>66</v>
      </c>
      <c r="BA86" s="89" t="str">
        <f>REPLACE(INDEX(GroupVertices[Group],MATCH(Vertices[[#This Row],[Vertex]],GroupVertices[Vertex],0)),1,1,"")</f>
        <v>2</v>
      </c>
      <c r="BB86" s="49">
        <v>0</v>
      </c>
      <c r="BC86" s="50">
        <v>0</v>
      </c>
      <c r="BD86" s="49">
        <v>0</v>
      </c>
      <c r="BE86" s="50">
        <v>0</v>
      </c>
      <c r="BF86" s="49">
        <v>0</v>
      </c>
      <c r="BG86" s="50">
        <v>0</v>
      </c>
      <c r="BH86" s="49">
        <v>44</v>
      </c>
      <c r="BI86" s="50">
        <v>100</v>
      </c>
      <c r="BJ86" s="49">
        <v>44</v>
      </c>
      <c r="BK86" s="49"/>
      <c r="BL86" s="49"/>
      <c r="BM86" s="49"/>
      <c r="BN86" s="49"/>
      <c r="BO86" s="49" t="s">
        <v>556</v>
      </c>
      <c r="BP86" s="49" t="s">
        <v>556</v>
      </c>
      <c r="BQ86" s="123" t="s">
        <v>4199</v>
      </c>
      <c r="BR86" s="123" t="s">
        <v>4199</v>
      </c>
      <c r="BS86" s="123" t="s">
        <v>4319</v>
      </c>
      <c r="BT86" s="123" t="s">
        <v>4319</v>
      </c>
      <c r="BU86" s="2"/>
      <c r="BV86" s="3"/>
      <c r="BW86" s="3"/>
      <c r="BX86" s="3"/>
      <c r="BY86" s="3"/>
    </row>
    <row r="87" spans="1:77" ht="15">
      <c r="A87" s="65" t="s">
        <v>333</v>
      </c>
      <c r="B87" s="66"/>
      <c r="C87" s="66" t="s">
        <v>64</v>
      </c>
      <c r="D87" s="67">
        <v>322.3102280178714</v>
      </c>
      <c r="E87" s="69"/>
      <c r="F87" s="111" t="str">
        <f>HYPERLINK("https://pbs.twimg.com/profile_images/1292208545149136905/qWlUdwFE_normal.jpg")</f>
        <v>https://pbs.twimg.com/profile_images/1292208545149136905/qWlUdwFE_normal.jpg</v>
      </c>
      <c r="G87" s="66"/>
      <c r="H87" s="70" t="s">
        <v>333</v>
      </c>
      <c r="I87" s="71" t="s">
        <v>4407</v>
      </c>
      <c r="J87" s="71" t="s">
        <v>73</v>
      </c>
      <c r="K87" s="70" t="s">
        <v>1895</v>
      </c>
      <c r="L87" s="74">
        <v>400.92</v>
      </c>
      <c r="M87" s="75">
        <v>9016.5322265625</v>
      </c>
      <c r="N87" s="75">
        <v>8696.0595703125</v>
      </c>
      <c r="O87" s="76"/>
      <c r="P87" s="77"/>
      <c r="Q87" s="77"/>
      <c r="R87" s="104"/>
      <c r="S87" s="49">
        <v>2</v>
      </c>
      <c r="T87" s="49">
        <v>2</v>
      </c>
      <c r="U87" s="50">
        <v>1572.074181</v>
      </c>
      <c r="V87" s="50">
        <v>0.25184</v>
      </c>
      <c r="W87" s="50">
        <v>0.10112</v>
      </c>
      <c r="X87" s="50">
        <v>0.004565</v>
      </c>
      <c r="Y87" s="50">
        <v>0</v>
      </c>
      <c r="Z87" s="50">
        <v>0</v>
      </c>
      <c r="AA87" s="72">
        <v>87</v>
      </c>
      <c r="AB87" s="72"/>
      <c r="AC87" s="73"/>
      <c r="AD87" s="89" t="s">
        <v>1251</v>
      </c>
      <c r="AE87" s="96" t="s">
        <v>1106</v>
      </c>
      <c r="AF87" s="89">
        <v>823</v>
      </c>
      <c r="AG87" s="89">
        <v>449</v>
      </c>
      <c r="AH87" s="89">
        <v>7289</v>
      </c>
      <c r="AI87" s="89">
        <v>11360</v>
      </c>
      <c r="AJ87" s="89"/>
      <c r="AK87" s="89" t="s">
        <v>1653</v>
      </c>
      <c r="AL87" s="89"/>
      <c r="AM87" s="89"/>
      <c r="AN87" s="89"/>
      <c r="AO87" s="92">
        <v>44051.88753472222</v>
      </c>
      <c r="AP87" s="99" t="str">
        <f>HYPERLINK("https://pbs.twimg.com/profile_banners/1292208426819506176/1615219269")</f>
        <v>https://pbs.twimg.com/profile_banners/1292208426819506176/1615219269</v>
      </c>
      <c r="AQ87" s="89" t="b">
        <v>1</v>
      </c>
      <c r="AR87" s="89" t="b">
        <v>0</v>
      </c>
      <c r="AS87" s="89" t="b">
        <v>0</v>
      </c>
      <c r="AT87" s="89"/>
      <c r="AU87" s="89">
        <v>2</v>
      </c>
      <c r="AV87" s="89"/>
      <c r="AW87" s="89" t="b">
        <v>0</v>
      </c>
      <c r="AX87" s="89" t="s">
        <v>1811</v>
      </c>
      <c r="AY87" s="99" t="str">
        <f>HYPERLINK("https://twitter.com/turnukkaparta")</f>
        <v>https://twitter.com/turnukkaparta</v>
      </c>
      <c r="AZ87" s="89" t="s">
        <v>66</v>
      </c>
      <c r="BA87" s="89" t="str">
        <f>REPLACE(INDEX(GroupVertices[Group],MATCH(Vertices[[#This Row],[Vertex]],GroupVertices[Vertex],0)),1,1,"")</f>
        <v>6</v>
      </c>
      <c r="BB87" s="49">
        <v>0</v>
      </c>
      <c r="BC87" s="50">
        <v>0</v>
      </c>
      <c r="BD87" s="49">
        <v>0</v>
      </c>
      <c r="BE87" s="50">
        <v>0</v>
      </c>
      <c r="BF87" s="49">
        <v>0</v>
      </c>
      <c r="BG87" s="50">
        <v>0</v>
      </c>
      <c r="BH87" s="49">
        <v>45</v>
      </c>
      <c r="BI87" s="50">
        <v>100</v>
      </c>
      <c r="BJ87" s="49">
        <v>45</v>
      </c>
      <c r="BK87" s="49"/>
      <c r="BL87" s="49"/>
      <c r="BM87" s="49"/>
      <c r="BN87" s="49"/>
      <c r="BO87" s="49" t="s">
        <v>555</v>
      </c>
      <c r="BP87" s="49" t="s">
        <v>555</v>
      </c>
      <c r="BQ87" s="123" t="s">
        <v>4216</v>
      </c>
      <c r="BR87" s="123" t="s">
        <v>4283</v>
      </c>
      <c r="BS87" s="123" t="s">
        <v>4336</v>
      </c>
      <c r="BT87" s="123" t="s">
        <v>4336</v>
      </c>
      <c r="BU87" s="2"/>
      <c r="BV87" s="3"/>
      <c r="BW87" s="3"/>
      <c r="BX87" s="3"/>
      <c r="BY87" s="3"/>
    </row>
    <row r="88" spans="1:77" ht="15">
      <c r="A88" s="65" t="s">
        <v>274</v>
      </c>
      <c r="B88" s="66"/>
      <c r="C88" s="66" t="s">
        <v>46</v>
      </c>
      <c r="D88" s="67"/>
      <c r="E88" s="69"/>
      <c r="F88" s="111" t="str">
        <f>HYPERLINK("https://pbs.twimg.com/profile_images/1468659630758928391/jF7j6mLc_normal.jpg")</f>
        <v>https://pbs.twimg.com/profile_images/1468659630758928391/jF7j6mLc_normal.jpg</v>
      </c>
      <c r="G88" s="66"/>
      <c r="H88" s="70" t="s">
        <v>274</v>
      </c>
      <c r="I88" s="71" t="s">
        <v>4416</v>
      </c>
      <c r="J88" s="71" t="s">
        <v>73</v>
      </c>
      <c r="K88" s="70" t="s">
        <v>1896</v>
      </c>
      <c r="L88" s="74">
        <v>1</v>
      </c>
      <c r="M88" s="75">
        <v>8084.2978515625</v>
      </c>
      <c r="N88" s="75">
        <v>5081.458984375</v>
      </c>
      <c r="O88" s="76"/>
      <c r="P88" s="77"/>
      <c r="Q88" s="77"/>
      <c r="R88" s="104"/>
      <c r="S88" s="49">
        <v>0</v>
      </c>
      <c r="T88" s="49">
        <v>1</v>
      </c>
      <c r="U88" s="50">
        <v>0</v>
      </c>
      <c r="V88" s="50">
        <v>0.005797</v>
      </c>
      <c r="W88" s="50">
        <v>0</v>
      </c>
      <c r="X88" s="50">
        <v>0.004047</v>
      </c>
      <c r="Y88" s="50">
        <v>0</v>
      </c>
      <c r="Z88" s="50">
        <v>0</v>
      </c>
      <c r="AA88" s="72">
        <v>88</v>
      </c>
      <c r="AB88" s="72"/>
      <c r="AC88" s="73"/>
      <c r="AD88" s="89" t="s">
        <v>1252</v>
      </c>
      <c r="AE88" s="96" t="s">
        <v>1463</v>
      </c>
      <c r="AF88" s="89">
        <v>89</v>
      </c>
      <c r="AG88" s="89">
        <v>29</v>
      </c>
      <c r="AH88" s="89">
        <v>20</v>
      </c>
      <c r="AI88" s="89">
        <v>5319</v>
      </c>
      <c r="AJ88" s="89"/>
      <c r="AK88" s="89"/>
      <c r="AL88" s="89"/>
      <c r="AM88" s="89"/>
      <c r="AN88" s="89"/>
      <c r="AO88" s="92">
        <v>44538.7962962963</v>
      </c>
      <c r="AP88" s="89"/>
      <c r="AQ88" s="89" t="b">
        <v>1</v>
      </c>
      <c r="AR88" s="89" t="b">
        <v>0</v>
      </c>
      <c r="AS88" s="89" t="b">
        <v>0</v>
      </c>
      <c r="AT88" s="89"/>
      <c r="AU88" s="89">
        <v>0</v>
      </c>
      <c r="AV88" s="89"/>
      <c r="AW88" s="89" t="b">
        <v>0</v>
      </c>
      <c r="AX88" s="89" t="s">
        <v>1811</v>
      </c>
      <c r="AY88" s="99" t="str">
        <f>HYPERLINK("https://twitter.com/elssa_12345678")</f>
        <v>https://twitter.com/elssa_12345678</v>
      </c>
      <c r="AZ88" s="89" t="s">
        <v>66</v>
      </c>
      <c r="BA88" s="89" t="str">
        <f>REPLACE(INDEX(GroupVertices[Group],MATCH(Vertices[[#This Row],[Vertex]],GroupVertices[Vertex],0)),1,1,"")</f>
        <v>13</v>
      </c>
      <c r="BB88" s="49">
        <v>0</v>
      </c>
      <c r="BC88" s="50">
        <v>0</v>
      </c>
      <c r="BD88" s="49">
        <v>0</v>
      </c>
      <c r="BE88" s="50">
        <v>0</v>
      </c>
      <c r="BF88" s="49">
        <v>0</v>
      </c>
      <c r="BG88" s="50">
        <v>0</v>
      </c>
      <c r="BH88" s="49">
        <v>4</v>
      </c>
      <c r="BI88" s="50">
        <v>100</v>
      </c>
      <c r="BJ88" s="49">
        <v>4</v>
      </c>
      <c r="BK88" s="49"/>
      <c r="BL88" s="49"/>
      <c r="BM88" s="49"/>
      <c r="BN88" s="49"/>
      <c r="BO88" s="49"/>
      <c r="BP88" s="49"/>
      <c r="BQ88" s="123" t="s">
        <v>4217</v>
      </c>
      <c r="BR88" s="123" t="s">
        <v>4217</v>
      </c>
      <c r="BS88" s="123" t="s">
        <v>4337</v>
      </c>
      <c r="BT88" s="123" t="s">
        <v>4337</v>
      </c>
      <c r="BU88" s="2"/>
      <c r="BV88" s="3"/>
      <c r="BW88" s="3"/>
      <c r="BX88" s="3"/>
      <c r="BY88" s="3"/>
    </row>
    <row r="89" spans="1:77" ht="15">
      <c r="A89" s="65" t="s">
        <v>428</v>
      </c>
      <c r="B89" s="66"/>
      <c r="C89" s="66" t="s">
        <v>64</v>
      </c>
      <c r="D89" s="67">
        <v>322.3102280178714</v>
      </c>
      <c r="E89" s="69"/>
      <c r="F89" s="111" t="str">
        <f>HYPERLINK("https://pbs.twimg.com/profile_images/1177406685826207744/VkgUiicr_normal.jpg")</f>
        <v>https://pbs.twimg.com/profile_images/1177406685826207744/VkgUiicr_normal.jpg</v>
      </c>
      <c r="G89" s="66"/>
      <c r="H89" s="70" t="s">
        <v>428</v>
      </c>
      <c r="I89" s="71" t="s">
        <v>4416</v>
      </c>
      <c r="J89" s="71" t="s">
        <v>75</v>
      </c>
      <c r="K89" s="70" t="s">
        <v>1897</v>
      </c>
      <c r="L89" s="74">
        <v>400.92</v>
      </c>
      <c r="M89" s="75">
        <v>8084.2978515625</v>
      </c>
      <c r="N89" s="75">
        <v>4051.1171875</v>
      </c>
      <c r="O89" s="76"/>
      <c r="P89" s="77"/>
      <c r="Q89" s="77"/>
      <c r="R89" s="104"/>
      <c r="S89" s="49">
        <v>2</v>
      </c>
      <c r="T89" s="49">
        <v>0</v>
      </c>
      <c r="U89" s="50">
        <v>2</v>
      </c>
      <c r="V89" s="50">
        <v>0.008696</v>
      </c>
      <c r="W89" s="50">
        <v>0</v>
      </c>
      <c r="X89" s="50">
        <v>0.004894</v>
      </c>
      <c r="Y89" s="50">
        <v>0</v>
      </c>
      <c r="Z89" s="50">
        <v>0</v>
      </c>
      <c r="AA89" s="72">
        <v>89</v>
      </c>
      <c r="AB89" s="72"/>
      <c r="AC89" s="73"/>
      <c r="AD89" s="89" t="s">
        <v>1253</v>
      </c>
      <c r="AE89" s="96" t="s">
        <v>1107</v>
      </c>
      <c r="AF89" s="89">
        <v>3132</v>
      </c>
      <c r="AG89" s="89">
        <v>3782</v>
      </c>
      <c r="AH89" s="89">
        <v>20274</v>
      </c>
      <c r="AI89" s="89">
        <v>26914</v>
      </c>
      <c r="AJ89" s="89"/>
      <c r="AK89" s="89"/>
      <c r="AL89" s="89"/>
      <c r="AM89" s="89"/>
      <c r="AN89" s="89"/>
      <c r="AO89" s="92">
        <v>43735.09269675926</v>
      </c>
      <c r="AP89" s="99" t="str">
        <f>HYPERLINK("https://pbs.twimg.com/profile_banners/1177405563879264258/1581095819")</f>
        <v>https://pbs.twimg.com/profile_banners/1177405563879264258/1581095819</v>
      </c>
      <c r="AQ89" s="89" t="b">
        <v>1</v>
      </c>
      <c r="AR89" s="89" t="b">
        <v>0</v>
      </c>
      <c r="AS89" s="89" t="b">
        <v>0</v>
      </c>
      <c r="AT89" s="89"/>
      <c r="AU89" s="89">
        <v>3</v>
      </c>
      <c r="AV89" s="89"/>
      <c r="AW89" s="89" t="b">
        <v>0</v>
      </c>
      <c r="AX89" s="89" t="s">
        <v>1811</v>
      </c>
      <c r="AY89" s="99" t="str">
        <f>HYPERLINK("https://twitter.com/timovir20213018")</f>
        <v>https://twitter.com/timovir20213018</v>
      </c>
      <c r="AZ89" s="89" t="s">
        <v>65</v>
      </c>
      <c r="BA89" s="89"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275</v>
      </c>
      <c r="B90" s="66"/>
      <c r="C90" s="66" t="s">
        <v>46</v>
      </c>
      <c r="D90" s="67">
        <v>10</v>
      </c>
      <c r="E90" s="69"/>
      <c r="F90" s="111" t="str">
        <f>HYPERLINK("https://pbs.twimg.com/profile_images/1212250994811248640/V-7GC-WB_normal.jpg")</f>
        <v>https://pbs.twimg.com/profile_images/1212250994811248640/V-7GC-WB_normal.jpg</v>
      </c>
      <c r="G90" s="66"/>
      <c r="H90" s="70" t="s">
        <v>275</v>
      </c>
      <c r="I90" s="71" t="s">
        <v>4410</v>
      </c>
      <c r="J90" s="71" t="s">
        <v>73</v>
      </c>
      <c r="K90" s="70" t="s">
        <v>1898</v>
      </c>
      <c r="L90" s="74">
        <v>200.96</v>
      </c>
      <c r="M90" s="75">
        <v>3234.241943359375</v>
      </c>
      <c r="N90" s="75">
        <v>1327.8499755859375</v>
      </c>
      <c r="O90" s="76"/>
      <c r="P90" s="77"/>
      <c r="Q90" s="77"/>
      <c r="R90" s="104"/>
      <c r="S90" s="49">
        <v>1</v>
      </c>
      <c r="T90" s="49">
        <v>1</v>
      </c>
      <c r="U90" s="50">
        <v>0</v>
      </c>
      <c r="V90" s="50">
        <v>0</v>
      </c>
      <c r="W90" s="50">
        <v>0</v>
      </c>
      <c r="X90" s="50">
        <v>0.004329</v>
      </c>
      <c r="Y90" s="50">
        <v>0</v>
      </c>
      <c r="Z90" s="50">
        <v>0</v>
      </c>
      <c r="AA90" s="72">
        <v>90</v>
      </c>
      <c r="AB90" s="72"/>
      <c r="AC90" s="73"/>
      <c r="AD90" s="89" t="s">
        <v>1254</v>
      </c>
      <c r="AE90" s="96" t="s">
        <v>1464</v>
      </c>
      <c r="AF90" s="89">
        <v>560</v>
      </c>
      <c r="AG90" s="89">
        <v>26</v>
      </c>
      <c r="AH90" s="89">
        <v>290</v>
      </c>
      <c r="AI90" s="89">
        <v>1556</v>
      </c>
      <c r="AJ90" s="89"/>
      <c r="AK90" s="89" t="s">
        <v>1654</v>
      </c>
      <c r="AL90" s="89"/>
      <c r="AM90" s="89"/>
      <c r="AN90" s="89"/>
      <c r="AO90" s="92">
        <v>43811.11613425926</v>
      </c>
      <c r="AP90" s="99" t="str">
        <f>HYPERLINK("https://pbs.twimg.com/profile_banners/1204955760955969536/1640866341")</f>
        <v>https://pbs.twimg.com/profile_banners/1204955760955969536/1640866341</v>
      </c>
      <c r="AQ90" s="89" t="b">
        <v>1</v>
      </c>
      <c r="AR90" s="89" t="b">
        <v>0</v>
      </c>
      <c r="AS90" s="89" t="b">
        <v>0</v>
      </c>
      <c r="AT90" s="89"/>
      <c r="AU90" s="89">
        <v>0</v>
      </c>
      <c r="AV90" s="89"/>
      <c r="AW90" s="89" t="b">
        <v>0</v>
      </c>
      <c r="AX90" s="89" t="s">
        <v>1811</v>
      </c>
      <c r="AY90" s="99" t="str">
        <f>HYPERLINK("https://twitter.com/sammysojiggy")</f>
        <v>https://twitter.com/sammysojiggy</v>
      </c>
      <c r="AZ90" s="89" t="s">
        <v>66</v>
      </c>
      <c r="BA90" s="89" t="str">
        <f>REPLACE(INDEX(GroupVertices[Group],MATCH(Vertices[[#This Row],[Vertex]],GroupVertices[Vertex],0)),1,1,"")</f>
        <v>7</v>
      </c>
      <c r="BB90" s="49">
        <v>0</v>
      </c>
      <c r="BC90" s="50">
        <v>0</v>
      </c>
      <c r="BD90" s="49">
        <v>0</v>
      </c>
      <c r="BE90" s="50">
        <v>0</v>
      </c>
      <c r="BF90" s="49">
        <v>0</v>
      </c>
      <c r="BG90" s="50">
        <v>0</v>
      </c>
      <c r="BH90" s="49">
        <v>28</v>
      </c>
      <c r="BI90" s="50">
        <v>100</v>
      </c>
      <c r="BJ90" s="49">
        <v>28</v>
      </c>
      <c r="BK90" s="49"/>
      <c r="BL90" s="49"/>
      <c r="BM90" s="49"/>
      <c r="BN90" s="49"/>
      <c r="BO90" s="49" t="s">
        <v>563</v>
      </c>
      <c r="BP90" s="49" t="s">
        <v>563</v>
      </c>
      <c r="BQ90" s="123" t="s">
        <v>4218</v>
      </c>
      <c r="BR90" s="123" t="s">
        <v>4218</v>
      </c>
      <c r="BS90" s="123" t="s">
        <v>4338</v>
      </c>
      <c r="BT90" s="123" t="s">
        <v>4338</v>
      </c>
      <c r="BU90" s="2"/>
      <c r="BV90" s="3"/>
      <c r="BW90" s="3"/>
      <c r="BX90" s="3"/>
      <c r="BY90" s="3"/>
    </row>
    <row r="91" spans="1:77" ht="15">
      <c r="A91" s="65" t="s">
        <v>276</v>
      </c>
      <c r="B91" s="66"/>
      <c r="C91" s="66" t="s">
        <v>46</v>
      </c>
      <c r="D91" s="67">
        <v>10</v>
      </c>
      <c r="E91" s="69"/>
      <c r="F91" s="111" t="str">
        <f>HYPERLINK("https://pbs.twimg.com/profile_images/1476259757723947010/HkGeyy9U_normal.jpg")</f>
        <v>https://pbs.twimg.com/profile_images/1476259757723947010/HkGeyy9U_normal.jpg</v>
      </c>
      <c r="G91" s="66"/>
      <c r="H91" s="70" t="s">
        <v>276</v>
      </c>
      <c r="I91" s="71" t="s">
        <v>4408</v>
      </c>
      <c r="J91" s="71" t="s">
        <v>73</v>
      </c>
      <c r="K91" s="70" t="s">
        <v>1899</v>
      </c>
      <c r="L91" s="74">
        <v>200.96</v>
      </c>
      <c r="M91" s="75">
        <v>132.96522521972656</v>
      </c>
      <c r="N91" s="75">
        <v>7671.779296875</v>
      </c>
      <c r="O91" s="76"/>
      <c r="P91" s="77"/>
      <c r="Q91" s="77"/>
      <c r="R91" s="104"/>
      <c r="S91" s="49">
        <v>1</v>
      </c>
      <c r="T91" s="49">
        <v>3</v>
      </c>
      <c r="U91" s="50">
        <v>162.116667</v>
      </c>
      <c r="V91" s="50">
        <v>0.207778</v>
      </c>
      <c r="W91" s="50">
        <v>0.006766</v>
      </c>
      <c r="X91" s="50">
        <v>0.004173</v>
      </c>
      <c r="Y91" s="50">
        <v>0</v>
      </c>
      <c r="Z91" s="50">
        <v>0</v>
      </c>
      <c r="AA91" s="72">
        <v>91</v>
      </c>
      <c r="AB91" s="72"/>
      <c r="AC91" s="73"/>
      <c r="AD91" s="89" t="s">
        <v>1255</v>
      </c>
      <c r="AE91" s="96" t="s">
        <v>1465</v>
      </c>
      <c r="AF91" s="89">
        <v>159</v>
      </c>
      <c r="AG91" s="89">
        <v>32</v>
      </c>
      <c r="AH91" s="89">
        <v>383</v>
      </c>
      <c r="AI91" s="89">
        <v>649</v>
      </c>
      <c r="AJ91" s="89"/>
      <c r="AK91" s="89" t="s">
        <v>1655</v>
      </c>
      <c r="AL91" s="89"/>
      <c r="AM91" s="89"/>
      <c r="AN91" s="89"/>
      <c r="AO91" s="92">
        <v>44559.76528935185</v>
      </c>
      <c r="AP91" s="89"/>
      <c r="AQ91" s="89" t="b">
        <v>1</v>
      </c>
      <c r="AR91" s="89" t="b">
        <v>0</v>
      </c>
      <c r="AS91" s="89" t="b">
        <v>0</v>
      </c>
      <c r="AT91" s="89"/>
      <c r="AU91" s="89">
        <v>0</v>
      </c>
      <c r="AV91" s="89"/>
      <c r="AW91" s="89" t="b">
        <v>0</v>
      </c>
      <c r="AX91" s="89" t="s">
        <v>1811</v>
      </c>
      <c r="AY91" s="99" t="str">
        <f>HYPERLINK("https://twitter.com/canceloitu1")</f>
        <v>https://twitter.com/canceloitu1</v>
      </c>
      <c r="AZ91" s="89" t="s">
        <v>66</v>
      </c>
      <c r="BA91" s="89" t="str">
        <f>REPLACE(INDEX(GroupVertices[Group],MATCH(Vertices[[#This Row],[Vertex]],GroupVertices[Vertex],0)),1,1,"")</f>
        <v>2</v>
      </c>
      <c r="BB91" s="49">
        <v>0</v>
      </c>
      <c r="BC91" s="50">
        <v>0</v>
      </c>
      <c r="BD91" s="49">
        <v>0</v>
      </c>
      <c r="BE91" s="50">
        <v>0</v>
      </c>
      <c r="BF91" s="49">
        <v>0</v>
      </c>
      <c r="BG91" s="50">
        <v>0</v>
      </c>
      <c r="BH91" s="49">
        <v>54</v>
      </c>
      <c r="BI91" s="50">
        <v>100</v>
      </c>
      <c r="BJ91" s="49">
        <v>54</v>
      </c>
      <c r="BK91" s="49" t="s">
        <v>3921</v>
      </c>
      <c r="BL91" s="49" t="s">
        <v>3921</v>
      </c>
      <c r="BM91" s="49" t="s">
        <v>552</v>
      </c>
      <c r="BN91" s="49" t="s">
        <v>552</v>
      </c>
      <c r="BO91" s="49" t="s">
        <v>564</v>
      </c>
      <c r="BP91" s="49" t="s">
        <v>564</v>
      </c>
      <c r="BQ91" s="123" t="s">
        <v>4219</v>
      </c>
      <c r="BR91" s="123" t="s">
        <v>4284</v>
      </c>
      <c r="BS91" s="123" t="s">
        <v>4339</v>
      </c>
      <c r="BT91" s="123" t="s">
        <v>4339</v>
      </c>
      <c r="BU91" s="2"/>
      <c r="BV91" s="3"/>
      <c r="BW91" s="3"/>
      <c r="BX91" s="3"/>
      <c r="BY91" s="3"/>
    </row>
    <row r="92" spans="1:77" ht="15">
      <c r="A92" s="65" t="s">
        <v>277</v>
      </c>
      <c r="B92" s="66"/>
      <c r="C92" s="66" t="s">
        <v>46</v>
      </c>
      <c r="D92" s="67"/>
      <c r="E92" s="69"/>
      <c r="F92" s="111" t="str">
        <f>HYPERLINK("https://pbs.twimg.com/profile_images/1460541315955974147/HFRa_uig_normal.jpg")</f>
        <v>https://pbs.twimg.com/profile_images/1460541315955974147/HFRa_uig_normal.jpg</v>
      </c>
      <c r="G92" s="66"/>
      <c r="H92" s="70" t="s">
        <v>277</v>
      </c>
      <c r="I92" s="71" t="s">
        <v>4407</v>
      </c>
      <c r="J92" s="71" t="s">
        <v>73</v>
      </c>
      <c r="K92" s="70" t="s">
        <v>1900</v>
      </c>
      <c r="L92" s="74">
        <v>1</v>
      </c>
      <c r="M92" s="75">
        <v>8616.1572265625</v>
      </c>
      <c r="N92" s="75">
        <v>9764.8310546875</v>
      </c>
      <c r="O92" s="76"/>
      <c r="P92" s="77"/>
      <c r="Q92" s="77"/>
      <c r="R92" s="104"/>
      <c r="S92" s="49">
        <v>0</v>
      </c>
      <c r="T92" s="49">
        <v>1</v>
      </c>
      <c r="U92" s="50">
        <v>0</v>
      </c>
      <c r="V92" s="50">
        <v>0.190271</v>
      </c>
      <c r="W92" s="50">
        <v>0.012939</v>
      </c>
      <c r="X92" s="50">
        <v>0.003851</v>
      </c>
      <c r="Y92" s="50">
        <v>0</v>
      </c>
      <c r="Z92" s="50">
        <v>0</v>
      </c>
      <c r="AA92" s="72">
        <v>92</v>
      </c>
      <c r="AB92" s="72"/>
      <c r="AC92" s="73"/>
      <c r="AD92" s="89" t="s">
        <v>1256</v>
      </c>
      <c r="AE92" s="96" t="s">
        <v>1466</v>
      </c>
      <c r="AF92" s="89">
        <v>688</v>
      </c>
      <c r="AG92" s="89">
        <v>475</v>
      </c>
      <c r="AH92" s="89">
        <v>6732</v>
      </c>
      <c r="AI92" s="89">
        <v>29589</v>
      </c>
      <c r="AJ92" s="89"/>
      <c r="AK92" s="89" t="s">
        <v>1656</v>
      </c>
      <c r="AL92" s="89" t="s">
        <v>1766</v>
      </c>
      <c r="AM92" s="89"/>
      <c r="AN92" s="89"/>
      <c r="AO92" s="92">
        <v>41745.789351851854</v>
      </c>
      <c r="AP92" s="99" t="str">
        <f>HYPERLINK("https://pbs.twimg.com/profile_banners/2447814073/1611337303")</f>
        <v>https://pbs.twimg.com/profile_banners/2447814073/1611337303</v>
      </c>
      <c r="AQ92" s="89" t="b">
        <v>1</v>
      </c>
      <c r="AR92" s="89" t="b">
        <v>0</v>
      </c>
      <c r="AS92" s="89" t="b">
        <v>0</v>
      </c>
      <c r="AT92" s="89"/>
      <c r="AU92" s="89">
        <v>2</v>
      </c>
      <c r="AV92" s="99" t="str">
        <f>HYPERLINK("https://abs.twimg.com/images/themes/theme1/bg.png")</f>
        <v>https://abs.twimg.com/images/themes/theme1/bg.png</v>
      </c>
      <c r="AW92" s="89" t="b">
        <v>0</v>
      </c>
      <c r="AX92" s="89" t="s">
        <v>1811</v>
      </c>
      <c r="AY92" s="99" t="str">
        <f>HYPERLINK("https://twitter.com/blomerusr")</f>
        <v>https://twitter.com/blomerusr</v>
      </c>
      <c r="AZ92" s="89" t="s">
        <v>66</v>
      </c>
      <c r="BA92" s="89" t="str">
        <f>REPLACE(INDEX(GroupVertices[Group],MATCH(Vertices[[#This Row],[Vertex]],GroupVertices[Vertex],0)),1,1,"")</f>
        <v>6</v>
      </c>
      <c r="BB92" s="49">
        <v>0</v>
      </c>
      <c r="BC92" s="50">
        <v>0</v>
      </c>
      <c r="BD92" s="49">
        <v>0</v>
      </c>
      <c r="BE92" s="50">
        <v>0</v>
      </c>
      <c r="BF92" s="49">
        <v>0</v>
      </c>
      <c r="BG92" s="50">
        <v>0</v>
      </c>
      <c r="BH92" s="49">
        <v>18</v>
      </c>
      <c r="BI92" s="50">
        <v>100</v>
      </c>
      <c r="BJ92" s="49">
        <v>18</v>
      </c>
      <c r="BK92" s="49"/>
      <c r="BL92" s="49"/>
      <c r="BM92" s="49"/>
      <c r="BN92" s="49"/>
      <c r="BO92" s="49" t="s">
        <v>556</v>
      </c>
      <c r="BP92" s="49" t="s">
        <v>556</v>
      </c>
      <c r="BQ92" s="123" t="s">
        <v>4220</v>
      </c>
      <c r="BR92" s="123" t="s">
        <v>4220</v>
      </c>
      <c r="BS92" s="123" t="s">
        <v>4340</v>
      </c>
      <c r="BT92" s="123" t="s">
        <v>4340</v>
      </c>
      <c r="BU92" s="2"/>
      <c r="BV92" s="3"/>
      <c r="BW92" s="3"/>
      <c r="BX92" s="3"/>
      <c r="BY92" s="3"/>
    </row>
    <row r="93" spans="1:77" ht="15">
      <c r="A93" s="65" t="s">
        <v>278</v>
      </c>
      <c r="B93" s="66"/>
      <c r="C93" s="66" t="s">
        <v>46</v>
      </c>
      <c r="D93" s="67"/>
      <c r="E93" s="69"/>
      <c r="F93" s="111" t="str">
        <f>HYPERLINK("https://pbs.twimg.com/profile_images/738994171797721088/8t4uIHY3_normal.jpg")</f>
        <v>https://pbs.twimg.com/profile_images/738994171797721088/8t4uIHY3_normal.jpg</v>
      </c>
      <c r="G93" s="66"/>
      <c r="H93" s="70" t="s">
        <v>278</v>
      </c>
      <c r="I93" s="71" t="s">
        <v>4411</v>
      </c>
      <c r="J93" s="71" t="s">
        <v>73</v>
      </c>
      <c r="K93" s="70" t="s">
        <v>1901</v>
      </c>
      <c r="L93" s="74">
        <v>1</v>
      </c>
      <c r="M93" s="75">
        <v>4495.7587890625</v>
      </c>
      <c r="N93" s="75">
        <v>7878.83447265625</v>
      </c>
      <c r="O93" s="76"/>
      <c r="P93" s="77"/>
      <c r="Q93" s="77"/>
      <c r="R93" s="104"/>
      <c r="S93" s="49">
        <v>0</v>
      </c>
      <c r="T93" s="49">
        <v>3</v>
      </c>
      <c r="U93" s="50">
        <v>706</v>
      </c>
      <c r="V93" s="50">
        <v>0.202583</v>
      </c>
      <c r="W93" s="50">
        <v>0.004228</v>
      </c>
      <c r="X93" s="50">
        <v>0.004931</v>
      </c>
      <c r="Y93" s="50">
        <v>0</v>
      </c>
      <c r="Z93" s="50">
        <v>0</v>
      </c>
      <c r="AA93" s="72">
        <v>93</v>
      </c>
      <c r="AB93" s="72"/>
      <c r="AC93" s="73"/>
      <c r="AD93" s="89" t="s">
        <v>1257</v>
      </c>
      <c r="AE93" s="96" t="s">
        <v>1467</v>
      </c>
      <c r="AF93" s="89">
        <v>53</v>
      </c>
      <c r="AG93" s="89">
        <v>11</v>
      </c>
      <c r="AH93" s="89">
        <v>152</v>
      </c>
      <c r="AI93" s="89">
        <v>322</v>
      </c>
      <c r="AJ93" s="89"/>
      <c r="AK93" s="89" t="s">
        <v>1657</v>
      </c>
      <c r="AL93" s="89"/>
      <c r="AM93" s="89"/>
      <c r="AN93" s="89"/>
      <c r="AO93" s="92">
        <v>41398.616006944445</v>
      </c>
      <c r="AP93" s="99" t="str">
        <f>HYPERLINK("https://pbs.twimg.com/profile_banners/1402508742/1367685135")</f>
        <v>https://pbs.twimg.com/profile_banners/1402508742/1367685135</v>
      </c>
      <c r="AQ93" s="89" t="b">
        <v>1</v>
      </c>
      <c r="AR93" s="89" t="b">
        <v>0</v>
      </c>
      <c r="AS93" s="89" t="b">
        <v>0</v>
      </c>
      <c r="AT93" s="89"/>
      <c r="AU93" s="89">
        <v>0</v>
      </c>
      <c r="AV93" s="99" t="str">
        <f>HYPERLINK("https://abs.twimg.com/images/themes/theme1/bg.png")</f>
        <v>https://abs.twimg.com/images/themes/theme1/bg.png</v>
      </c>
      <c r="AW93" s="89" t="b">
        <v>0</v>
      </c>
      <c r="AX93" s="89" t="s">
        <v>1811</v>
      </c>
      <c r="AY93" s="99" t="str">
        <f>HYPERLINK("https://twitter.com/jpokero")</f>
        <v>https://twitter.com/jpokero</v>
      </c>
      <c r="AZ93" s="89" t="s">
        <v>66</v>
      </c>
      <c r="BA93" s="89" t="str">
        <f>REPLACE(INDEX(GroupVertices[Group],MATCH(Vertices[[#This Row],[Vertex]],GroupVertices[Vertex],0)),1,1,"")</f>
        <v>3</v>
      </c>
      <c r="BB93" s="49">
        <v>0</v>
      </c>
      <c r="BC93" s="50">
        <v>0</v>
      </c>
      <c r="BD93" s="49">
        <v>0</v>
      </c>
      <c r="BE93" s="50">
        <v>0</v>
      </c>
      <c r="BF93" s="49">
        <v>0</v>
      </c>
      <c r="BG93" s="50">
        <v>0</v>
      </c>
      <c r="BH93" s="49">
        <v>37</v>
      </c>
      <c r="BI93" s="50">
        <v>100</v>
      </c>
      <c r="BJ93" s="49">
        <v>37</v>
      </c>
      <c r="BK93" s="49"/>
      <c r="BL93" s="49"/>
      <c r="BM93" s="49"/>
      <c r="BN93" s="49"/>
      <c r="BO93" s="49"/>
      <c r="BP93" s="49"/>
      <c r="BQ93" s="123" t="s">
        <v>4221</v>
      </c>
      <c r="BR93" s="123" t="s">
        <v>4285</v>
      </c>
      <c r="BS93" s="123" t="s">
        <v>4341</v>
      </c>
      <c r="BT93" s="123" t="s">
        <v>4341</v>
      </c>
      <c r="BU93" s="2"/>
      <c r="BV93" s="3"/>
      <c r="BW93" s="3"/>
      <c r="BX93" s="3"/>
      <c r="BY93" s="3"/>
    </row>
    <row r="94" spans="1:77" ht="15">
      <c r="A94" s="65" t="s">
        <v>429</v>
      </c>
      <c r="B94" s="66"/>
      <c r="C94" s="66" t="s">
        <v>46</v>
      </c>
      <c r="D94" s="67">
        <v>10</v>
      </c>
      <c r="E94" s="69"/>
      <c r="F94" s="111" t="str">
        <f>HYPERLINK("https://pbs.twimg.com/profile_images/673091567700172800/bGSbS_rL_normal.jpg")</f>
        <v>https://pbs.twimg.com/profile_images/673091567700172800/bGSbS_rL_normal.jpg</v>
      </c>
      <c r="G94" s="66"/>
      <c r="H94" s="70" t="s">
        <v>429</v>
      </c>
      <c r="I94" s="71" t="s">
        <v>4411</v>
      </c>
      <c r="J94" s="71" t="s">
        <v>75</v>
      </c>
      <c r="K94" s="70" t="s">
        <v>1902</v>
      </c>
      <c r="L94" s="74">
        <v>200.96</v>
      </c>
      <c r="M94" s="75">
        <v>3971.690185546875</v>
      </c>
      <c r="N94" s="75">
        <v>7434.32763671875</v>
      </c>
      <c r="O94" s="76"/>
      <c r="P94" s="77"/>
      <c r="Q94" s="77"/>
      <c r="R94" s="104"/>
      <c r="S94" s="49">
        <v>1</v>
      </c>
      <c r="T94" s="49">
        <v>0</v>
      </c>
      <c r="U94" s="50">
        <v>0</v>
      </c>
      <c r="V94" s="50">
        <v>0.160743</v>
      </c>
      <c r="W94" s="50">
        <v>0.000541</v>
      </c>
      <c r="X94" s="50">
        <v>0.003926</v>
      </c>
      <c r="Y94" s="50">
        <v>0</v>
      </c>
      <c r="Z94" s="50">
        <v>0</v>
      </c>
      <c r="AA94" s="72">
        <v>94</v>
      </c>
      <c r="AB94" s="72"/>
      <c r="AC94" s="73"/>
      <c r="AD94" s="89" t="s">
        <v>1258</v>
      </c>
      <c r="AE94" s="96" t="s">
        <v>1108</v>
      </c>
      <c r="AF94" s="89">
        <v>312</v>
      </c>
      <c r="AG94" s="89">
        <v>7059</v>
      </c>
      <c r="AH94" s="89">
        <v>9446</v>
      </c>
      <c r="AI94" s="89">
        <v>6635</v>
      </c>
      <c r="AJ94" s="89"/>
      <c r="AK94" s="89" t="s">
        <v>1658</v>
      </c>
      <c r="AL94" s="89" t="s">
        <v>1771</v>
      </c>
      <c r="AM94" s="99" t="str">
        <f>HYPERLINK("https://t.co/C26ZHSFCN6")</f>
        <v>https://t.co/C26ZHSFCN6</v>
      </c>
      <c r="AN94" s="89"/>
      <c r="AO94" s="92">
        <v>41088.676203703704</v>
      </c>
      <c r="AP94" s="99" t="str">
        <f>HYPERLINK("https://pbs.twimg.com/profile_banners/621109658/1398551950")</f>
        <v>https://pbs.twimg.com/profile_banners/621109658/1398551950</v>
      </c>
      <c r="AQ94" s="89" t="b">
        <v>1</v>
      </c>
      <c r="AR94" s="89" t="b">
        <v>0</v>
      </c>
      <c r="AS94" s="89" t="b">
        <v>0</v>
      </c>
      <c r="AT94" s="89"/>
      <c r="AU94" s="89">
        <v>88</v>
      </c>
      <c r="AV94" s="99" t="str">
        <f>HYPERLINK("https://abs.twimg.com/images/themes/theme1/bg.png")</f>
        <v>https://abs.twimg.com/images/themes/theme1/bg.png</v>
      </c>
      <c r="AW94" s="89" t="b">
        <v>0</v>
      </c>
      <c r="AX94" s="89" t="s">
        <v>1811</v>
      </c>
      <c r="AY94" s="99" t="str">
        <f>HYPERLINK("https://twitter.com/mkorja")</f>
        <v>https://twitter.com/mkorja</v>
      </c>
      <c r="AZ94" s="89" t="s">
        <v>65</v>
      </c>
      <c r="BA94" s="8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430</v>
      </c>
      <c r="B95" s="66"/>
      <c r="C95" s="66" t="s">
        <v>46</v>
      </c>
      <c r="D95" s="67">
        <v>10</v>
      </c>
      <c r="E95" s="69"/>
      <c r="F95" s="111" t="str">
        <f>HYPERLINK("https://pbs.twimg.com/profile_images/1481615903817089025/VAP528QB_normal.jpg")</f>
        <v>https://pbs.twimg.com/profile_images/1481615903817089025/VAP528QB_normal.jpg</v>
      </c>
      <c r="G95" s="66"/>
      <c r="H95" s="70" t="s">
        <v>430</v>
      </c>
      <c r="I95" s="71" t="s">
        <v>4411</v>
      </c>
      <c r="J95" s="71" t="s">
        <v>75</v>
      </c>
      <c r="K95" s="70" t="s">
        <v>1903</v>
      </c>
      <c r="L95" s="74">
        <v>200.96</v>
      </c>
      <c r="M95" s="75">
        <v>4282.18896484375</v>
      </c>
      <c r="N95" s="75">
        <v>8045.97998046875</v>
      </c>
      <c r="O95" s="76"/>
      <c r="P95" s="77"/>
      <c r="Q95" s="77"/>
      <c r="R95" s="104"/>
      <c r="S95" s="49">
        <v>1</v>
      </c>
      <c r="T95" s="49">
        <v>0</v>
      </c>
      <c r="U95" s="50">
        <v>0</v>
      </c>
      <c r="V95" s="50">
        <v>0.160743</v>
      </c>
      <c r="W95" s="50">
        <v>0.000541</v>
      </c>
      <c r="X95" s="50">
        <v>0.003926</v>
      </c>
      <c r="Y95" s="50">
        <v>0</v>
      </c>
      <c r="Z95" s="50">
        <v>0</v>
      </c>
      <c r="AA95" s="72">
        <v>95</v>
      </c>
      <c r="AB95" s="72"/>
      <c r="AC95" s="73"/>
      <c r="AD95" s="89" t="s">
        <v>1259</v>
      </c>
      <c r="AE95" s="96" t="s">
        <v>1109</v>
      </c>
      <c r="AF95" s="89">
        <v>233</v>
      </c>
      <c r="AG95" s="89">
        <v>118</v>
      </c>
      <c r="AH95" s="89">
        <v>10351</v>
      </c>
      <c r="AI95" s="89">
        <v>3991</v>
      </c>
      <c r="AJ95" s="89"/>
      <c r="AK95" s="89" t="s">
        <v>1659</v>
      </c>
      <c r="AL95" s="89"/>
      <c r="AM95" s="89"/>
      <c r="AN95" s="89"/>
      <c r="AO95" s="92">
        <v>44215.40760416666</v>
      </c>
      <c r="AP95" s="89"/>
      <c r="AQ95" s="89" t="b">
        <v>1</v>
      </c>
      <c r="AR95" s="89" t="b">
        <v>0</v>
      </c>
      <c r="AS95" s="89" t="b">
        <v>0</v>
      </c>
      <c r="AT95" s="89"/>
      <c r="AU95" s="89">
        <v>5</v>
      </c>
      <c r="AV95" s="89"/>
      <c r="AW95" s="89" t="b">
        <v>0</v>
      </c>
      <c r="AX95" s="89" t="s">
        <v>1811</v>
      </c>
      <c r="AY95" s="99" t="str">
        <f>HYPERLINK("https://twitter.com/npc12471")</f>
        <v>https://twitter.com/npc12471</v>
      </c>
      <c r="AZ95" s="89" t="s">
        <v>65</v>
      </c>
      <c r="BA95" s="8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279</v>
      </c>
      <c r="B96" s="66"/>
      <c r="C96" s="66" t="s">
        <v>46</v>
      </c>
      <c r="D96" s="67"/>
      <c r="E96" s="69"/>
      <c r="F96" s="111" t="str">
        <f>HYPERLINK("https://pbs.twimg.com/profile_images/1369317625470287884/0MB80XII_normal.jpg")</f>
        <v>https://pbs.twimg.com/profile_images/1369317625470287884/0MB80XII_normal.jpg</v>
      </c>
      <c r="G96" s="66"/>
      <c r="H96" s="70" t="s">
        <v>279</v>
      </c>
      <c r="I96" s="71" t="s">
        <v>4407</v>
      </c>
      <c r="J96" s="71" t="s">
        <v>73</v>
      </c>
      <c r="K96" s="70" t="s">
        <v>1904</v>
      </c>
      <c r="L96" s="74">
        <v>1</v>
      </c>
      <c r="M96" s="75">
        <v>8807.7763671875</v>
      </c>
      <c r="N96" s="75">
        <v>6039.22705078125</v>
      </c>
      <c r="O96" s="76"/>
      <c r="P96" s="77"/>
      <c r="Q96" s="77"/>
      <c r="R96" s="104"/>
      <c r="S96" s="49">
        <v>0</v>
      </c>
      <c r="T96" s="49">
        <v>1</v>
      </c>
      <c r="U96" s="50">
        <v>0</v>
      </c>
      <c r="V96" s="50">
        <v>0.163412</v>
      </c>
      <c r="W96" s="50">
        <v>0.007398</v>
      </c>
      <c r="X96" s="50">
        <v>0.003783</v>
      </c>
      <c r="Y96" s="50">
        <v>0</v>
      </c>
      <c r="Z96" s="50">
        <v>0</v>
      </c>
      <c r="AA96" s="72">
        <v>96</v>
      </c>
      <c r="AB96" s="72"/>
      <c r="AC96" s="73"/>
      <c r="AD96" s="89" t="s">
        <v>1260</v>
      </c>
      <c r="AE96" s="96" t="s">
        <v>1468</v>
      </c>
      <c r="AF96" s="89">
        <v>118</v>
      </c>
      <c r="AG96" s="89">
        <v>20</v>
      </c>
      <c r="AH96" s="89">
        <v>288</v>
      </c>
      <c r="AI96" s="89">
        <v>23</v>
      </c>
      <c r="AJ96" s="89"/>
      <c r="AK96" s="89" t="s">
        <v>1660</v>
      </c>
      <c r="AL96" s="89" t="s">
        <v>1782</v>
      </c>
      <c r="AM96" s="89"/>
      <c r="AN96" s="89"/>
      <c r="AO96" s="92">
        <v>44264.66788194444</v>
      </c>
      <c r="AP96" s="99" t="str">
        <f>HYPERLINK("https://pbs.twimg.com/profile_banners/1369317434998546443/1615306356")</f>
        <v>https://pbs.twimg.com/profile_banners/1369317434998546443/1615306356</v>
      </c>
      <c r="AQ96" s="89" t="b">
        <v>1</v>
      </c>
      <c r="AR96" s="89" t="b">
        <v>0</v>
      </c>
      <c r="AS96" s="89" t="b">
        <v>0</v>
      </c>
      <c r="AT96" s="89"/>
      <c r="AU96" s="89">
        <v>0</v>
      </c>
      <c r="AV96" s="89"/>
      <c r="AW96" s="89" t="b">
        <v>0</v>
      </c>
      <c r="AX96" s="89" t="s">
        <v>1811</v>
      </c>
      <c r="AY96" s="99" t="str">
        <f>HYPERLINK("https://twitter.com/sinerjoki1")</f>
        <v>https://twitter.com/sinerjoki1</v>
      </c>
      <c r="AZ96" s="89" t="s">
        <v>66</v>
      </c>
      <c r="BA96" s="89" t="str">
        <f>REPLACE(INDEX(GroupVertices[Group],MATCH(Vertices[[#This Row],[Vertex]],GroupVertices[Vertex],0)),1,1,"")</f>
        <v>6</v>
      </c>
      <c r="BB96" s="49">
        <v>0</v>
      </c>
      <c r="BC96" s="50">
        <v>0</v>
      </c>
      <c r="BD96" s="49">
        <v>0</v>
      </c>
      <c r="BE96" s="50">
        <v>0</v>
      </c>
      <c r="BF96" s="49">
        <v>0</v>
      </c>
      <c r="BG96" s="50">
        <v>0</v>
      </c>
      <c r="BH96" s="49">
        <v>29</v>
      </c>
      <c r="BI96" s="50">
        <v>100</v>
      </c>
      <c r="BJ96" s="49">
        <v>29</v>
      </c>
      <c r="BK96" s="49"/>
      <c r="BL96" s="49"/>
      <c r="BM96" s="49"/>
      <c r="BN96" s="49"/>
      <c r="BO96" s="49" t="s">
        <v>555</v>
      </c>
      <c r="BP96" s="49" t="s">
        <v>555</v>
      </c>
      <c r="BQ96" s="123" t="s">
        <v>4183</v>
      </c>
      <c r="BR96" s="123" t="s">
        <v>4183</v>
      </c>
      <c r="BS96" s="123" t="s">
        <v>4305</v>
      </c>
      <c r="BT96" s="123" t="s">
        <v>4305</v>
      </c>
      <c r="BU96" s="2"/>
      <c r="BV96" s="3"/>
      <c r="BW96" s="3"/>
      <c r="BX96" s="3"/>
      <c r="BY96" s="3"/>
    </row>
    <row r="97" spans="1:77" ht="15">
      <c r="A97" s="65" t="s">
        <v>280</v>
      </c>
      <c r="B97" s="66"/>
      <c r="C97" s="66" t="s">
        <v>46</v>
      </c>
      <c r="D97" s="67"/>
      <c r="E97" s="69"/>
      <c r="F97" s="111" t="str">
        <f>HYPERLINK("https://pbs.twimg.com/profile_images/1082353538066538496/RtGVETZD_normal.jpg")</f>
        <v>https://pbs.twimg.com/profile_images/1082353538066538496/RtGVETZD_normal.jpg</v>
      </c>
      <c r="G97" s="66"/>
      <c r="H97" s="70" t="s">
        <v>280</v>
      </c>
      <c r="I97" s="71" t="s">
        <v>4411</v>
      </c>
      <c r="J97" s="71" t="s">
        <v>73</v>
      </c>
      <c r="K97" s="70" t="s">
        <v>1905</v>
      </c>
      <c r="L97" s="74">
        <v>1</v>
      </c>
      <c r="M97" s="75">
        <v>5064.14404296875</v>
      </c>
      <c r="N97" s="75">
        <v>6793.623046875</v>
      </c>
      <c r="O97" s="76"/>
      <c r="P97" s="77"/>
      <c r="Q97" s="77"/>
      <c r="R97" s="104"/>
      <c r="S97" s="49">
        <v>0</v>
      </c>
      <c r="T97" s="49">
        <v>2</v>
      </c>
      <c r="U97" s="50">
        <v>173</v>
      </c>
      <c r="V97" s="50">
        <v>0.201989</v>
      </c>
      <c r="W97" s="50">
        <v>0.004231</v>
      </c>
      <c r="X97" s="50">
        <v>0.004065</v>
      </c>
      <c r="Y97" s="50">
        <v>0</v>
      </c>
      <c r="Z97" s="50">
        <v>0</v>
      </c>
      <c r="AA97" s="72">
        <v>97</v>
      </c>
      <c r="AB97" s="72"/>
      <c r="AC97" s="73"/>
      <c r="AD97" s="89" t="s">
        <v>1261</v>
      </c>
      <c r="AE97" s="96" t="s">
        <v>1469</v>
      </c>
      <c r="AF97" s="89">
        <v>80</v>
      </c>
      <c r="AG97" s="89">
        <v>18</v>
      </c>
      <c r="AH97" s="89">
        <v>4087</v>
      </c>
      <c r="AI97" s="89">
        <v>465</v>
      </c>
      <c r="AJ97" s="89"/>
      <c r="AK97" s="89" t="s">
        <v>1661</v>
      </c>
      <c r="AL97" s="89" t="s">
        <v>1783</v>
      </c>
      <c r="AM97" s="89"/>
      <c r="AN97" s="89"/>
      <c r="AO97" s="92">
        <v>43347.79016203704</v>
      </c>
      <c r="AP97" s="89"/>
      <c r="AQ97" s="89" t="b">
        <v>0</v>
      </c>
      <c r="AR97" s="89" t="b">
        <v>0</v>
      </c>
      <c r="AS97" s="89" t="b">
        <v>0</v>
      </c>
      <c r="AT97" s="89"/>
      <c r="AU97" s="89">
        <v>0</v>
      </c>
      <c r="AV97" s="99" t="str">
        <f>HYPERLINK("https://abs.twimg.com/images/themes/theme1/bg.png")</f>
        <v>https://abs.twimg.com/images/themes/theme1/bg.png</v>
      </c>
      <c r="AW97" s="89" t="b">
        <v>0</v>
      </c>
      <c r="AX97" s="89" t="s">
        <v>1811</v>
      </c>
      <c r="AY97" s="99" t="str">
        <f>HYPERLINK("https://twitter.com/markokarvonen3")</f>
        <v>https://twitter.com/markokarvonen3</v>
      </c>
      <c r="AZ97" s="89" t="s">
        <v>66</v>
      </c>
      <c r="BA97" s="89" t="str">
        <f>REPLACE(INDEX(GroupVertices[Group],MATCH(Vertices[[#This Row],[Vertex]],GroupVertices[Vertex],0)),1,1,"")</f>
        <v>3</v>
      </c>
      <c r="BB97" s="49">
        <v>0</v>
      </c>
      <c r="BC97" s="50">
        <v>0</v>
      </c>
      <c r="BD97" s="49">
        <v>0</v>
      </c>
      <c r="BE97" s="50">
        <v>0</v>
      </c>
      <c r="BF97" s="49">
        <v>0</v>
      </c>
      <c r="BG97" s="50">
        <v>0</v>
      </c>
      <c r="BH97" s="49">
        <v>15</v>
      </c>
      <c r="BI97" s="50">
        <v>100</v>
      </c>
      <c r="BJ97" s="49">
        <v>15</v>
      </c>
      <c r="BK97" s="49"/>
      <c r="BL97" s="49"/>
      <c r="BM97" s="49"/>
      <c r="BN97" s="49"/>
      <c r="BO97" s="49"/>
      <c r="BP97" s="49"/>
      <c r="BQ97" s="123" t="s">
        <v>4222</v>
      </c>
      <c r="BR97" s="123" t="s">
        <v>4222</v>
      </c>
      <c r="BS97" s="123" t="s">
        <v>4342</v>
      </c>
      <c r="BT97" s="123" t="s">
        <v>4342</v>
      </c>
      <c r="BU97" s="2"/>
      <c r="BV97" s="3"/>
      <c r="BW97" s="3"/>
      <c r="BX97" s="3"/>
      <c r="BY97" s="3"/>
    </row>
    <row r="98" spans="1:77" ht="15">
      <c r="A98" s="65" t="s">
        <v>431</v>
      </c>
      <c r="B98" s="66"/>
      <c r="C98" s="66" t="s">
        <v>64</v>
      </c>
      <c r="D98" s="67">
        <v>322.3102280178714</v>
      </c>
      <c r="E98" s="69"/>
      <c r="F98" s="111" t="str">
        <f>HYPERLINK("https://pbs.twimg.com/profile_images/1404891943285493762/4-o9aWUG_normal.jpg")</f>
        <v>https://pbs.twimg.com/profile_images/1404891943285493762/4-o9aWUG_normal.jpg</v>
      </c>
      <c r="G98" s="66"/>
      <c r="H98" s="70" t="s">
        <v>431</v>
      </c>
      <c r="I98" s="71" t="s">
        <v>4411</v>
      </c>
      <c r="J98" s="71" t="s">
        <v>75</v>
      </c>
      <c r="K98" s="70" t="s">
        <v>1906</v>
      </c>
      <c r="L98" s="74">
        <v>400.92</v>
      </c>
      <c r="M98" s="75">
        <v>4720.248046875</v>
      </c>
      <c r="N98" s="75">
        <v>6016.90185546875</v>
      </c>
      <c r="O98" s="76"/>
      <c r="P98" s="77"/>
      <c r="Q98" s="77"/>
      <c r="R98" s="104"/>
      <c r="S98" s="49">
        <v>2</v>
      </c>
      <c r="T98" s="49">
        <v>0</v>
      </c>
      <c r="U98" s="50">
        <v>4</v>
      </c>
      <c r="V98" s="50">
        <v>0.161876</v>
      </c>
      <c r="W98" s="50">
        <v>0.001111</v>
      </c>
      <c r="X98" s="50">
        <v>0.004159</v>
      </c>
      <c r="Y98" s="50">
        <v>0</v>
      </c>
      <c r="Z98" s="50">
        <v>0</v>
      </c>
      <c r="AA98" s="72">
        <v>98</v>
      </c>
      <c r="AB98" s="72"/>
      <c r="AC98" s="73"/>
      <c r="AD98" s="89" t="s">
        <v>1262</v>
      </c>
      <c r="AE98" s="96" t="s">
        <v>1110</v>
      </c>
      <c r="AF98" s="89">
        <v>795</v>
      </c>
      <c r="AG98" s="89">
        <v>966</v>
      </c>
      <c r="AH98" s="89">
        <v>7681</v>
      </c>
      <c r="AI98" s="89">
        <v>21800</v>
      </c>
      <c r="AJ98" s="89"/>
      <c r="AK98" s="89" t="s">
        <v>1662</v>
      </c>
      <c r="AL98" s="89" t="s">
        <v>1784</v>
      </c>
      <c r="AM98" s="89"/>
      <c r="AN98" s="89"/>
      <c r="AO98" s="92">
        <v>43962.837372685186</v>
      </c>
      <c r="AP98" s="99" t="str">
        <f>HYPERLINK("https://pbs.twimg.com/profile_banners/1259937690369363968/1628869488")</f>
        <v>https://pbs.twimg.com/profile_banners/1259937690369363968/1628869488</v>
      </c>
      <c r="AQ98" s="89" t="b">
        <v>1</v>
      </c>
      <c r="AR98" s="89" t="b">
        <v>0</v>
      </c>
      <c r="AS98" s="89" t="b">
        <v>0</v>
      </c>
      <c r="AT98" s="89"/>
      <c r="AU98" s="89">
        <v>4</v>
      </c>
      <c r="AV98" s="89"/>
      <c r="AW98" s="89" t="b">
        <v>0</v>
      </c>
      <c r="AX98" s="89" t="s">
        <v>1811</v>
      </c>
      <c r="AY98" s="99" t="str">
        <f>HYPERLINK("https://twitter.com/lindapauliinaq")</f>
        <v>https://twitter.com/lindapauliinaq</v>
      </c>
      <c r="AZ98" s="89" t="s">
        <v>65</v>
      </c>
      <c r="BA98" s="8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281</v>
      </c>
      <c r="B99" s="66"/>
      <c r="C99" s="66" t="s">
        <v>46</v>
      </c>
      <c r="D99" s="67"/>
      <c r="E99" s="69"/>
      <c r="F99" s="111" t="str">
        <f>HYPERLINK("https://pbs.twimg.com/profile_images/1073412351913848832/0_8KXcP2_normal.jpg")</f>
        <v>https://pbs.twimg.com/profile_images/1073412351913848832/0_8KXcP2_normal.jpg</v>
      </c>
      <c r="G99" s="66"/>
      <c r="H99" s="70" t="s">
        <v>281</v>
      </c>
      <c r="I99" s="71" t="s">
        <v>4415</v>
      </c>
      <c r="J99" s="71" t="s">
        <v>73</v>
      </c>
      <c r="K99" s="70" t="s">
        <v>1907</v>
      </c>
      <c r="L99" s="74">
        <v>1</v>
      </c>
      <c r="M99" s="75">
        <v>7876.47998046875</v>
      </c>
      <c r="N99" s="75">
        <v>7719.56591796875</v>
      </c>
      <c r="O99" s="76"/>
      <c r="P99" s="77"/>
      <c r="Q99" s="77"/>
      <c r="R99" s="104"/>
      <c r="S99" s="49">
        <v>0</v>
      </c>
      <c r="T99" s="49">
        <v>2</v>
      </c>
      <c r="U99" s="50">
        <v>194.366091</v>
      </c>
      <c r="V99" s="50">
        <v>0.208722</v>
      </c>
      <c r="W99" s="50">
        <v>0.008652</v>
      </c>
      <c r="X99" s="50">
        <v>0.003865</v>
      </c>
      <c r="Y99" s="50">
        <v>0</v>
      </c>
      <c r="Z99" s="50">
        <v>0</v>
      </c>
      <c r="AA99" s="72">
        <v>99</v>
      </c>
      <c r="AB99" s="72"/>
      <c r="AC99" s="73"/>
      <c r="AD99" s="89" t="s">
        <v>1263</v>
      </c>
      <c r="AE99" s="96" t="s">
        <v>1470</v>
      </c>
      <c r="AF99" s="89">
        <v>761</v>
      </c>
      <c r="AG99" s="89">
        <v>434</v>
      </c>
      <c r="AH99" s="89">
        <v>13897</v>
      </c>
      <c r="AI99" s="89">
        <v>58931</v>
      </c>
      <c r="AJ99" s="89"/>
      <c r="AK99" s="89"/>
      <c r="AL99" s="89" t="s">
        <v>1776</v>
      </c>
      <c r="AM99" s="89"/>
      <c r="AN99" s="89"/>
      <c r="AO99" s="92">
        <v>43055.76783564815</v>
      </c>
      <c r="AP99" s="99" t="str">
        <f>HYPERLINK("https://pbs.twimg.com/profile_banners/931226784644943872/1574314791")</f>
        <v>https://pbs.twimg.com/profile_banners/931226784644943872/1574314791</v>
      </c>
      <c r="AQ99" s="89" t="b">
        <v>1</v>
      </c>
      <c r="AR99" s="89" t="b">
        <v>0</v>
      </c>
      <c r="AS99" s="89" t="b">
        <v>0</v>
      </c>
      <c r="AT99" s="89"/>
      <c r="AU99" s="89">
        <v>3</v>
      </c>
      <c r="AV99" s="89"/>
      <c r="AW99" s="89" t="b">
        <v>0</v>
      </c>
      <c r="AX99" s="89" t="s">
        <v>1811</v>
      </c>
      <c r="AY99" s="99" t="str">
        <f>HYPERLINK("https://twitter.com/veijovaiste")</f>
        <v>https://twitter.com/veijovaiste</v>
      </c>
      <c r="AZ99" s="89" t="s">
        <v>66</v>
      </c>
      <c r="BA99" s="89" t="str">
        <f>REPLACE(INDEX(GroupVertices[Group],MATCH(Vertices[[#This Row],[Vertex]],GroupVertices[Vertex],0)),1,1,"")</f>
        <v>5</v>
      </c>
      <c r="BB99" s="49">
        <v>0</v>
      </c>
      <c r="BC99" s="50">
        <v>0</v>
      </c>
      <c r="BD99" s="49">
        <v>0</v>
      </c>
      <c r="BE99" s="50">
        <v>0</v>
      </c>
      <c r="BF99" s="49">
        <v>0</v>
      </c>
      <c r="BG99" s="50">
        <v>0</v>
      </c>
      <c r="BH99" s="49">
        <v>4</v>
      </c>
      <c r="BI99" s="50">
        <v>100</v>
      </c>
      <c r="BJ99" s="49">
        <v>4</v>
      </c>
      <c r="BK99" s="49"/>
      <c r="BL99" s="49"/>
      <c r="BM99" s="49"/>
      <c r="BN99" s="49"/>
      <c r="BO99" s="49"/>
      <c r="BP99" s="49"/>
      <c r="BQ99" s="123" t="s">
        <v>4223</v>
      </c>
      <c r="BR99" s="123" t="s">
        <v>4223</v>
      </c>
      <c r="BS99" s="123" t="s">
        <v>4343</v>
      </c>
      <c r="BT99" s="123" t="s">
        <v>4343</v>
      </c>
      <c r="BU99" s="2"/>
      <c r="BV99" s="3"/>
      <c r="BW99" s="3"/>
      <c r="BX99" s="3"/>
      <c r="BY99" s="3"/>
    </row>
    <row r="100" spans="1:77" ht="15">
      <c r="A100" s="65" t="s">
        <v>282</v>
      </c>
      <c r="B100" s="66"/>
      <c r="C100" s="66" t="s">
        <v>46</v>
      </c>
      <c r="D100" s="67"/>
      <c r="E100" s="69"/>
      <c r="F100" s="111" t="str">
        <f>HYPERLINK("https://abs.twimg.com/sticky/default_profile_images/default_profile_normal.png")</f>
        <v>https://abs.twimg.com/sticky/default_profile_images/default_profile_normal.png</v>
      </c>
      <c r="G100" s="66"/>
      <c r="H100" s="70" t="s">
        <v>282</v>
      </c>
      <c r="I100" s="71" t="s">
        <v>4411</v>
      </c>
      <c r="J100" s="71" t="s">
        <v>73</v>
      </c>
      <c r="K100" s="70" t="s">
        <v>1908</v>
      </c>
      <c r="L100" s="74">
        <v>1</v>
      </c>
      <c r="M100" s="75">
        <v>5714.94140625</v>
      </c>
      <c r="N100" s="75">
        <v>9030.236328125</v>
      </c>
      <c r="O100" s="76"/>
      <c r="P100" s="77"/>
      <c r="Q100" s="77"/>
      <c r="R100" s="104"/>
      <c r="S100" s="49">
        <v>0</v>
      </c>
      <c r="T100" s="49">
        <v>1</v>
      </c>
      <c r="U100" s="50">
        <v>0</v>
      </c>
      <c r="V100" s="50">
        <v>0.201398</v>
      </c>
      <c r="W100" s="50">
        <v>0.004089</v>
      </c>
      <c r="X100" s="50">
        <v>0.003753</v>
      </c>
      <c r="Y100" s="50">
        <v>0</v>
      </c>
      <c r="Z100" s="50">
        <v>0</v>
      </c>
      <c r="AA100" s="72">
        <v>100</v>
      </c>
      <c r="AB100" s="72"/>
      <c r="AC100" s="73"/>
      <c r="AD100" s="89" t="s">
        <v>1264</v>
      </c>
      <c r="AE100" s="96" t="s">
        <v>1471</v>
      </c>
      <c r="AF100" s="89">
        <v>279</v>
      </c>
      <c r="AG100" s="89">
        <v>226</v>
      </c>
      <c r="AH100" s="89">
        <v>1583</v>
      </c>
      <c r="AI100" s="89">
        <v>4154</v>
      </c>
      <c r="AJ100" s="89"/>
      <c r="AK100" s="89"/>
      <c r="AL100" s="89"/>
      <c r="AM100" s="89"/>
      <c r="AN100" s="89"/>
      <c r="AO100" s="92">
        <v>44184.99082175926</v>
      </c>
      <c r="AP100" s="89"/>
      <c r="AQ100" s="89" t="b">
        <v>1</v>
      </c>
      <c r="AR100" s="89" t="b">
        <v>1</v>
      </c>
      <c r="AS100" s="89" t="b">
        <v>0</v>
      </c>
      <c r="AT100" s="89"/>
      <c r="AU100" s="89">
        <v>0</v>
      </c>
      <c r="AV100" s="89"/>
      <c r="AW100" s="89" t="b">
        <v>0</v>
      </c>
      <c r="AX100" s="89" t="s">
        <v>1811</v>
      </c>
      <c r="AY100" s="99" t="str">
        <f>HYPERLINK("https://twitter.com/jalonenkaija")</f>
        <v>https://twitter.com/jalonenkaija</v>
      </c>
      <c r="AZ100" s="89" t="s">
        <v>66</v>
      </c>
      <c r="BA100" s="89" t="str">
        <f>REPLACE(INDEX(GroupVertices[Group],MATCH(Vertices[[#This Row],[Vertex]],GroupVertices[Vertex],0)),1,1,"")</f>
        <v>3</v>
      </c>
      <c r="BB100" s="49">
        <v>0</v>
      </c>
      <c r="BC100" s="50">
        <v>0</v>
      </c>
      <c r="BD100" s="49">
        <v>0</v>
      </c>
      <c r="BE100" s="50">
        <v>0</v>
      </c>
      <c r="BF100" s="49">
        <v>0</v>
      </c>
      <c r="BG100" s="50">
        <v>0</v>
      </c>
      <c r="BH100" s="49">
        <v>7</v>
      </c>
      <c r="BI100" s="50">
        <v>100</v>
      </c>
      <c r="BJ100" s="49">
        <v>7</v>
      </c>
      <c r="BK100" s="49"/>
      <c r="BL100" s="49"/>
      <c r="BM100" s="49"/>
      <c r="BN100" s="49"/>
      <c r="BO100" s="49"/>
      <c r="BP100" s="49"/>
      <c r="BQ100" s="123" t="s">
        <v>4224</v>
      </c>
      <c r="BR100" s="123" t="s">
        <v>4224</v>
      </c>
      <c r="BS100" s="123" t="s">
        <v>4344</v>
      </c>
      <c r="BT100" s="123" t="s">
        <v>4344</v>
      </c>
      <c r="BU100" s="2"/>
      <c r="BV100" s="3"/>
      <c r="BW100" s="3"/>
      <c r="BX100" s="3"/>
      <c r="BY100" s="3"/>
    </row>
    <row r="101" spans="1:77" ht="15">
      <c r="A101" s="65" t="s">
        <v>283</v>
      </c>
      <c r="B101" s="66"/>
      <c r="C101" s="66" t="s">
        <v>46</v>
      </c>
      <c r="D101" s="67"/>
      <c r="E101" s="69"/>
      <c r="F101" s="111" t="str">
        <f>HYPERLINK("https://pbs.twimg.com/profile_images/1216873148529901568/bQw7Ym9u_normal.jpg")</f>
        <v>https://pbs.twimg.com/profile_images/1216873148529901568/bQw7Ym9u_normal.jpg</v>
      </c>
      <c r="G101" s="66"/>
      <c r="H101" s="70" t="s">
        <v>283</v>
      </c>
      <c r="I101" s="71" t="s">
        <v>4415</v>
      </c>
      <c r="J101" s="71" t="s">
        <v>73</v>
      </c>
      <c r="K101" s="70" t="s">
        <v>1909</v>
      </c>
      <c r="L101" s="74">
        <v>1</v>
      </c>
      <c r="M101" s="75">
        <v>8218.8115234375</v>
      </c>
      <c r="N101" s="75">
        <v>6925.05810546875</v>
      </c>
      <c r="O101" s="76"/>
      <c r="P101" s="77"/>
      <c r="Q101" s="77"/>
      <c r="R101" s="104"/>
      <c r="S101" s="49">
        <v>0</v>
      </c>
      <c r="T101" s="49">
        <v>1</v>
      </c>
      <c r="U101" s="50">
        <v>0</v>
      </c>
      <c r="V101" s="50">
        <v>0.169234</v>
      </c>
      <c r="W101" s="50">
        <v>0.004563</v>
      </c>
      <c r="X101" s="50">
        <v>0.003792</v>
      </c>
      <c r="Y101" s="50">
        <v>0</v>
      </c>
      <c r="Z101" s="50">
        <v>0</v>
      </c>
      <c r="AA101" s="72">
        <v>101</v>
      </c>
      <c r="AB101" s="72"/>
      <c r="AC101" s="73"/>
      <c r="AD101" s="89" t="s">
        <v>1265</v>
      </c>
      <c r="AE101" s="96" t="s">
        <v>1472</v>
      </c>
      <c r="AF101" s="89">
        <v>13</v>
      </c>
      <c r="AG101" s="89">
        <v>30</v>
      </c>
      <c r="AH101" s="89">
        <v>2009</v>
      </c>
      <c r="AI101" s="89">
        <v>3707</v>
      </c>
      <c r="AJ101" s="89"/>
      <c r="AK101" s="89" t="s">
        <v>1663</v>
      </c>
      <c r="AL101" s="89" t="s">
        <v>1785</v>
      </c>
      <c r="AM101" s="89"/>
      <c r="AN101" s="89"/>
      <c r="AO101" s="92">
        <v>41880.97210648148</v>
      </c>
      <c r="AP101" s="99" t="str">
        <f>HYPERLINK("https://pbs.twimg.com/profile_banners/2779450813/1637987058")</f>
        <v>https://pbs.twimg.com/profile_banners/2779450813/1637987058</v>
      </c>
      <c r="AQ101" s="89" t="b">
        <v>1</v>
      </c>
      <c r="AR101" s="89" t="b">
        <v>0</v>
      </c>
      <c r="AS101" s="89" t="b">
        <v>0</v>
      </c>
      <c r="AT101" s="89"/>
      <c r="AU101" s="89">
        <v>0</v>
      </c>
      <c r="AV101" s="99" t="str">
        <f>HYPERLINK("https://abs.twimg.com/images/themes/theme1/bg.png")</f>
        <v>https://abs.twimg.com/images/themes/theme1/bg.png</v>
      </c>
      <c r="AW101" s="89" t="b">
        <v>0</v>
      </c>
      <c r="AX101" s="89" t="s">
        <v>1811</v>
      </c>
      <c r="AY101" s="99" t="str">
        <f>HYPERLINK("https://twitter.com/seppopalkki")</f>
        <v>https://twitter.com/seppopalkki</v>
      </c>
      <c r="AZ101" s="89" t="s">
        <v>66</v>
      </c>
      <c r="BA101" s="89" t="str">
        <f>REPLACE(INDEX(GroupVertices[Group],MATCH(Vertices[[#This Row],[Vertex]],GroupVertices[Vertex],0)),1,1,"")</f>
        <v>5</v>
      </c>
      <c r="BB101" s="49">
        <v>0</v>
      </c>
      <c r="BC101" s="50">
        <v>0</v>
      </c>
      <c r="BD101" s="49">
        <v>0</v>
      </c>
      <c r="BE101" s="50">
        <v>0</v>
      </c>
      <c r="BF101" s="49">
        <v>0</v>
      </c>
      <c r="BG101" s="50">
        <v>0</v>
      </c>
      <c r="BH101" s="49">
        <v>28</v>
      </c>
      <c r="BI101" s="50">
        <v>100</v>
      </c>
      <c r="BJ101" s="49">
        <v>28</v>
      </c>
      <c r="BK101" s="49"/>
      <c r="BL101" s="49"/>
      <c r="BM101" s="49"/>
      <c r="BN101" s="49"/>
      <c r="BO101" s="49"/>
      <c r="BP101" s="49"/>
      <c r="BQ101" s="123" t="s">
        <v>4225</v>
      </c>
      <c r="BR101" s="123" t="s">
        <v>4225</v>
      </c>
      <c r="BS101" s="123" t="s">
        <v>4345</v>
      </c>
      <c r="BT101" s="123" t="s">
        <v>4345</v>
      </c>
      <c r="BU101" s="2"/>
      <c r="BV101" s="3"/>
      <c r="BW101" s="3"/>
      <c r="BX101" s="3"/>
      <c r="BY101" s="3"/>
    </row>
    <row r="102" spans="1:77" ht="15">
      <c r="A102" s="65" t="s">
        <v>284</v>
      </c>
      <c r="B102" s="66"/>
      <c r="C102" s="66" t="s">
        <v>46</v>
      </c>
      <c r="D102" s="67"/>
      <c r="E102" s="69"/>
      <c r="F102" s="111" t="str">
        <f>HYPERLINK("https://pbs.twimg.com/profile_images/1144279196660883457/ahBbyL7a_normal.jpg")</f>
        <v>https://pbs.twimg.com/profile_images/1144279196660883457/ahBbyL7a_normal.jpg</v>
      </c>
      <c r="G102" s="66"/>
      <c r="H102" s="70" t="s">
        <v>284</v>
      </c>
      <c r="I102" s="71" t="s">
        <v>4407</v>
      </c>
      <c r="J102" s="71" t="s">
        <v>73</v>
      </c>
      <c r="K102" s="70" t="s">
        <v>1910</v>
      </c>
      <c r="L102" s="74">
        <v>1</v>
      </c>
      <c r="M102" s="75">
        <v>9411.107421875</v>
      </c>
      <c r="N102" s="75">
        <v>5573.212890625</v>
      </c>
      <c r="O102" s="76"/>
      <c r="P102" s="77"/>
      <c r="Q102" s="77"/>
      <c r="R102" s="104"/>
      <c r="S102" s="49">
        <v>0</v>
      </c>
      <c r="T102" s="49">
        <v>1</v>
      </c>
      <c r="U102" s="50">
        <v>0</v>
      </c>
      <c r="V102" s="50">
        <v>0.163412</v>
      </c>
      <c r="W102" s="50">
        <v>0.007398</v>
      </c>
      <c r="X102" s="50">
        <v>0.003783</v>
      </c>
      <c r="Y102" s="50">
        <v>0</v>
      </c>
      <c r="Z102" s="50">
        <v>0</v>
      </c>
      <c r="AA102" s="72">
        <v>102</v>
      </c>
      <c r="AB102" s="72"/>
      <c r="AC102" s="73"/>
      <c r="AD102" s="89" t="s">
        <v>1266</v>
      </c>
      <c r="AE102" s="96" t="s">
        <v>1473</v>
      </c>
      <c r="AF102" s="89">
        <v>252</v>
      </c>
      <c r="AG102" s="89">
        <v>155</v>
      </c>
      <c r="AH102" s="89">
        <v>993</v>
      </c>
      <c r="AI102" s="89">
        <v>14288</v>
      </c>
      <c r="AJ102" s="89"/>
      <c r="AK102" s="89"/>
      <c r="AL102" s="89"/>
      <c r="AM102" s="89"/>
      <c r="AN102" s="89"/>
      <c r="AO102" s="92">
        <v>42069.4925</v>
      </c>
      <c r="AP102" s="99" t="str">
        <f>HYPERLINK("https://pbs.twimg.com/profile_banners/3074711416/1633683623")</f>
        <v>https://pbs.twimg.com/profile_banners/3074711416/1633683623</v>
      </c>
      <c r="AQ102" s="89" t="b">
        <v>1</v>
      </c>
      <c r="AR102" s="89" t="b">
        <v>0</v>
      </c>
      <c r="AS102" s="89" t="b">
        <v>0</v>
      </c>
      <c r="AT102" s="89"/>
      <c r="AU102" s="89">
        <v>1</v>
      </c>
      <c r="AV102" s="99" t="str">
        <f>HYPERLINK("https://abs.twimg.com/images/themes/theme1/bg.png")</f>
        <v>https://abs.twimg.com/images/themes/theme1/bg.png</v>
      </c>
      <c r="AW102" s="89" t="b">
        <v>0</v>
      </c>
      <c r="AX102" s="89" t="s">
        <v>1811</v>
      </c>
      <c r="AY102" s="99" t="str">
        <f>HYPERLINK("https://twitter.com/nikkiviitaharju")</f>
        <v>https://twitter.com/nikkiviitaharju</v>
      </c>
      <c r="AZ102" s="89" t="s">
        <v>66</v>
      </c>
      <c r="BA102" s="89" t="str">
        <f>REPLACE(INDEX(GroupVertices[Group],MATCH(Vertices[[#This Row],[Vertex]],GroupVertices[Vertex],0)),1,1,"")</f>
        <v>6</v>
      </c>
      <c r="BB102" s="49">
        <v>0</v>
      </c>
      <c r="BC102" s="50">
        <v>0</v>
      </c>
      <c r="BD102" s="49">
        <v>0</v>
      </c>
      <c r="BE102" s="50">
        <v>0</v>
      </c>
      <c r="BF102" s="49">
        <v>0</v>
      </c>
      <c r="BG102" s="50">
        <v>0</v>
      </c>
      <c r="BH102" s="49">
        <v>9</v>
      </c>
      <c r="BI102" s="50">
        <v>100</v>
      </c>
      <c r="BJ102" s="49">
        <v>9</v>
      </c>
      <c r="BK102" s="49"/>
      <c r="BL102" s="49"/>
      <c r="BM102" s="49"/>
      <c r="BN102" s="49"/>
      <c r="BO102" s="49" t="s">
        <v>556</v>
      </c>
      <c r="BP102" s="49" t="s">
        <v>556</v>
      </c>
      <c r="BQ102" s="123" t="s">
        <v>4226</v>
      </c>
      <c r="BR102" s="123" t="s">
        <v>4226</v>
      </c>
      <c r="BS102" s="123" t="s">
        <v>4346</v>
      </c>
      <c r="BT102" s="123" t="s">
        <v>4346</v>
      </c>
      <c r="BU102" s="2"/>
      <c r="BV102" s="3"/>
      <c r="BW102" s="3"/>
      <c r="BX102" s="3"/>
      <c r="BY102" s="3"/>
    </row>
    <row r="103" spans="1:77" ht="15">
      <c r="A103" s="65" t="s">
        <v>285</v>
      </c>
      <c r="B103" s="66"/>
      <c r="C103" s="66" t="s">
        <v>46</v>
      </c>
      <c r="D103" s="67"/>
      <c r="E103" s="69"/>
      <c r="F103" s="111" t="str">
        <f>HYPERLINK("https://pbs.twimg.com/profile_images/1476859666063892495/-y2i9Qm-_normal.jpg")</f>
        <v>https://pbs.twimg.com/profile_images/1476859666063892495/-y2i9Qm-_normal.jpg</v>
      </c>
      <c r="G103" s="66"/>
      <c r="H103" s="70" t="s">
        <v>285</v>
      </c>
      <c r="I103" s="71" t="s">
        <v>4411</v>
      </c>
      <c r="J103" s="71" t="s">
        <v>73</v>
      </c>
      <c r="K103" s="70" t="s">
        <v>1911</v>
      </c>
      <c r="L103" s="74">
        <v>1</v>
      </c>
      <c r="M103" s="75">
        <v>5675.09619140625</v>
      </c>
      <c r="N103" s="75">
        <v>7339.10693359375</v>
      </c>
      <c r="O103" s="76"/>
      <c r="P103" s="77"/>
      <c r="Q103" s="77"/>
      <c r="R103" s="104"/>
      <c r="S103" s="49">
        <v>0</v>
      </c>
      <c r="T103" s="49">
        <v>2</v>
      </c>
      <c r="U103" s="50">
        <v>3440.274043</v>
      </c>
      <c r="V103" s="50">
        <v>0.240833</v>
      </c>
      <c r="W103" s="50">
        <v>0.035942</v>
      </c>
      <c r="X103" s="50">
        <v>0.003833</v>
      </c>
      <c r="Y103" s="50">
        <v>0</v>
      </c>
      <c r="Z103" s="50">
        <v>0</v>
      </c>
      <c r="AA103" s="72">
        <v>103</v>
      </c>
      <c r="AB103" s="72"/>
      <c r="AC103" s="73"/>
      <c r="AD103" s="89" t="s">
        <v>1267</v>
      </c>
      <c r="AE103" s="96" t="s">
        <v>1474</v>
      </c>
      <c r="AF103" s="89">
        <v>946</v>
      </c>
      <c r="AG103" s="89">
        <v>254</v>
      </c>
      <c r="AH103" s="89">
        <v>1575</v>
      </c>
      <c r="AI103" s="89">
        <v>14791</v>
      </c>
      <c r="AJ103" s="89"/>
      <c r="AK103" s="89" t="s">
        <v>1664</v>
      </c>
      <c r="AL103" s="89" t="s">
        <v>1786</v>
      </c>
      <c r="AM103" s="99" t="str">
        <f>HYPERLINK("https://t.co/mNJdBXDTEg")</f>
        <v>https://t.co/mNJdBXDTEg</v>
      </c>
      <c r="AN103" s="89"/>
      <c r="AO103" s="92">
        <v>44531.58770833333</v>
      </c>
      <c r="AP103" s="99" t="str">
        <f>HYPERLINK("https://pbs.twimg.com/profile_banners/1466045771090964481/1638559148")</f>
        <v>https://pbs.twimg.com/profile_banners/1466045771090964481/1638559148</v>
      </c>
      <c r="AQ103" s="89" t="b">
        <v>1</v>
      </c>
      <c r="AR103" s="89" t="b">
        <v>0</v>
      </c>
      <c r="AS103" s="89" t="b">
        <v>0</v>
      </c>
      <c r="AT103" s="89"/>
      <c r="AU103" s="89">
        <v>0</v>
      </c>
      <c r="AV103" s="89"/>
      <c r="AW103" s="89" t="b">
        <v>0</v>
      </c>
      <c r="AX103" s="89" t="s">
        <v>1811</v>
      </c>
      <c r="AY103" s="99" t="str">
        <f>HYPERLINK("https://twitter.com/gonzalespedros3")</f>
        <v>https://twitter.com/gonzalespedros3</v>
      </c>
      <c r="AZ103" s="89" t="s">
        <v>66</v>
      </c>
      <c r="BA103" s="89" t="str">
        <f>REPLACE(INDEX(GroupVertices[Group],MATCH(Vertices[[#This Row],[Vertex]],GroupVertices[Vertex],0)),1,1,"")</f>
        <v>3</v>
      </c>
      <c r="BB103" s="49">
        <v>0</v>
      </c>
      <c r="BC103" s="50">
        <v>0</v>
      </c>
      <c r="BD103" s="49">
        <v>0</v>
      </c>
      <c r="BE103" s="50">
        <v>0</v>
      </c>
      <c r="BF103" s="49">
        <v>0</v>
      </c>
      <c r="BG103" s="50">
        <v>0</v>
      </c>
      <c r="BH103" s="49">
        <v>8</v>
      </c>
      <c r="BI103" s="50">
        <v>100</v>
      </c>
      <c r="BJ103" s="49">
        <v>8</v>
      </c>
      <c r="BK103" s="49" t="s">
        <v>3920</v>
      </c>
      <c r="BL103" s="49" t="s">
        <v>3920</v>
      </c>
      <c r="BM103" s="49" t="s">
        <v>552</v>
      </c>
      <c r="BN103" s="49" t="s">
        <v>552</v>
      </c>
      <c r="BO103" s="49" t="s">
        <v>565</v>
      </c>
      <c r="BP103" s="49" t="s">
        <v>565</v>
      </c>
      <c r="BQ103" s="123" t="s">
        <v>4227</v>
      </c>
      <c r="BR103" s="123" t="s">
        <v>4286</v>
      </c>
      <c r="BS103" s="123" t="s">
        <v>4347</v>
      </c>
      <c r="BT103" s="123" t="s">
        <v>4347</v>
      </c>
      <c r="BU103" s="2"/>
      <c r="BV103" s="3"/>
      <c r="BW103" s="3"/>
      <c r="BX103" s="3"/>
      <c r="BY103" s="3"/>
    </row>
    <row r="104" spans="1:77" ht="15">
      <c r="A104" s="65" t="s">
        <v>286</v>
      </c>
      <c r="B104" s="66"/>
      <c r="C104" s="66" t="s">
        <v>46</v>
      </c>
      <c r="D104" s="67">
        <v>10</v>
      </c>
      <c r="E104" s="69"/>
      <c r="F104" s="111" t="str">
        <f>HYPERLINK("https://pbs.twimg.com/profile_images/1467254076228476933/fyJV9dwo_normal.jpg")</f>
        <v>https://pbs.twimg.com/profile_images/1467254076228476933/fyJV9dwo_normal.jpg</v>
      </c>
      <c r="G104" s="66"/>
      <c r="H104" s="70" t="s">
        <v>286</v>
      </c>
      <c r="I104" s="71" t="s">
        <v>4410</v>
      </c>
      <c r="J104" s="71" t="s">
        <v>73</v>
      </c>
      <c r="K104" s="70" t="s">
        <v>1912</v>
      </c>
      <c r="L104" s="74">
        <v>200.96</v>
      </c>
      <c r="M104" s="75">
        <v>3955.87255859375</v>
      </c>
      <c r="N104" s="75">
        <v>9323.4326171875</v>
      </c>
      <c r="O104" s="76"/>
      <c r="P104" s="77"/>
      <c r="Q104" s="77"/>
      <c r="R104" s="104"/>
      <c r="S104" s="49">
        <v>1</v>
      </c>
      <c r="T104" s="49">
        <v>1</v>
      </c>
      <c r="U104" s="50">
        <v>0</v>
      </c>
      <c r="V104" s="50">
        <v>0</v>
      </c>
      <c r="W104" s="50">
        <v>0</v>
      </c>
      <c r="X104" s="50">
        <v>0.004329</v>
      </c>
      <c r="Y104" s="50">
        <v>0</v>
      </c>
      <c r="Z104" s="50">
        <v>0</v>
      </c>
      <c r="AA104" s="72">
        <v>104</v>
      </c>
      <c r="AB104" s="72"/>
      <c r="AC104" s="73"/>
      <c r="AD104" s="89" t="s">
        <v>1268</v>
      </c>
      <c r="AE104" s="96" t="s">
        <v>1475</v>
      </c>
      <c r="AF104" s="89">
        <v>2</v>
      </c>
      <c r="AG104" s="89">
        <v>0</v>
      </c>
      <c r="AH104" s="89">
        <v>1</v>
      </c>
      <c r="AI104" s="89">
        <v>0</v>
      </c>
      <c r="AJ104" s="89"/>
      <c r="AK104" s="89" t="s">
        <v>1665</v>
      </c>
      <c r="AL104" s="89"/>
      <c r="AM104" s="89"/>
      <c r="AN104" s="89"/>
      <c r="AO104" s="92">
        <v>44534.92136574074</v>
      </c>
      <c r="AP104" s="89"/>
      <c r="AQ104" s="89" t="b">
        <v>1</v>
      </c>
      <c r="AR104" s="89" t="b">
        <v>0</v>
      </c>
      <c r="AS104" s="89" t="b">
        <v>0</v>
      </c>
      <c r="AT104" s="89"/>
      <c r="AU104" s="89">
        <v>0</v>
      </c>
      <c r="AV104" s="89"/>
      <c r="AW104" s="89" t="b">
        <v>0</v>
      </c>
      <c r="AX104" s="89" t="s">
        <v>1811</v>
      </c>
      <c r="AY104" s="99" t="str">
        <f>HYPERLINK("https://twitter.com/mikkopohjanhei2")</f>
        <v>https://twitter.com/mikkopohjanhei2</v>
      </c>
      <c r="AZ104" s="89" t="s">
        <v>66</v>
      </c>
      <c r="BA104" s="89" t="str">
        <f>REPLACE(INDEX(GroupVertices[Group],MATCH(Vertices[[#This Row],[Vertex]],GroupVertices[Vertex],0)),1,1,"")</f>
        <v>7</v>
      </c>
      <c r="BB104" s="49">
        <v>0</v>
      </c>
      <c r="BC104" s="50">
        <v>0</v>
      </c>
      <c r="BD104" s="49">
        <v>0</v>
      </c>
      <c r="BE104" s="50">
        <v>0</v>
      </c>
      <c r="BF104" s="49">
        <v>0</v>
      </c>
      <c r="BG104" s="50">
        <v>0</v>
      </c>
      <c r="BH104" s="49">
        <v>30</v>
      </c>
      <c r="BI104" s="50">
        <v>100</v>
      </c>
      <c r="BJ104" s="49">
        <v>30</v>
      </c>
      <c r="BK104" s="49"/>
      <c r="BL104" s="49"/>
      <c r="BM104" s="49"/>
      <c r="BN104" s="49"/>
      <c r="BO104" s="49" t="s">
        <v>566</v>
      </c>
      <c r="BP104" s="49" t="s">
        <v>566</v>
      </c>
      <c r="BQ104" s="123" t="s">
        <v>4228</v>
      </c>
      <c r="BR104" s="123" t="s">
        <v>4228</v>
      </c>
      <c r="BS104" s="123" t="s">
        <v>4348</v>
      </c>
      <c r="BT104" s="123" t="s">
        <v>4348</v>
      </c>
      <c r="BU104" s="2"/>
      <c r="BV104" s="3"/>
      <c r="BW104" s="3"/>
      <c r="BX104" s="3"/>
      <c r="BY104" s="3"/>
    </row>
    <row r="105" spans="1:77" ht="15">
      <c r="A105" s="65" t="s">
        <v>287</v>
      </c>
      <c r="B105" s="66"/>
      <c r="C105" s="66" t="s">
        <v>46</v>
      </c>
      <c r="D105" s="67">
        <v>10</v>
      </c>
      <c r="E105" s="69"/>
      <c r="F105" s="111" t="str">
        <f>HYPERLINK("https://pbs.twimg.com/profile_images/1334873771795156992/gV7_kgB5_normal.jpg")</f>
        <v>https://pbs.twimg.com/profile_images/1334873771795156992/gV7_kgB5_normal.jpg</v>
      </c>
      <c r="G105" s="66"/>
      <c r="H105" s="70" t="s">
        <v>287</v>
      </c>
      <c r="I105" s="71" t="s">
        <v>4410</v>
      </c>
      <c r="J105" s="71" t="s">
        <v>73</v>
      </c>
      <c r="K105" s="70" t="s">
        <v>1913</v>
      </c>
      <c r="L105" s="74">
        <v>200.96</v>
      </c>
      <c r="M105" s="75">
        <v>1361.86767578125</v>
      </c>
      <c r="N105" s="75">
        <v>963.2542724609375</v>
      </c>
      <c r="O105" s="76"/>
      <c r="P105" s="77"/>
      <c r="Q105" s="77"/>
      <c r="R105" s="104"/>
      <c r="S105" s="49">
        <v>1</v>
      </c>
      <c r="T105" s="49">
        <v>1</v>
      </c>
      <c r="U105" s="50">
        <v>0</v>
      </c>
      <c r="V105" s="50">
        <v>0</v>
      </c>
      <c r="W105" s="50">
        <v>0</v>
      </c>
      <c r="X105" s="50">
        <v>0.004329</v>
      </c>
      <c r="Y105" s="50">
        <v>0</v>
      </c>
      <c r="Z105" s="50">
        <v>0</v>
      </c>
      <c r="AA105" s="72">
        <v>105</v>
      </c>
      <c r="AB105" s="72"/>
      <c r="AC105" s="73"/>
      <c r="AD105" s="89" t="s">
        <v>1269</v>
      </c>
      <c r="AE105" s="96" t="s">
        <v>1476</v>
      </c>
      <c r="AF105" s="89">
        <v>9</v>
      </c>
      <c r="AG105" s="89">
        <v>10</v>
      </c>
      <c r="AH105" s="89">
        <v>38</v>
      </c>
      <c r="AI105" s="89">
        <v>77</v>
      </c>
      <c r="AJ105" s="89"/>
      <c r="AK105" s="89" t="s">
        <v>1666</v>
      </c>
      <c r="AL105" s="89"/>
      <c r="AM105" s="89"/>
      <c r="AN105" s="89"/>
      <c r="AO105" s="92">
        <v>41239.70140046296</v>
      </c>
      <c r="AP105" s="99" t="str">
        <f>HYPERLINK("https://pbs.twimg.com/profile_banners/972312566/1607093745")</f>
        <v>https://pbs.twimg.com/profile_banners/972312566/1607093745</v>
      </c>
      <c r="AQ105" s="89" t="b">
        <v>1</v>
      </c>
      <c r="AR105" s="89" t="b">
        <v>0</v>
      </c>
      <c r="AS105" s="89" t="b">
        <v>0</v>
      </c>
      <c r="AT105" s="89"/>
      <c r="AU105" s="89">
        <v>0</v>
      </c>
      <c r="AV105" s="99" t="str">
        <f>HYPERLINK("https://abs.twimg.com/images/themes/theme1/bg.png")</f>
        <v>https://abs.twimg.com/images/themes/theme1/bg.png</v>
      </c>
      <c r="AW105" s="89" t="b">
        <v>0</v>
      </c>
      <c r="AX105" s="89" t="s">
        <v>1811</v>
      </c>
      <c r="AY105" s="99" t="str">
        <f>HYPERLINK("https://twitter.com/pmaenranta")</f>
        <v>https://twitter.com/pmaenranta</v>
      </c>
      <c r="AZ105" s="89" t="s">
        <v>66</v>
      </c>
      <c r="BA105" s="89" t="str">
        <f>REPLACE(INDEX(GroupVertices[Group],MATCH(Vertices[[#This Row],[Vertex]],GroupVertices[Vertex],0)),1,1,"")</f>
        <v>7</v>
      </c>
      <c r="BB105" s="49">
        <v>0</v>
      </c>
      <c r="BC105" s="50">
        <v>0</v>
      </c>
      <c r="BD105" s="49">
        <v>0</v>
      </c>
      <c r="BE105" s="50">
        <v>0</v>
      </c>
      <c r="BF105" s="49">
        <v>0</v>
      </c>
      <c r="BG105" s="50">
        <v>0</v>
      </c>
      <c r="BH105" s="49">
        <v>30</v>
      </c>
      <c r="BI105" s="50">
        <v>100</v>
      </c>
      <c r="BJ105" s="49">
        <v>30</v>
      </c>
      <c r="BK105" s="49" t="s">
        <v>3915</v>
      </c>
      <c r="BL105" s="49" t="s">
        <v>3915</v>
      </c>
      <c r="BM105" s="49" t="s">
        <v>549</v>
      </c>
      <c r="BN105" s="49" t="s">
        <v>549</v>
      </c>
      <c r="BO105" s="49"/>
      <c r="BP105" s="49"/>
      <c r="BQ105" s="123" t="s">
        <v>4229</v>
      </c>
      <c r="BR105" s="123" t="s">
        <v>4229</v>
      </c>
      <c r="BS105" s="123" t="s">
        <v>4349</v>
      </c>
      <c r="BT105" s="123" t="s">
        <v>4349</v>
      </c>
      <c r="BU105" s="2"/>
      <c r="BV105" s="3"/>
      <c r="BW105" s="3"/>
      <c r="BX105" s="3"/>
      <c r="BY105" s="3"/>
    </row>
    <row r="106" spans="1:77" ht="15">
      <c r="A106" s="65" t="s">
        <v>288</v>
      </c>
      <c r="B106" s="66"/>
      <c r="C106" s="66" t="s">
        <v>46</v>
      </c>
      <c r="D106" s="67"/>
      <c r="E106" s="69"/>
      <c r="F106" s="111" t="str">
        <f>HYPERLINK("https://pbs.twimg.com/profile_images/1479014044182978560/nQKkoBdy_normal.png")</f>
        <v>https://pbs.twimg.com/profile_images/1479014044182978560/nQKkoBdy_normal.png</v>
      </c>
      <c r="G106" s="66"/>
      <c r="H106" s="70" t="s">
        <v>288</v>
      </c>
      <c r="I106" s="71" t="s">
        <v>4416</v>
      </c>
      <c r="J106" s="71" t="s">
        <v>73</v>
      </c>
      <c r="K106" s="70" t="s">
        <v>1914</v>
      </c>
      <c r="L106" s="74">
        <v>1</v>
      </c>
      <c r="M106" s="75">
        <v>8084.2978515625</v>
      </c>
      <c r="N106" s="75">
        <v>4566.2880859375</v>
      </c>
      <c r="O106" s="76"/>
      <c r="P106" s="77"/>
      <c r="Q106" s="77"/>
      <c r="R106" s="104"/>
      <c r="S106" s="49">
        <v>0</v>
      </c>
      <c r="T106" s="49">
        <v>1</v>
      </c>
      <c r="U106" s="50">
        <v>0</v>
      </c>
      <c r="V106" s="50">
        <v>0.005797</v>
      </c>
      <c r="W106" s="50">
        <v>0</v>
      </c>
      <c r="X106" s="50">
        <v>0.004047</v>
      </c>
      <c r="Y106" s="50">
        <v>0</v>
      </c>
      <c r="Z106" s="50">
        <v>0</v>
      </c>
      <c r="AA106" s="72">
        <v>106</v>
      </c>
      <c r="AB106" s="72"/>
      <c r="AC106" s="73"/>
      <c r="AD106" s="89" t="s">
        <v>1270</v>
      </c>
      <c r="AE106" s="96" t="s">
        <v>1477</v>
      </c>
      <c r="AF106" s="89">
        <v>41</v>
      </c>
      <c r="AG106" s="89">
        <v>2</v>
      </c>
      <c r="AH106" s="89">
        <v>4</v>
      </c>
      <c r="AI106" s="89">
        <v>138</v>
      </c>
      <c r="AJ106" s="89"/>
      <c r="AK106" s="89"/>
      <c r="AL106" s="89" t="s">
        <v>1787</v>
      </c>
      <c r="AM106" s="89"/>
      <c r="AN106" s="89"/>
      <c r="AO106" s="92">
        <v>44567.37269675926</v>
      </c>
      <c r="AP106" s="89"/>
      <c r="AQ106" s="89" t="b">
        <v>1</v>
      </c>
      <c r="AR106" s="89" t="b">
        <v>0</v>
      </c>
      <c r="AS106" s="89" t="b">
        <v>0</v>
      </c>
      <c r="AT106" s="89"/>
      <c r="AU106" s="89">
        <v>0</v>
      </c>
      <c r="AV106" s="89"/>
      <c r="AW106" s="89" t="b">
        <v>0</v>
      </c>
      <c r="AX106" s="89" t="s">
        <v>1811</v>
      </c>
      <c r="AY106" s="99" t="str">
        <f>HYPERLINK("https://twitter.com/jensakseli")</f>
        <v>https://twitter.com/jensakseli</v>
      </c>
      <c r="AZ106" s="89" t="s">
        <v>66</v>
      </c>
      <c r="BA106" s="89" t="str">
        <f>REPLACE(INDEX(GroupVertices[Group],MATCH(Vertices[[#This Row],[Vertex]],GroupVertices[Vertex],0)),1,1,"")</f>
        <v>13</v>
      </c>
      <c r="BB106" s="49">
        <v>0</v>
      </c>
      <c r="BC106" s="50">
        <v>0</v>
      </c>
      <c r="BD106" s="49">
        <v>0</v>
      </c>
      <c r="BE106" s="50">
        <v>0</v>
      </c>
      <c r="BF106" s="49">
        <v>0</v>
      </c>
      <c r="BG106" s="50">
        <v>0</v>
      </c>
      <c r="BH106" s="49">
        <v>25</v>
      </c>
      <c r="BI106" s="50">
        <v>100</v>
      </c>
      <c r="BJ106" s="49">
        <v>25</v>
      </c>
      <c r="BK106" s="49"/>
      <c r="BL106" s="49"/>
      <c r="BM106" s="49"/>
      <c r="BN106" s="49"/>
      <c r="BO106" s="49"/>
      <c r="BP106" s="49"/>
      <c r="BQ106" s="123" t="s">
        <v>4230</v>
      </c>
      <c r="BR106" s="123" t="s">
        <v>4230</v>
      </c>
      <c r="BS106" s="123" t="s">
        <v>4350</v>
      </c>
      <c r="BT106" s="123" t="s">
        <v>4350</v>
      </c>
      <c r="BU106" s="2"/>
      <c r="BV106" s="3"/>
      <c r="BW106" s="3"/>
      <c r="BX106" s="3"/>
      <c r="BY106" s="3"/>
    </row>
    <row r="107" spans="1:77" ht="15">
      <c r="A107" s="65" t="s">
        <v>289</v>
      </c>
      <c r="B107" s="66"/>
      <c r="C107" s="66" t="s">
        <v>46</v>
      </c>
      <c r="D107" s="67"/>
      <c r="E107" s="69"/>
      <c r="F107" s="111" t="str">
        <f>HYPERLINK("https://pbs.twimg.com/profile_images/1452254660966993932/lL48yEuF_normal.jpg")</f>
        <v>https://pbs.twimg.com/profile_images/1452254660966993932/lL48yEuF_normal.jpg</v>
      </c>
      <c r="G107" s="66"/>
      <c r="H107" s="70" t="s">
        <v>289</v>
      </c>
      <c r="I107" s="71" t="s">
        <v>4411</v>
      </c>
      <c r="J107" s="71" t="s">
        <v>73</v>
      </c>
      <c r="K107" s="70" t="s">
        <v>1915</v>
      </c>
      <c r="L107" s="74">
        <v>1</v>
      </c>
      <c r="M107" s="75">
        <v>5979.4814453125</v>
      </c>
      <c r="N107" s="75">
        <v>7067.9169921875</v>
      </c>
      <c r="O107" s="76"/>
      <c r="P107" s="77"/>
      <c r="Q107" s="77"/>
      <c r="R107" s="104"/>
      <c r="S107" s="49">
        <v>0</v>
      </c>
      <c r="T107" s="49">
        <v>2</v>
      </c>
      <c r="U107" s="50">
        <v>173</v>
      </c>
      <c r="V107" s="50">
        <v>0.201989</v>
      </c>
      <c r="W107" s="50">
        <v>0.004232</v>
      </c>
      <c r="X107" s="50">
        <v>0.004065</v>
      </c>
      <c r="Y107" s="50">
        <v>0</v>
      </c>
      <c r="Z107" s="50">
        <v>0</v>
      </c>
      <c r="AA107" s="72">
        <v>107</v>
      </c>
      <c r="AB107" s="72"/>
      <c r="AC107" s="73"/>
      <c r="AD107" s="89" t="s">
        <v>1271</v>
      </c>
      <c r="AE107" s="96" t="s">
        <v>1478</v>
      </c>
      <c r="AF107" s="89">
        <v>690</v>
      </c>
      <c r="AG107" s="89">
        <v>290</v>
      </c>
      <c r="AH107" s="89">
        <v>8024</v>
      </c>
      <c r="AI107" s="89">
        <v>32136</v>
      </c>
      <c r="AJ107" s="89"/>
      <c r="AK107" s="89" t="s">
        <v>1667</v>
      </c>
      <c r="AL107" s="89"/>
      <c r="AM107" s="89"/>
      <c r="AN107" s="89"/>
      <c r="AO107" s="92">
        <v>43602.754594907405</v>
      </c>
      <c r="AP107" s="89"/>
      <c r="AQ107" s="89" t="b">
        <v>1</v>
      </c>
      <c r="AR107" s="89" t="b">
        <v>0</v>
      </c>
      <c r="AS107" s="89" t="b">
        <v>0</v>
      </c>
      <c r="AT107" s="89"/>
      <c r="AU107" s="89">
        <v>0</v>
      </c>
      <c r="AV107" s="89"/>
      <c r="AW107" s="89" t="b">
        <v>0</v>
      </c>
      <c r="AX107" s="89" t="s">
        <v>1811</v>
      </c>
      <c r="AY107" s="99" t="str">
        <f>HYPERLINK("https://twitter.com/ei_juma")</f>
        <v>https://twitter.com/ei_juma</v>
      </c>
      <c r="AZ107" s="89" t="s">
        <v>66</v>
      </c>
      <c r="BA107" s="89" t="str">
        <f>REPLACE(INDEX(GroupVertices[Group],MATCH(Vertices[[#This Row],[Vertex]],GroupVertices[Vertex],0)),1,1,"")</f>
        <v>3</v>
      </c>
      <c r="BB107" s="49">
        <v>0</v>
      </c>
      <c r="BC107" s="50">
        <v>0</v>
      </c>
      <c r="BD107" s="49">
        <v>0</v>
      </c>
      <c r="BE107" s="50">
        <v>0</v>
      </c>
      <c r="BF107" s="49">
        <v>0</v>
      </c>
      <c r="BG107" s="50">
        <v>0</v>
      </c>
      <c r="BH107" s="49">
        <v>74</v>
      </c>
      <c r="BI107" s="50">
        <v>100</v>
      </c>
      <c r="BJ107" s="49">
        <v>74</v>
      </c>
      <c r="BK107" s="49"/>
      <c r="BL107" s="49"/>
      <c r="BM107" s="49"/>
      <c r="BN107" s="49"/>
      <c r="BO107" s="49"/>
      <c r="BP107" s="49"/>
      <c r="BQ107" s="123" t="s">
        <v>4231</v>
      </c>
      <c r="BR107" s="123" t="s">
        <v>4287</v>
      </c>
      <c r="BS107" s="123" t="s">
        <v>4351</v>
      </c>
      <c r="BT107" s="123" t="s">
        <v>4394</v>
      </c>
      <c r="BU107" s="2"/>
      <c r="BV107" s="3"/>
      <c r="BW107" s="3"/>
      <c r="BX107" s="3"/>
      <c r="BY107" s="3"/>
    </row>
    <row r="108" spans="1:77" ht="15">
      <c r="A108" s="65" t="s">
        <v>290</v>
      </c>
      <c r="B108" s="66"/>
      <c r="C108" s="66" t="s">
        <v>46</v>
      </c>
      <c r="D108" s="67"/>
      <c r="E108" s="69"/>
      <c r="F108" s="111" t="str">
        <f>HYPERLINK("https://pbs.twimg.com/profile_images/1476998317976469505/lKZCw-gy_normal.jpg")</f>
        <v>https://pbs.twimg.com/profile_images/1476998317976469505/lKZCw-gy_normal.jpg</v>
      </c>
      <c r="G108" s="66"/>
      <c r="H108" s="70" t="s">
        <v>290</v>
      </c>
      <c r="I108" s="71" t="s">
        <v>4417</v>
      </c>
      <c r="J108" s="71" t="s">
        <v>73</v>
      </c>
      <c r="K108" s="70" t="s">
        <v>1916</v>
      </c>
      <c r="L108" s="74">
        <v>1</v>
      </c>
      <c r="M108" s="75">
        <v>5767.88623046875</v>
      </c>
      <c r="N108" s="75">
        <v>4800.4580078125</v>
      </c>
      <c r="O108" s="76"/>
      <c r="P108" s="77"/>
      <c r="Q108" s="77"/>
      <c r="R108" s="104"/>
      <c r="S108" s="49">
        <v>0</v>
      </c>
      <c r="T108" s="49">
        <v>2</v>
      </c>
      <c r="U108" s="50">
        <v>213.333333</v>
      </c>
      <c r="V108" s="50">
        <v>0.224725</v>
      </c>
      <c r="W108" s="50">
        <v>0.035741</v>
      </c>
      <c r="X108" s="50">
        <v>0.00394</v>
      </c>
      <c r="Y108" s="50">
        <v>0</v>
      </c>
      <c r="Z108" s="50">
        <v>0</v>
      </c>
      <c r="AA108" s="72">
        <v>108</v>
      </c>
      <c r="AB108" s="72"/>
      <c r="AC108" s="73"/>
      <c r="AD108" s="89" t="s">
        <v>1272</v>
      </c>
      <c r="AE108" s="96" t="s">
        <v>1479</v>
      </c>
      <c r="AF108" s="89">
        <v>377</v>
      </c>
      <c r="AG108" s="89">
        <v>187</v>
      </c>
      <c r="AH108" s="89">
        <v>7832</v>
      </c>
      <c r="AI108" s="89">
        <v>17264</v>
      </c>
      <c r="AJ108" s="89"/>
      <c r="AK108" s="89"/>
      <c r="AL108" s="89"/>
      <c r="AM108" s="89"/>
      <c r="AN108" s="89"/>
      <c r="AO108" s="92">
        <v>44437.63711805556</v>
      </c>
      <c r="AP108" s="99" t="str">
        <f>HYPERLINK("https://pbs.twimg.com/profile_banners/1431999406073602048/1636044388")</f>
        <v>https://pbs.twimg.com/profile_banners/1431999406073602048/1636044388</v>
      </c>
      <c r="AQ108" s="89" t="b">
        <v>1</v>
      </c>
      <c r="AR108" s="89" t="b">
        <v>0</v>
      </c>
      <c r="AS108" s="89" t="b">
        <v>0</v>
      </c>
      <c r="AT108" s="89"/>
      <c r="AU108" s="89">
        <v>2</v>
      </c>
      <c r="AV108" s="89"/>
      <c r="AW108" s="89" t="b">
        <v>0</v>
      </c>
      <c r="AX108" s="89" t="s">
        <v>1811</v>
      </c>
      <c r="AY108" s="99" t="str">
        <f>HYPERLINK("https://twitter.com/againstall10")</f>
        <v>https://twitter.com/againstall10</v>
      </c>
      <c r="AZ108" s="89" t="s">
        <v>66</v>
      </c>
      <c r="BA108" s="89" t="str">
        <f>REPLACE(INDEX(GroupVertices[Group],MATCH(Vertices[[#This Row],[Vertex]],GroupVertices[Vertex],0)),1,1,"")</f>
        <v>4</v>
      </c>
      <c r="BB108" s="49">
        <v>0</v>
      </c>
      <c r="BC108" s="50">
        <v>0</v>
      </c>
      <c r="BD108" s="49">
        <v>0</v>
      </c>
      <c r="BE108" s="50">
        <v>0</v>
      </c>
      <c r="BF108" s="49">
        <v>0</v>
      </c>
      <c r="BG108" s="50">
        <v>0</v>
      </c>
      <c r="BH108" s="49">
        <v>36</v>
      </c>
      <c r="BI108" s="50">
        <v>100</v>
      </c>
      <c r="BJ108" s="49">
        <v>36</v>
      </c>
      <c r="BK108" s="49"/>
      <c r="BL108" s="49"/>
      <c r="BM108" s="49"/>
      <c r="BN108" s="49"/>
      <c r="BO108" s="49" t="s">
        <v>567</v>
      </c>
      <c r="BP108" s="49" t="s">
        <v>567</v>
      </c>
      <c r="BQ108" s="123" t="s">
        <v>4232</v>
      </c>
      <c r="BR108" s="123" t="s">
        <v>4288</v>
      </c>
      <c r="BS108" s="123" t="s">
        <v>4352</v>
      </c>
      <c r="BT108" s="123" t="s">
        <v>4395</v>
      </c>
      <c r="BU108" s="2"/>
      <c r="BV108" s="3"/>
      <c r="BW108" s="3"/>
      <c r="BX108" s="3"/>
      <c r="BY108" s="3"/>
    </row>
    <row r="109" spans="1:77" ht="15">
      <c r="A109" s="65" t="s">
        <v>369</v>
      </c>
      <c r="B109" s="66"/>
      <c r="C109" s="66" t="s">
        <v>64</v>
      </c>
      <c r="D109" s="67">
        <v>505</v>
      </c>
      <c r="E109" s="69"/>
      <c r="F109" s="111" t="str">
        <f>HYPERLINK("https://pbs.twimg.com/profile_images/1477672530743803904/rGFJ7zfZ_normal.jpg")</f>
        <v>https://pbs.twimg.com/profile_images/1477672530743803904/rGFJ7zfZ_normal.jpg</v>
      </c>
      <c r="G109" s="66"/>
      <c r="H109" s="70" t="s">
        <v>369</v>
      </c>
      <c r="I109" s="71" t="s">
        <v>4417</v>
      </c>
      <c r="J109" s="71" t="s">
        <v>73</v>
      </c>
      <c r="K109" s="70" t="s">
        <v>1917</v>
      </c>
      <c r="L109" s="74">
        <v>600.88</v>
      </c>
      <c r="M109" s="75">
        <v>5790.94140625</v>
      </c>
      <c r="N109" s="75">
        <v>3538.64453125</v>
      </c>
      <c r="O109" s="76"/>
      <c r="P109" s="77"/>
      <c r="Q109" s="77"/>
      <c r="R109" s="104"/>
      <c r="S109" s="49">
        <v>3</v>
      </c>
      <c r="T109" s="49">
        <v>2</v>
      </c>
      <c r="U109" s="50">
        <v>428.5</v>
      </c>
      <c r="V109" s="50">
        <v>0.219009</v>
      </c>
      <c r="W109" s="50">
        <v>0.030391</v>
      </c>
      <c r="X109" s="50">
        <v>0.004822</v>
      </c>
      <c r="Y109" s="50">
        <v>0</v>
      </c>
      <c r="Z109" s="50">
        <v>0</v>
      </c>
      <c r="AA109" s="72">
        <v>109</v>
      </c>
      <c r="AB109" s="72"/>
      <c r="AC109" s="73"/>
      <c r="AD109" s="89" t="s">
        <v>1273</v>
      </c>
      <c r="AE109" s="96" t="s">
        <v>1480</v>
      </c>
      <c r="AF109" s="89">
        <v>573</v>
      </c>
      <c r="AG109" s="89">
        <v>243</v>
      </c>
      <c r="AH109" s="89">
        <v>1975</v>
      </c>
      <c r="AI109" s="89">
        <v>2539</v>
      </c>
      <c r="AJ109" s="89"/>
      <c r="AK109" s="89" t="s">
        <v>1668</v>
      </c>
      <c r="AL109" s="89"/>
      <c r="AM109" s="89"/>
      <c r="AN109" s="89"/>
      <c r="AO109" s="92">
        <v>44503.496782407405</v>
      </c>
      <c r="AP109" s="99" t="str">
        <f>HYPERLINK("https://pbs.twimg.com/profile_banners/1455866058187882498/1641139614")</f>
        <v>https://pbs.twimg.com/profile_banners/1455866058187882498/1641139614</v>
      </c>
      <c r="AQ109" s="89" t="b">
        <v>1</v>
      </c>
      <c r="AR109" s="89" t="b">
        <v>0</v>
      </c>
      <c r="AS109" s="89" t="b">
        <v>0</v>
      </c>
      <c r="AT109" s="89"/>
      <c r="AU109" s="89">
        <v>0</v>
      </c>
      <c r="AV109" s="89"/>
      <c r="AW109" s="89" t="b">
        <v>0</v>
      </c>
      <c r="AX109" s="89" t="s">
        <v>1811</v>
      </c>
      <c r="AY109" s="99" t="str">
        <f>HYPERLINK("https://twitter.com/any__woman")</f>
        <v>https://twitter.com/any__woman</v>
      </c>
      <c r="AZ109" s="89" t="s">
        <v>66</v>
      </c>
      <c r="BA109" s="89" t="str">
        <f>REPLACE(INDEX(GroupVertices[Group],MATCH(Vertices[[#This Row],[Vertex]],GroupVertices[Vertex],0)),1,1,"")</f>
        <v>4</v>
      </c>
      <c r="BB109" s="49">
        <v>0</v>
      </c>
      <c r="BC109" s="50">
        <v>0</v>
      </c>
      <c r="BD109" s="49">
        <v>0</v>
      </c>
      <c r="BE109" s="50">
        <v>0</v>
      </c>
      <c r="BF109" s="49">
        <v>0</v>
      </c>
      <c r="BG109" s="50">
        <v>0</v>
      </c>
      <c r="BH109" s="49">
        <v>36</v>
      </c>
      <c r="BI109" s="50">
        <v>100</v>
      </c>
      <c r="BJ109" s="49">
        <v>36</v>
      </c>
      <c r="BK109" s="49"/>
      <c r="BL109" s="49"/>
      <c r="BM109" s="49"/>
      <c r="BN109" s="49"/>
      <c r="BO109" s="49" t="s">
        <v>4177</v>
      </c>
      <c r="BP109" s="49" t="s">
        <v>4180</v>
      </c>
      <c r="BQ109" s="123" t="s">
        <v>4233</v>
      </c>
      <c r="BR109" s="123" t="s">
        <v>4261</v>
      </c>
      <c r="BS109" s="123" t="s">
        <v>4353</v>
      </c>
      <c r="BT109" s="123" t="s">
        <v>4353</v>
      </c>
      <c r="BU109" s="2"/>
      <c r="BV109" s="3"/>
      <c r="BW109" s="3"/>
      <c r="BX109" s="3"/>
      <c r="BY109" s="3"/>
    </row>
    <row r="110" spans="1:77" ht="15">
      <c r="A110" s="65" t="s">
        <v>291</v>
      </c>
      <c r="B110" s="66"/>
      <c r="C110" s="66" t="s">
        <v>46</v>
      </c>
      <c r="D110" s="67">
        <v>10</v>
      </c>
      <c r="E110" s="69"/>
      <c r="F110" s="111" t="str">
        <f>HYPERLINK("https://pbs.twimg.com/profile_images/1456267860263649286/NrWG_cdV_normal.jpg")</f>
        <v>https://pbs.twimg.com/profile_images/1456267860263649286/NrWG_cdV_normal.jpg</v>
      </c>
      <c r="G110" s="66"/>
      <c r="H110" s="70" t="s">
        <v>291</v>
      </c>
      <c r="I110" s="71" t="s">
        <v>4410</v>
      </c>
      <c r="J110" s="71" t="s">
        <v>73</v>
      </c>
      <c r="K110" s="70" t="s">
        <v>1918</v>
      </c>
      <c r="L110" s="74">
        <v>200.96</v>
      </c>
      <c r="M110" s="75">
        <v>902.9024047851562</v>
      </c>
      <c r="N110" s="75">
        <v>6980.8857421875</v>
      </c>
      <c r="O110" s="76"/>
      <c r="P110" s="77"/>
      <c r="Q110" s="77"/>
      <c r="R110" s="104"/>
      <c r="S110" s="49">
        <v>1</v>
      </c>
      <c r="T110" s="49">
        <v>1</v>
      </c>
      <c r="U110" s="50">
        <v>0</v>
      </c>
      <c r="V110" s="50">
        <v>0</v>
      </c>
      <c r="W110" s="50">
        <v>0</v>
      </c>
      <c r="X110" s="50">
        <v>0.004329</v>
      </c>
      <c r="Y110" s="50">
        <v>0</v>
      </c>
      <c r="Z110" s="50">
        <v>0</v>
      </c>
      <c r="AA110" s="72">
        <v>110</v>
      </c>
      <c r="AB110" s="72"/>
      <c r="AC110" s="73"/>
      <c r="AD110" s="89" t="s">
        <v>1274</v>
      </c>
      <c r="AE110" s="96" t="s">
        <v>1481</v>
      </c>
      <c r="AF110" s="89">
        <v>395</v>
      </c>
      <c r="AG110" s="89">
        <v>49044</v>
      </c>
      <c r="AH110" s="89">
        <v>27176</v>
      </c>
      <c r="AI110" s="89">
        <v>180</v>
      </c>
      <c r="AJ110" s="89"/>
      <c r="AK110" s="89" t="s">
        <v>1669</v>
      </c>
      <c r="AL110" s="89" t="s">
        <v>1772</v>
      </c>
      <c r="AM110" s="99" t="str">
        <f>HYPERLINK("https://t.co/EaQ1rUP29j")</f>
        <v>https://t.co/EaQ1rUP29j</v>
      </c>
      <c r="AN110" s="89"/>
      <c r="AO110" s="92">
        <v>39912.29736111111</v>
      </c>
      <c r="AP110" s="99" t="str">
        <f>HYPERLINK("https://pbs.twimg.com/profile_banners/29940303/1636455561")</f>
        <v>https://pbs.twimg.com/profile_banners/29940303/1636455561</v>
      </c>
      <c r="AQ110" s="89" t="b">
        <v>0</v>
      </c>
      <c r="AR110" s="89" t="b">
        <v>0</v>
      </c>
      <c r="AS110" s="89" t="b">
        <v>0</v>
      </c>
      <c r="AT110" s="89"/>
      <c r="AU110" s="89">
        <v>58</v>
      </c>
      <c r="AV110" s="99" t="str">
        <f>HYPERLINK("https://abs.twimg.com/images/themes/theme14/bg.gif")</f>
        <v>https://abs.twimg.com/images/themes/theme14/bg.gif</v>
      </c>
      <c r="AW110" s="89" t="b">
        <v>0</v>
      </c>
      <c r="AX110" s="89" t="s">
        <v>1811</v>
      </c>
      <c r="AY110" s="99" t="str">
        <f>HYPERLINK("https://twitter.com/seiska")</f>
        <v>https://twitter.com/seiska</v>
      </c>
      <c r="AZ110" s="89" t="s">
        <v>66</v>
      </c>
      <c r="BA110" s="89" t="str">
        <f>REPLACE(INDEX(GroupVertices[Group],MATCH(Vertices[[#This Row],[Vertex]],GroupVertices[Vertex],0)),1,1,"")</f>
        <v>7</v>
      </c>
      <c r="BB110" s="49">
        <v>0</v>
      </c>
      <c r="BC110" s="50">
        <v>0</v>
      </c>
      <c r="BD110" s="49">
        <v>0</v>
      </c>
      <c r="BE110" s="50">
        <v>0</v>
      </c>
      <c r="BF110" s="49">
        <v>0</v>
      </c>
      <c r="BG110" s="50">
        <v>0</v>
      </c>
      <c r="BH110" s="49">
        <v>8</v>
      </c>
      <c r="BI110" s="50">
        <v>100</v>
      </c>
      <c r="BJ110" s="49">
        <v>8</v>
      </c>
      <c r="BK110" s="49" t="s">
        <v>3919</v>
      </c>
      <c r="BL110" s="49" t="s">
        <v>3919</v>
      </c>
      <c r="BM110" s="49" t="s">
        <v>553</v>
      </c>
      <c r="BN110" s="49" t="s">
        <v>553</v>
      </c>
      <c r="BO110" s="49"/>
      <c r="BP110" s="49"/>
      <c r="BQ110" s="123" t="s">
        <v>4234</v>
      </c>
      <c r="BR110" s="123" t="s">
        <v>4234</v>
      </c>
      <c r="BS110" s="123" t="s">
        <v>4354</v>
      </c>
      <c r="BT110" s="123" t="s">
        <v>4354</v>
      </c>
      <c r="BU110" s="2"/>
      <c r="BV110" s="3"/>
      <c r="BW110" s="3"/>
      <c r="BX110" s="3"/>
      <c r="BY110" s="3"/>
    </row>
    <row r="111" spans="1:77" ht="15">
      <c r="A111" s="65" t="s">
        <v>292</v>
      </c>
      <c r="B111" s="66"/>
      <c r="C111" s="66" t="s">
        <v>46</v>
      </c>
      <c r="D111" s="67"/>
      <c r="E111" s="69"/>
      <c r="F111" s="111" t="str">
        <f>HYPERLINK("https://pbs.twimg.com/profile_images/1384117705226129409/7rCCLGuf_normal.jpg")</f>
        <v>https://pbs.twimg.com/profile_images/1384117705226129409/7rCCLGuf_normal.jpg</v>
      </c>
      <c r="G111" s="66"/>
      <c r="H111" s="70" t="s">
        <v>292</v>
      </c>
      <c r="I111" s="71" t="s">
        <v>4417</v>
      </c>
      <c r="J111" s="71" t="s">
        <v>73</v>
      </c>
      <c r="K111" s="70" t="s">
        <v>1919</v>
      </c>
      <c r="L111" s="74">
        <v>1</v>
      </c>
      <c r="M111" s="75">
        <v>6502.0078125</v>
      </c>
      <c r="N111" s="75">
        <v>3999.437255859375</v>
      </c>
      <c r="O111" s="76"/>
      <c r="P111" s="77"/>
      <c r="Q111" s="77"/>
      <c r="R111" s="104"/>
      <c r="S111" s="49">
        <v>0</v>
      </c>
      <c r="T111" s="49">
        <v>1</v>
      </c>
      <c r="U111" s="50">
        <v>0</v>
      </c>
      <c r="V111" s="50">
        <v>0.170914</v>
      </c>
      <c r="W111" s="50">
        <v>0.003889</v>
      </c>
      <c r="X111" s="50">
        <v>0.00386</v>
      </c>
      <c r="Y111" s="50">
        <v>0</v>
      </c>
      <c r="Z111" s="50">
        <v>0</v>
      </c>
      <c r="AA111" s="72">
        <v>111</v>
      </c>
      <c r="AB111" s="72"/>
      <c r="AC111" s="73"/>
      <c r="AD111" s="89" t="s">
        <v>1275</v>
      </c>
      <c r="AE111" s="96" t="s">
        <v>1482</v>
      </c>
      <c r="AF111" s="89">
        <v>227</v>
      </c>
      <c r="AG111" s="89">
        <v>876</v>
      </c>
      <c r="AH111" s="89">
        <v>1625</v>
      </c>
      <c r="AI111" s="89">
        <v>3490</v>
      </c>
      <c r="AJ111" s="89"/>
      <c r="AK111" s="89" t="s">
        <v>1670</v>
      </c>
      <c r="AL111" s="89" t="s">
        <v>1772</v>
      </c>
      <c r="AM111" s="89"/>
      <c r="AN111" s="89"/>
      <c r="AO111" s="92">
        <v>44305.507685185185</v>
      </c>
      <c r="AP111" s="99" t="str">
        <f>HYPERLINK("https://pbs.twimg.com/profile_banners/1384117197488812046/1639247376")</f>
        <v>https://pbs.twimg.com/profile_banners/1384117197488812046/1639247376</v>
      </c>
      <c r="AQ111" s="89" t="b">
        <v>1</v>
      </c>
      <c r="AR111" s="89" t="b">
        <v>0</v>
      </c>
      <c r="AS111" s="89" t="b">
        <v>0</v>
      </c>
      <c r="AT111" s="89"/>
      <c r="AU111" s="89">
        <v>2</v>
      </c>
      <c r="AV111" s="89"/>
      <c r="AW111" s="89" t="b">
        <v>0</v>
      </c>
      <c r="AX111" s="89" t="s">
        <v>1811</v>
      </c>
      <c r="AY111" s="99" t="str">
        <f>HYPERLINK("https://twitter.com/jussikoskela8")</f>
        <v>https://twitter.com/jussikoskela8</v>
      </c>
      <c r="AZ111" s="89" t="s">
        <v>66</v>
      </c>
      <c r="BA111" s="89" t="str">
        <f>REPLACE(INDEX(GroupVertices[Group],MATCH(Vertices[[#This Row],[Vertex]],GroupVertices[Vertex],0)),1,1,"")</f>
        <v>4</v>
      </c>
      <c r="BB111" s="49">
        <v>0</v>
      </c>
      <c r="BC111" s="50">
        <v>0</v>
      </c>
      <c r="BD111" s="49">
        <v>0</v>
      </c>
      <c r="BE111" s="50">
        <v>0</v>
      </c>
      <c r="BF111" s="49">
        <v>0</v>
      </c>
      <c r="BG111" s="50">
        <v>0</v>
      </c>
      <c r="BH111" s="49">
        <v>12</v>
      </c>
      <c r="BI111" s="50">
        <v>100</v>
      </c>
      <c r="BJ111" s="49">
        <v>12</v>
      </c>
      <c r="BK111" s="49"/>
      <c r="BL111" s="49"/>
      <c r="BM111" s="49"/>
      <c r="BN111" s="49"/>
      <c r="BO111" s="49" t="s">
        <v>567</v>
      </c>
      <c r="BP111" s="49" t="s">
        <v>567</v>
      </c>
      <c r="BQ111" s="123" t="s">
        <v>4235</v>
      </c>
      <c r="BR111" s="123" t="s">
        <v>4235</v>
      </c>
      <c r="BS111" s="123" t="s">
        <v>4355</v>
      </c>
      <c r="BT111" s="123" t="s">
        <v>4355</v>
      </c>
      <c r="BU111" s="2"/>
      <c r="BV111" s="3"/>
      <c r="BW111" s="3"/>
      <c r="BX111" s="3"/>
      <c r="BY111" s="3"/>
    </row>
    <row r="112" spans="1:77" ht="15">
      <c r="A112" s="65" t="s">
        <v>293</v>
      </c>
      <c r="B112" s="66"/>
      <c r="C112" s="66" t="s">
        <v>46</v>
      </c>
      <c r="D112" s="67"/>
      <c r="E112" s="69"/>
      <c r="F112" s="111" t="str">
        <f>HYPERLINK("https://pbs.twimg.com/profile_images/1479385174802636801/_hFSt6Bz_normal.jpg")</f>
        <v>https://pbs.twimg.com/profile_images/1479385174802636801/_hFSt6Bz_normal.jpg</v>
      </c>
      <c r="G112" s="66"/>
      <c r="H112" s="70" t="s">
        <v>293</v>
      </c>
      <c r="I112" s="71" t="s">
        <v>4418</v>
      </c>
      <c r="J112" s="71" t="s">
        <v>73</v>
      </c>
      <c r="K112" s="70" t="s">
        <v>1920</v>
      </c>
      <c r="L112" s="74">
        <v>1</v>
      </c>
      <c r="M112" s="75">
        <v>8712.5595703125</v>
      </c>
      <c r="N112" s="75">
        <v>3249.089599609375</v>
      </c>
      <c r="O112" s="76"/>
      <c r="P112" s="77"/>
      <c r="Q112" s="77"/>
      <c r="R112" s="104"/>
      <c r="S112" s="49">
        <v>0</v>
      </c>
      <c r="T112" s="49">
        <v>2</v>
      </c>
      <c r="U112" s="50">
        <v>2</v>
      </c>
      <c r="V112" s="50">
        <v>0.008696</v>
      </c>
      <c r="W112" s="50">
        <v>0</v>
      </c>
      <c r="X112" s="50">
        <v>0.004894</v>
      </c>
      <c r="Y112" s="50">
        <v>0</v>
      </c>
      <c r="Z112" s="50">
        <v>0</v>
      </c>
      <c r="AA112" s="72">
        <v>112</v>
      </c>
      <c r="AB112" s="72"/>
      <c r="AC112" s="73"/>
      <c r="AD112" s="89" t="s">
        <v>1276</v>
      </c>
      <c r="AE112" s="96" t="s">
        <v>1483</v>
      </c>
      <c r="AF112" s="89">
        <v>1279</v>
      </c>
      <c r="AG112" s="89">
        <v>564</v>
      </c>
      <c r="AH112" s="89">
        <v>11878</v>
      </c>
      <c r="AI112" s="89">
        <v>11633</v>
      </c>
      <c r="AJ112" s="89"/>
      <c r="AK112" s="89" t="s">
        <v>1671</v>
      </c>
      <c r="AL112" s="89" t="s">
        <v>1140</v>
      </c>
      <c r="AM112" s="99" t="str">
        <f>HYPERLINK("https://t.co/eWLciGF5WH")</f>
        <v>https://t.co/eWLciGF5WH</v>
      </c>
      <c r="AN112" s="89"/>
      <c r="AO112" s="92">
        <v>41238.5171412037</v>
      </c>
      <c r="AP112" s="99" t="str">
        <f>HYPERLINK("https://pbs.twimg.com/profile_banners/969955411/1636046614")</f>
        <v>https://pbs.twimg.com/profile_banners/969955411/1636046614</v>
      </c>
      <c r="AQ112" s="89" t="b">
        <v>0</v>
      </c>
      <c r="AR112" s="89" t="b">
        <v>0</v>
      </c>
      <c r="AS112" s="89" t="b">
        <v>1</v>
      </c>
      <c r="AT112" s="89"/>
      <c r="AU112" s="89">
        <v>6</v>
      </c>
      <c r="AV112" s="99" t="str">
        <f>HYPERLINK("https://abs.twimg.com/images/themes/theme19/bg.gif")</f>
        <v>https://abs.twimg.com/images/themes/theme19/bg.gif</v>
      </c>
      <c r="AW112" s="89" t="b">
        <v>0</v>
      </c>
      <c r="AX112" s="89" t="s">
        <v>1811</v>
      </c>
      <c r="AY112" s="99" t="str">
        <f>HYPERLINK("https://twitter.com/tukkamatti")</f>
        <v>https://twitter.com/tukkamatti</v>
      </c>
      <c r="AZ112" s="89" t="s">
        <v>66</v>
      </c>
      <c r="BA112" s="89" t="str">
        <f>REPLACE(INDEX(GroupVertices[Group],MATCH(Vertices[[#This Row],[Vertex]],GroupVertices[Vertex],0)),1,1,"")</f>
        <v>12</v>
      </c>
      <c r="BB112" s="49">
        <v>0</v>
      </c>
      <c r="BC112" s="50">
        <v>0</v>
      </c>
      <c r="BD112" s="49">
        <v>0</v>
      </c>
      <c r="BE112" s="50">
        <v>0</v>
      </c>
      <c r="BF112" s="49">
        <v>0</v>
      </c>
      <c r="BG112" s="50">
        <v>0</v>
      </c>
      <c r="BH112" s="49">
        <v>4</v>
      </c>
      <c r="BI112" s="50">
        <v>100</v>
      </c>
      <c r="BJ112" s="49">
        <v>4</v>
      </c>
      <c r="BK112" s="49"/>
      <c r="BL112" s="49"/>
      <c r="BM112" s="49"/>
      <c r="BN112" s="49"/>
      <c r="BO112" s="49"/>
      <c r="BP112" s="49"/>
      <c r="BQ112" s="123" t="s">
        <v>4236</v>
      </c>
      <c r="BR112" s="123" t="s">
        <v>4236</v>
      </c>
      <c r="BS112" s="123" t="s">
        <v>4356</v>
      </c>
      <c r="BT112" s="123" t="s">
        <v>4356</v>
      </c>
      <c r="BU112" s="2"/>
      <c r="BV112" s="3"/>
      <c r="BW112" s="3"/>
      <c r="BX112" s="3"/>
      <c r="BY112" s="3"/>
    </row>
    <row r="113" spans="1:77" ht="15">
      <c r="A113" s="65" t="s">
        <v>432</v>
      </c>
      <c r="B113" s="66"/>
      <c r="C113" s="66" t="s">
        <v>46</v>
      </c>
      <c r="D113" s="67">
        <v>10</v>
      </c>
      <c r="E113" s="69"/>
      <c r="F113" s="111" t="str">
        <f>HYPERLINK("https://pbs.twimg.com/profile_images/1090196054484623360/nl37Xyz3_normal.jpg")</f>
        <v>https://pbs.twimg.com/profile_images/1090196054484623360/nl37Xyz3_normal.jpg</v>
      </c>
      <c r="G113" s="66"/>
      <c r="H113" s="70" t="s">
        <v>432</v>
      </c>
      <c r="I113" s="71" t="s">
        <v>4418</v>
      </c>
      <c r="J113" s="71" t="s">
        <v>75</v>
      </c>
      <c r="K113" s="70" t="s">
        <v>1921</v>
      </c>
      <c r="L113" s="74">
        <v>200.96</v>
      </c>
      <c r="M113" s="75">
        <v>9091.5107421875</v>
      </c>
      <c r="N113" s="75">
        <v>3249.089599609375</v>
      </c>
      <c r="O113" s="76"/>
      <c r="P113" s="77"/>
      <c r="Q113" s="77"/>
      <c r="R113" s="104"/>
      <c r="S113" s="49">
        <v>1</v>
      </c>
      <c r="T113" s="49">
        <v>0</v>
      </c>
      <c r="U113" s="50">
        <v>0</v>
      </c>
      <c r="V113" s="50">
        <v>0.005797</v>
      </c>
      <c r="W113" s="50">
        <v>0</v>
      </c>
      <c r="X113" s="50">
        <v>0.004047</v>
      </c>
      <c r="Y113" s="50">
        <v>0</v>
      </c>
      <c r="Z113" s="50">
        <v>0</v>
      </c>
      <c r="AA113" s="72">
        <v>113</v>
      </c>
      <c r="AB113" s="72"/>
      <c r="AC113" s="73"/>
      <c r="AD113" s="89" t="s">
        <v>1277</v>
      </c>
      <c r="AE113" s="96" t="s">
        <v>1484</v>
      </c>
      <c r="AF113" s="89">
        <v>803</v>
      </c>
      <c r="AG113" s="89">
        <v>539</v>
      </c>
      <c r="AH113" s="89">
        <v>42097</v>
      </c>
      <c r="AI113" s="89">
        <v>132339</v>
      </c>
      <c r="AJ113" s="89"/>
      <c r="AK113" s="89"/>
      <c r="AL113" s="89"/>
      <c r="AM113" s="89"/>
      <c r="AN113" s="89"/>
      <c r="AO113" s="92">
        <v>43494.43822916667</v>
      </c>
      <c r="AP113" s="89"/>
      <c r="AQ113" s="89" t="b">
        <v>1</v>
      </c>
      <c r="AR113" s="89" t="b">
        <v>0</v>
      </c>
      <c r="AS113" s="89" t="b">
        <v>0</v>
      </c>
      <c r="AT113" s="89"/>
      <c r="AU113" s="89">
        <v>1</v>
      </c>
      <c r="AV113" s="89"/>
      <c r="AW113" s="89" t="b">
        <v>0</v>
      </c>
      <c r="AX113" s="89" t="s">
        <v>1811</v>
      </c>
      <c r="AY113" s="99" t="str">
        <f>HYPERLINK("https://twitter.com/pieroventura5")</f>
        <v>https://twitter.com/pieroventura5</v>
      </c>
      <c r="AZ113" s="89" t="s">
        <v>65</v>
      </c>
      <c r="BA113" s="89" t="str">
        <f>REPLACE(INDEX(GroupVertices[Group],MATCH(Vertices[[#This Row],[Vertex]],GroupVertices[Vertex],0)),1,1,"")</f>
        <v>12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433</v>
      </c>
      <c r="B114" s="66"/>
      <c r="C114" s="66" t="s">
        <v>46</v>
      </c>
      <c r="D114" s="67">
        <v>10</v>
      </c>
      <c r="E114" s="69"/>
      <c r="F114" s="111" t="str">
        <f>HYPERLINK("https://pbs.twimg.com/profile_images/1476130167806377984/0q_3luef_normal.jpg")</f>
        <v>https://pbs.twimg.com/profile_images/1476130167806377984/0q_3luef_normal.jpg</v>
      </c>
      <c r="G114" s="66"/>
      <c r="H114" s="70" t="s">
        <v>433</v>
      </c>
      <c r="I114" s="71" t="s">
        <v>4418</v>
      </c>
      <c r="J114" s="71" t="s">
        <v>75</v>
      </c>
      <c r="K114" s="70" t="s">
        <v>1922</v>
      </c>
      <c r="L114" s="74">
        <v>200.96</v>
      </c>
      <c r="M114" s="75">
        <v>8712.5595703125</v>
      </c>
      <c r="N114" s="75">
        <v>2628.542724609375</v>
      </c>
      <c r="O114" s="76"/>
      <c r="P114" s="77"/>
      <c r="Q114" s="77"/>
      <c r="R114" s="104"/>
      <c r="S114" s="49">
        <v>1</v>
      </c>
      <c r="T114" s="49">
        <v>0</v>
      </c>
      <c r="U114" s="50">
        <v>0</v>
      </c>
      <c r="V114" s="50">
        <v>0.005797</v>
      </c>
      <c r="W114" s="50">
        <v>0</v>
      </c>
      <c r="X114" s="50">
        <v>0.004047</v>
      </c>
      <c r="Y114" s="50">
        <v>0</v>
      </c>
      <c r="Z114" s="50">
        <v>0</v>
      </c>
      <c r="AA114" s="72">
        <v>114</v>
      </c>
      <c r="AB114" s="72"/>
      <c r="AC114" s="73"/>
      <c r="AD114" s="89" t="s">
        <v>1278</v>
      </c>
      <c r="AE114" s="96" t="s">
        <v>1111</v>
      </c>
      <c r="AF114" s="89">
        <v>15</v>
      </c>
      <c r="AG114" s="89">
        <v>29234</v>
      </c>
      <c r="AH114" s="89">
        <v>688</v>
      </c>
      <c r="AI114" s="89">
        <v>4591</v>
      </c>
      <c r="AJ114" s="89"/>
      <c r="AK114" s="89" t="s">
        <v>1672</v>
      </c>
      <c r="AL114" s="89"/>
      <c r="AM114" s="89"/>
      <c r="AN114" s="89"/>
      <c r="AO114" s="92">
        <v>39973.790185185186</v>
      </c>
      <c r="AP114" s="99" t="str">
        <f>HYPERLINK("https://pbs.twimg.com/profile_banners/45911084/1640985464")</f>
        <v>https://pbs.twimg.com/profile_banners/45911084/1640985464</v>
      </c>
      <c r="AQ114" s="89" t="b">
        <v>0</v>
      </c>
      <c r="AR114" s="89" t="b">
        <v>0</v>
      </c>
      <c r="AS114" s="89" t="b">
        <v>1</v>
      </c>
      <c r="AT114" s="89"/>
      <c r="AU114" s="89">
        <v>21</v>
      </c>
      <c r="AV114" s="99" t="str">
        <f>HYPERLINK("https://abs.twimg.com/images/themes/theme14/bg.gif")</f>
        <v>https://abs.twimg.com/images/themes/theme14/bg.gif</v>
      </c>
      <c r="AW114" s="89" t="b">
        <v>1</v>
      </c>
      <c r="AX114" s="89" t="s">
        <v>1811</v>
      </c>
      <c r="AY114" s="99" t="str">
        <f>HYPERLINK("https://twitter.com/mikaelgabriel")</f>
        <v>https://twitter.com/mikaelgabriel</v>
      </c>
      <c r="AZ114" s="89" t="s">
        <v>65</v>
      </c>
      <c r="BA114" s="89" t="str">
        <f>REPLACE(INDEX(GroupVertices[Group],MATCH(Vertices[[#This Row],[Vertex]],GroupVertices[Vertex],0)),1,1,"")</f>
        <v>12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294</v>
      </c>
      <c r="B115" s="66"/>
      <c r="C115" s="66" t="s">
        <v>46</v>
      </c>
      <c r="D115" s="67"/>
      <c r="E115" s="69"/>
      <c r="F115" s="111" t="str">
        <f>HYPERLINK("https://pbs.twimg.com/profile_images/1471375916144209920/ZSEfM2Zf_normal.jpg")</f>
        <v>https://pbs.twimg.com/profile_images/1471375916144209920/ZSEfM2Zf_normal.jpg</v>
      </c>
      <c r="G115" s="66"/>
      <c r="H115" s="70" t="s">
        <v>294</v>
      </c>
      <c r="I115" s="71" t="s">
        <v>4411</v>
      </c>
      <c r="J115" s="71" t="s">
        <v>73</v>
      </c>
      <c r="K115" s="70" t="s">
        <v>1923</v>
      </c>
      <c r="L115" s="74">
        <v>1</v>
      </c>
      <c r="M115" s="75">
        <v>6166.03369140625</v>
      </c>
      <c r="N115" s="75">
        <v>9764.8310546875</v>
      </c>
      <c r="O115" s="76"/>
      <c r="P115" s="77"/>
      <c r="Q115" s="77"/>
      <c r="R115" s="104"/>
      <c r="S115" s="49">
        <v>0</v>
      </c>
      <c r="T115" s="49">
        <v>1</v>
      </c>
      <c r="U115" s="50">
        <v>0</v>
      </c>
      <c r="V115" s="50">
        <v>0.133744</v>
      </c>
      <c r="W115" s="50">
        <v>0.000162</v>
      </c>
      <c r="X115" s="50">
        <v>0.003914</v>
      </c>
      <c r="Y115" s="50">
        <v>0</v>
      </c>
      <c r="Z115" s="50">
        <v>0</v>
      </c>
      <c r="AA115" s="72">
        <v>115</v>
      </c>
      <c r="AB115" s="72"/>
      <c r="AC115" s="73"/>
      <c r="AD115" s="89" t="s">
        <v>1279</v>
      </c>
      <c r="AE115" s="96" t="s">
        <v>1485</v>
      </c>
      <c r="AF115" s="89">
        <v>3</v>
      </c>
      <c r="AG115" s="89">
        <v>15</v>
      </c>
      <c r="AH115" s="89">
        <v>1941</v>
      </c>
      <c r="AI115" s="89">
        <v>448</v>
      </c>
      <c r="AJ115" s="89"/>
      <c r="AK115" s="89" t="s">
        <v>1673</v>
      </c>
      <c r="AL115" s="89"/>
      <c r="AM115" s="89"/>
      <c r="AN115" s="89"/>
      <c r="AO115" s="92">
        <v>44539.47078703704</v>
      </c>
      <c r="AP115" s="89"/>
      <c r="AQ115" s="89" t="b">
        <v>1</v>
      </c>
      <c r="AR115" s="89" t="b">
        <v>0</v>
      </c>
      <c r="AS115" s="89" t="b">
        <v>0</v>
      </c>
      <c r="AT115" s="89"/>
      <c r="AU115" s="89">
        <v>0</v>
      </c>
      <c r="AV115" s="89"/>
      <c r="AW115" s="89" t="b">
        <v>0</v>
      </c>
      <c r="AX115" s="89" t="s">
        <v>1811</v>
      </c>
      <c r="AY115" s="99" t="str">
        <f>HYPERLINK("https://twitter.com/lsotilas")</f>
        <v>https://twitter.com/lsotilas</v>
      </c>
      <c r="AZ115" s="89" t="s">
        <v>66</v>
      </c>
      <c r="BA115" s="89" t="str">
        <f>REPLACE(INDEX(GroupVertices[Group],MATCH(Vertices[[#This Row],[Vertex]],GroupVertices[Vertex],0)),1,1,"")</f>
        <v>3</v>
      </c>
      <c r="BB115" s="49">
        <v>0</v>
      </c>
      <c r="BC115" s="50">
        <v>0</v>
      </c>
      <c r="BD115" s="49">
        <v>0</v>
      </c>
      <c r="BE115" s="50">
        <v>0</v>
      </c>
      <c r="BF115" s="49">
        <v>0</v>
      </c>
      <c r="BG115" s="50">
        <v>0</v>
      </c>
      <c r="BH115" s="49">
        <v>22</v>
      </c>
      <c r="BI115" s="50">
        <v>100</v>
      </c>
      <c r="BJ115" s="49">
        <v>22</v>
      </c>
      <c r="BK115" s="49"/>
      <c r="BL115" s="49"/>
      <c r="BM115" s="49"/>
      <c r="BN115" s="49"/>
      <c r="BO115" s="49"/>
      <c r="BP115" s="49"/>
      <c r="BQ115" s="123" t="s">
        <v>4237</v>
      </c>
      <c r="BR115" s="123" t="s">
        <v>4237</v>
      </c>
      <c r="BS115" s="123" t="s">
        <v>4357</v>
      </c>
      <c r="BT115" s="123" t="s">
        <v>4357</v>
      </c>
      <c r="BU115" s="2"/>
      <c r="BV115" s="3"/>
      <c r="BW115" s="3"/>
      <c r="BX115" s="3"/>
      <c r="BY115" s="3"/>
    </row>
    <row r="116" spans="1:77" ht="15">
      <c r="A116" s="65" t="s">
        <v>434</v>
      </c>
      <c r="B116" s="66"/>
      <c r="C116" s="66" t="s">
        <v>64</v>
      </c>
      <c r="D116" s="67">
        <v>505</v>
      </c>
      <c r="E116" s="69"/>
      <c r="F116" s="111" t="str">
        <f>HYPERLINK("https://pbs.twimg.com/profile_images/1431276038441553924/Qdag7p9R_normal.jpg")</f>
        <v>https://pbs.twimg.com/profile_images/1431276038441553924/Qdag7p9R_normal.jpg</v>
      </c>
      <c r="G116" s="66"/>
      <c r="H116" s="70" t="s">
        <v>434</v>
      </c>
      <c r="I116" s="71" t="s">
        <v>4411</v>
      </c>
      <c r="J116" s="71" t="s">
        <v>75</v>
      </c>
      <c r="K116" s="70" t="s">
        <v>1924</v>
      </c>
      <c r="L116" s="74">
        <v>600.88</v>
      </c>
      <c r="M116" s="75">
        <v>5806.7939453125</v>
      </c>
      <c r="N116" s="75">
        <v>8623.515625</v>
      </c>
      <c r="O116" s="76"/>
      <c r="P116" s="77"/>
      <c r="Q116" s="77"/>
      <c r="R116" s="104"/>
      <c r="S116" s="49">
        <v>3</v>
      </c>
      <c r="T116" s="49">
        <v>0</v>
      </c>
      <c r="U116" s="50">
        <v>354</v>
      </c>
      <c r="V116" s="50">
        <v>0.161497</v>
      </c>
      <c r="W116" s="50">
        <v>0.001268</v>
      </c>
      <c r="X116" s="50">
        <v>0.004687</v>
      </c>
      <c r="Y116" s="50">
        <v>0.16666666666666666</v>
      </c>
      <c r="Z116" s="50">
        <v>0</v>
      </c>
      <c r="AA116" s="72">
        <v>116</v>
      </c>
      <c r="AB116" s="72"/>
      <c r="AC116" s="73"/>
      <c r="AD116" s="89" t="s">
        <v>1280</v>
      </c>
      <c r="AE116" s="96" t="s">
        <v>1112</v>
      </c>
      <c r="AF116" s="89">
        <v>8548</v>
      </c>
      <c r="AG116" s="89">
        <v>23991</v>
      </c>
      <c r="AH116" s="89">
        <v>65555</v>
      </c>
      <c r="AI116" s="89">
        <v>175593</v>
      </c>
      <c r="AJ116" s="89"/>
      <c r="AK116" s="89" t="s">
        <v>1674</v>
      </c>
      <c r="AL116" s="89" t="s">
        <v>1771</v>
      </c>
      <c r="AM116" s="89"/>
      <c r="AN116" s="89"/>
      <c r="AO116" s="92">
        <v>41388.52648148148</v>
      </c>
      <c r="AP116" s="99" t="str">
        <f>HYPERLINK("https://pbs.twimg.com/profile_banners/1376953130/1620556234")</f>
        <v>https://pbs.twimg.com/profile_banners/1376953130/1620556234</v>
      </c>
      <c r="AQ116" s="89" t="b">
        <v>0</v>
      </c>
      <c r="AR116" s="89" t="b">
        <v>0</v>
      </c>
      <c r="AS116" s="89" t="b">
        <v>0</v>
      </c>
      <c r="AT116" s="89"/>
      <c r="AU116" s="89">
        <v>37</v>
      </c>
      <c r="AV116" s="99" t="str">
        <f>HYPERLINK("https://abs.twimg.com/images/themes/theme1/bg.png")</f>
        <v>https://abs.twimg.com/images/themes/theme1/bg.png</v>
      </c>
      <c r="AW116" s="89" t="b">
        <v>0</v>
      </c>
      <c r="AX116" s="89" t="s">
        <v>1811</v>
      </c>
      <c r="AY116" s="99" t="str">
        <f>HYPERLINK("https://twitter.com/dimmu141")</f>
        <v>https://twitter.com/dimmu141</v>
      </c>
      <c r="AZ116" s="89" t="s">
        <v>65</v>
      </c>
      <c r="BA116" s="8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295</v>
      </c>
      <c r="B117" s="66"/>
      <c r="C117" s="66" t="s">
        <v>46</v>
      </c>
      <c r="D117" s="67">
        <v>10</v>
      </c>
      <c r="E117" s="69"/>
      <c r="F117" s="111" t="str">
        <f>HYPERLINK("https://pbs.twimg.com/profile_images/785792030375108608/TyxX7KZS_normal.jpg")</f>
        <v>https://pbs.twimg.com/profile_images/785792030375108608/TyxX7KZS_normal.jpg</v>
      </c>
      <c r="G117" s="66"/>
      <c r="H117" s="70" t="s">
        <v>295</v>
      </c>
      <c r="I117" s="71" t="s">
        <v>4410</v>
      </c>
      <c r="J117" s="71" t="s">
        <v>73</v>
      </c>
      <c r="K117" s="70" t="s">
        <v>1925</v>
      </c>
      <c r="L117" s="74">
        <v>200.96</v>
      </c>
      <c r="M117" s="75">
        <v>9065.1259765625</v>
      </c>
      <c r="N117" s="75">
        <v>8608.92578125</v>
      </c>
      <c r="O117" s="76"/>
      <c r="P117" s="77"/>
      <c r="Q117" s="77"/>
      <c r="R117" s="104"/>
      <c r="S117" s="49">
        <v>1</v>
      </c>
      <c r="T117" s="49">
        <v>1</v>
      </c>
      <c r="U117" s="50">
        <v>0</v>
      </c>
      <c r="V117" s="50">
        <v>0</v>
      </c>
      <c r="W117" s="50">
        <v>0</v>
      </c>
      <c r="X117" s="50">
        <v>0.004329</v>
      </c>
      <c r="Y117" s="50">
        <v>0</v>
      </c>
      <c r="Z117" s="50">
        <v>0</v>
      </c>
      <c r="AA117" s="72">
        <v>117</v>
      </c>
      <c r="AB117" s="72"/>
      <c r="AC117" s="73"/>
      <c r="AD117" s="89" t="s">
        <v>1281</v>
      </c>
      <c r="AE117" s="96" t="s">
        <v>1486</v>
      </c>
      <c r="AF117" s="89">
        <v>387</v>
      </c>
      <c r="AG117" s="89">
        <v>503</v>
      </c>
      <c r="AH117" s="89">
        <v>7201</v>
      </c>
      <c r="AI117" s="89">
        <v>958</v>
      </c>
      <c r="AJ117" s="89"/>
      <c r="AK117" s="89" t="s">
        <v>1675</v>
      </c>
      <c r="AL117" s="89" t="s">
        <v>1783</v>
      </c>
      <c r="AM117" s="99" t="str">
        <f>HYPERLINK("https://t.co/S20kMIQSuo")</f>
        <v>https://t.co/S20kMIQSuo</v>
      </c>
      <c r="AN117" s="89"/>
      <c r="AO117" s="92">
        <v>42654.394166666665</v>
      </c>
      <c r="AP117" s="99" t="str">
        <f>HYPERLINK("https://pbs.twimg.com/profile_banners/785773836599828480/1575044182")</f>
        <v>https://pbs.twimg.com/profile_banners/785773836599828480/1575044182</v>
      </c>
      <c r="AQ117" s="89" t="b">
        <v>0</v>
      </c>
      <c r="AR117" s="89" t="b">
        <v>0</v>
      </c>
      <c r="AS117" s="89" t="b">
        <v>0</v>
      </c>
      <c r="AT117" s="89"/>
      <c r="AU117" s="89">
        <v>0</v>
      </c>
      <c r="AV117" s="99" t="str">
        <f>HYPERLINK("https://abs.twimg.com/images/themes/theme1/bg.png")</f>
        <v>https://abs.twimg.com/images/themes/theme1/bg.png</v>
      </c>
      <c r="AW117" s="89" t="b">
        <v>0</v>
      </c>
      <c r="AX117" s="89" t="s">
        <v>1811</v>
      </c>
      <c r="AY117" s="99" t="str">
        <f>HYPERLINK("https://twitter.com/growguide1")</f>
        <v>https://twitter.com/growguide1</v>
      </c>
      <c r="AZ117" s="89" t="s">
        <v>66</v>
      </c>
      <c r="BA117" s="89" t="str">
        <f>REPLACE(INDEX(GroupVertices[Group],MATCH(Vertices[[#This Row],[Vertex]],GroupVertices[Vertex],0)),1,1,"")</f>
        <v>7</v>
      </c>
      <c r="BB117" s="49">
        <v>0</v>
      </c>
      <c r="BC117" s="50">
        <v>0</v>
      </c>
      <c r="BD117" s="49">
        <v>0</v>
      </c>
      <c r="BE117" s="50">
        <v>0</v>
      </c>
      <c r="BF117" s="49">
        <v>0</v>
      </c>
      <c r="BG117" s="50">
        <v>0</v>
      </c>
      <c r="BH117" s="49">
        <v>20</v>
      </c>
      <c r="BI117" s="50">
        <v>100</v>
      </c>
      <c r="BJ117" s="49">
        <v>20</v>
      </c>
      <c r="BK117" s="49" t="s">
        <v>4170</v>
      </c>
      <c r="BL117" s="49" t="s">
        <v>4170</v>
      </c>
      <c r="BM117" s="49" t="s">
        <v>553</v>
      </c>
      <c r="BN117" s="49" t="s">
        <v>553</v>
      </c>
      <c r="BO117" s="49" t="s">
        <v>568</v>
      </c>
      <c r="BP117" s="49" t="s">
        <v>568</v>
      </c>
      <c r="BQ117" s="123" t="s">
        <v>4238</v>
      </c>
      <c r="BR117" s="123" t="s">
        <v>4289</v>
      </c>
      <c r="BS117" s="123" t="s">
        <v>4358</v>
      </c>
      <c r="BT117" s="123" t="s">
        <v>4396</v>
      </c>
      <c r="BU117" s="2"/>
      <c r="BV117" s="3"/>
      <c r="BW117" s="3"/>
      <c r="BX117" s="3"/>
      <c r="BY117" s="3"/>
    </row>
    <row r="118" spans="1:77" ht="15">
      <c r="A118" s="65" t="s">
        <v>296</v>
      </c>
      <c r="B118" s="66"/>
      <c r="C118" s="66" t="s">
        <v>46</v>
      </c>
      <c r="D118" s="67"/>
      <c r="E118" s="69"/>
      <c r="F118" s="111" t="str">
        <f>HYPERLINK("https://pbs.twimg.com/profile_images/1306470894986985473/T65QupW1_normal.jpg")</f>
        <v>https://pbs.twimg.com/profile_images/1306470894986985473/T65QupW1_normal.jpg</v>
      </c>
      <c r="G118" s="66"/>
      <c r="H118" s="70" t="s">
        <v>296</v>
      </c>
      <c r="I118" s="71" t="s">
        <v>4419</v>
      </c>
      <c r="J118" s="71" t="s">
        <v>73</v>
      </c>
      <c r="K118" s="70" t="s">
        <v>1926</v>
      </c>
      <c r="L118" s="74">
        <v>1</v>
      </c>
      <c r="M118" s="75">
        <v>9613.400390625</v>
      </c>
      <c r="N118" s="75">
        <v>1797.244140625</v>
      </c>
      <c r="O118" s="76"/>
      <c r="P118" s="77"/>
      <c r="Q118" s="77"/>
      <c r="R118" s="104"/>
      <c r="S118" s="49">
        <v>0</v>
      </c>
      <c r="T118" s="49">
        <v>1</v>
      </c>
      <c r="U118" s="50">
        <v>0</v>
      </c>
      <c r="V118" s="50">
        <v>0.004348</v>
      </c>
      <c r="W118" s="50">
        <v>0</v>
      </c>
      <c r="X118" s="50">
        <v>0.004329</v>
      </c>
      <c r="Y118" s="50">
        <v>0</v>
      </c>
      <c r="Z118" s="50">
        <v>0</v>
      </c>
      <c r="AA118" s="72">
        <v>118</v>
      </c>
      <c r="AB118" s="72"/>
      <c r="AC118" s="73"/>
      <c r="AD118" s="89" t="s">
        <v>1282</v>
      </c>
      <c r="AE118" s="96" t="s">
        <v>1487</v>
      </c>
      <c r="AF118" s="89">
        <v>516</v>
      </c>
      <c r="AG118" s="89">
        <v>167</v>
      </c>
      <c r="AH118" s="89">
        <v>25537</v>
      </c>
      <c r="AI118" s="89">
        <v>13643</v>
      </c>
      <c r="AJ118" s="89"/>
      <c r="AK118" s="89" t="s">
        <v>1676</v>
      </c>
      <c r="AL118" s="89"/>
      <c r="AM118" s="89"/>
      <c r="AN118" s="89"/>
      <c r="AO118" s="92">
        <v>40353.79262731481</v>
      </c>
      <c r="AP118" s="89"/>
      <c r="AQ118" s="89" t="b">
        <v>1</v>
      </c>
      <c r="AR118" s="89" t="b">
        <v>0</v>
      </c>
      <c r="AS118" s="89" t="b">
        <v>0</v>
      </c>
      <c r="AT118" s="89"/>
      <c r="AU118" s="89">
        <v>12</v>
      </c>
      <c r="AV118" s="99" t="str">
        <f>HYPERLINK("https://abs.twimg.com/images/themes/theme1/bg.png")</f>
        <v>https://abs.twimg.com/images/themes/theme1/bg.png</v>
      </c>
      <c r="AW118" s="89" t="b">
        <v>0</v>
      </c>
      <c r="AX118" s="89" t="s">
        <v>1811</v>
      </c>
      <c r="AY118" s="99" t="str">
        <f>HYPERLINK("https://twitter.com/lake791")</f>
        <v>https://twitter.com/lake791</v>
      </c>
      <c r="AZ118" s="89" t="s">
        <v>66</v>
      </c>
      <c r="BA118" s="89" t="str">
        <f>REPLACE(INDEX(GroupVertices[Group],MATCH(Vertices[[#This Row],[Vertex]],GroupVertices[Vertex],0)),1,1,"")</f>
        <v>17</v>
      </c>
      <c r="BB118" s="49">
        <v>0</v>
      </c>
      <c r="BC118" s="50">
        <v>0</v>
      </c>
      <c r="BD118" s="49">
        <v>0</v>
      </c>
      <c r="BE118" s="50">
        <v>0</v>
      </c>
      <c r="BF118" s="49">
        <v>0</v>
      </c>
      <c r="BG118" s="50">
        <v>0</v>
      </c>
      <c r="BH118" s="49">
        <v>14</v>
      </c>
      <c r="BI118" s="50">
        <v>100</v>
      </c>
      <c r="BJ118" s="49">
        <v>14</v>
      </c>
      <c r="BK118" s="49"/>
      <c r="BL118" s="49"/>
      <c r="BM118" s="49"/>
      <c r="BN118" s="49"/>
      <c r="BO118" s="49"/>
      <c r="BP118" s="49"/>
      <c r="BQ118" s="123" t="s">
        <v>4239</v>
      </c>
      <c r="BR118" s="123" t="s">
        <v>4239</v>
      </c>
      <c r="BS118" s="123" t="s">
        <v>4359</v>
      </c>
      <c r="BT118" s="123" t="s">
        <v>4359</v>
      </c>
      <c r="BU118" s="2"/>
      <c r="BV118" s="3"/>
      <c r="BW118" s="3"/>
      <c r="BX118" s="3"/>
      <c r="BY118" s="3"/>
    </row>
    <row r="119" spans="1:77" ht="15">
      <c r="A119" s="65" t="s">
        <v>435</v>
      </c>
      <c r="B119" s="66"/>
      <c r="C119" s="66" t="s">
        <v>46</v>
      </c>
      <c r="D119" s="67">
        <v>10</v>
      </c>
      <c r="E119" s="69"/>
      <c r="F119" s="111" t="str">
        <f>HYPERLINK("https://pbs.twimg.com/profile_images/1031975002948689920/Po8SAYvt_normal.jpg")</f>
        <v>https://pbs.twimg.com/profile_images/1031975002948689920/Po8SAYvt_normal.jpg</v>
      </c>
      <c r="G119" s="66"/>
      <c r="H119" s="70" t="s">
        <v>435</v>
      </c>
      <c r="I119" s="71" t="s">
        <v>4419</v>
      </c>
      <c r="J119" s="71" t="s">
        <v>75</v>
      </c>
      <c r="K119" s="70" t="s">
        <v>1927</v>
      </c>
      <c r="L119" s="74">
        <v>200.96</v>
      </c>
      <c r="M119" s="75">
        <v>9613.400390625</v>
      </c>
      <c r="N119" s="75">
        <v>1223.531005859375</v>
      </c>
      <c r="O119" s="76"/>
      <c r="P119" s="77"/>
      <c r="Q119" s="77"/>
      <c r="R119" s="104"/>
      <c r="S119" s="49">
        <v>1</v>
      </c>
      <c r="T119" s="49">
        <v>0</v>
      </c>
      <c r="U119" s="50">
        <v>0</v>
      </c>
      <c r="V119" s="50">
        <v>0.004348</v>
      </c>
      <c r="W119" s="50">
        <v>0</v>
      </c>
      <c r="X119" s="50">
        <v>0.004329</v>
      </c>
      <c r="Y119" s="50">
        <v>0</v>
      </c>
      <c r="Z119" s="50">
        <v>0</v>
      </c>
      <c r="AA119" s="72">
        <v>119</v>
      </c>
      <c r="AB119" s="72"/>
      <c r="AC119" s="73"/>
      <c r="AD119" s="89" t="s">
        <v>1283</v>
      </c>
      <c r="AE119" s="96" t="s">
        <v>1113</v>
      </c>
      <c r="AF119" s="89">
        <v>993</v>
      </c>
      <c r="AG119" s="89">
        <v>3875</v>
      </c>
      <c r="AH119" s="89">
        <v>185862</v>
      </c>
      <c r="AI119" s="89">
        <v>28449</v>
      </c>
      <c r="AJ119" s="89"/>
      <c r="AK119" s="89" t="s">
        <v>1677</v>
      </c>
      <c r="AL119" s="89" t="s">
        <v>1788</v>
      </c>
      <c r="AM119" s="89"/>
      <c r="AN119" s="89"/>
      <c r="AO119" s="92">
        <v>39972.68194444444</v>
      </c>
      <c r="AP119" s="99" t="str">
        <f>HYPERLINK("https://pbs.twimg.com/profile_banners/45602301/1401946338")</f>
        <v>https://pbs.twimg.com/profile_banners/45602301/1401946338</v>
      </c>
      <c r="AQ119" s="89" t="b">
        <v>0</v>
      </c>
      <c r="AR119" s="89" t="b">
        <v>0</v>
      </c>
      <c r="AS119" s="89" t="b">
        <v>1</v>
      </c>
      <c r="AT119" s="89"/>
      <c r="AU119" s="89">
        <v>46</v>
      </c>
      <c r="AV119" s="99" t="str">
        <f>HYPERLINK("https://abs.twimg.com/images/themes/theme4/bg.gif")</f>
        <v>https://abs.twimg.com/images/themes/theme4/bg.gif</v>
      </c>
      <c r="AW119" s="89" t="b">
        <v>0</v>
      </c>
      <c r="AX119" s="89" t="s">
        <v>1811</v>
      </c>
      <c r="AY119" s="99" t="str">
        <f>HYPERLINK("https://twitter.com/jumppa")</f>
        <v>https://twitter.com/jumppa</v>
      </c>
      <c r="AZ119" s="89" t="s">
        <v>65</v>
      </c>
      <c r="BA119" s="89" t="str">
        <f>REPLACE(INDEX(GroupVertices[Group],MATCH(Vertices[[#This Row],[Vertex]],GroupVertices[Vertex],0)),1,1,"")</f>
        <v>17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297</v>
      </c>
      <c r="B120" s="66"/>
      <c r="C120" s="66" t="s">
        <v>46</v>
      </c>
      <c r="D120" s="67"/>
      <c r="E120" s="69"/>
      <c r="F120" s="111" t="str">
        <f>HYPERLINK("https://pbs.twimg.com/profile_images/785632748635643904/drLOp6-q_normal.jpg")</f>
        <v>https://pbs.twimg.com/profile_images/785632748635643904/drLOp6-q_normal.jpg</v>
      </c>
      <c r="G120" s="66"/>
      <c r="H120" s="70" t="s">
        <v>297</v>
      </c>
      <c r="I120" s="71" t="s">
        <v>4406</v>
      </c>
      <c r="J120" s="71" t="s">
        <v>73</v>
      </c>
      <c r="K120" s="70" t="s">
        <v>1928</v>
      </c>
      <c r="L120" s="74">
        <v>1</v>
      </c>
      <c r="M120" s="75">
        <v>1108.3240966796875</v>
      </c>
      <c r="N120" s="75">
        <v>3852.114501953125</v>
      </c>
      <c r="O120" s="76"/>
      <c r="P120" s="77"/>
      <c r="Q120" s="77"/>
      <c r="R120" s="104"/>
      <c r="S120" s="49">
        <v>0</v>
      </c>
      <c r="T120" s="49">
        <v>1</v>
      </c>
      <c r="U120" s="50">
        <v>0</v>
      </c>
      <c r="V120" s="50">
        <v>0.221474</v>
      </c>
      <c r="W120" s="50">
        <v>0.084107</v>
      </c>
      <c r="X120" s="50">
        <v>0.003763</v>
      </c>
      <c r="Y120" s="50">
        <v>0</v>
      </c>
      <c r="Z120" s="50">
        <v>0</v>
      </c>
      <c r="AA120" s="72">
        <v>120</v>
      </c>
      <c r="AB120" s="72"/>
      <c r="AC120" s="73"/>
      <c r="AD120" s="89" t="s">
        <v>1284</v>
      </c>
      <c r="AE120" s="96" t="s">
        <v>1488</v>
      </c>
      <c r="AF120" s="89">
        <v>637</v>
      </c>
      <c r="AG120" s="89">
        <v>339</v>
      </c>
      <c r="AH120" s="89">
        <v>2222</v>
      </c>
      <c r="AI120" s="89">
        <v>3189</v>
      </c>
      <c r="AJ120" s="89"/>
      <c r="AK120" s="89" t="s">
        <v>1678</v>
      </c>
      <c r="AL120" s="89" t="s">
        <v>1789</v>
      </c>
      <c r="AM120" s="89"/>
      <c r="AN120" s="89"/>
      <c r="AO120" s="92">
        <v>40864.51236111111</v>
      </c>
      <c r="AP120" s="99" t="str">
        <f>HYPERLINK("https://pbs.twimg.com/profile_banners/414729710/1476316572")</f>
        <v>https://pbs.twimg.com/profile_banners/414729710/1476316572</v>
      </c>
      <c r="AQ120" s="89" t="b">
        <v>1</v>
      </c>
      <c r="AR120" s="89" t="b">
        <v>0</v>
      </c>
      <c r="AS120" s="89" t="b">
        <v>0</v>
      </c>
      <c r="AT120" s="89"/>
      <c r="AU120" s="89">
        <v>4</v>
      </c>
      <c r="AV120" s="99" t="str">
        <f>HYPERLINK("https://abs.twimg.com/images/themes/theme1/bg.png")</f>
        <v>https://abs.twimg.com/images/themes/theme1/bg.png</v>
      </c>
      <c r="AW120" s="89" t="b">
        <v>0</v>
      </c>
      <c r="AX120" s="89" t="s">
        <v>1811</v>
      </c>
      <c r="AY120" s="99" t="str">
        <f>HYPERLINK("https://twitter.com/perhiot")</f>
        <v>https://twitter.com/perhiot</v>
      </c>
      <c r="AZ120" s="89" t="s">
        <v>66</v>
      </c>
      <c r="BA120" s="89" t="str">
        <f>REPLACE(INDEX(GroupVertices[Group],MATCH(Vertices[[#This Row],[Vertex]],GroupVertices[Vertex],0)),1,1,"")</f>
        <v>1</v>
      </c>
      <c r="BB120" s="49">
        <v>0</v>
      </c>
      <c r="BC120" s="50">
        <v>0</v>
      </c>
      <c r="BD120" s="49">
        <v>0</v>
      </c>
      <c r="BE120" s="50">
        <v>0</v>
      </c>
      <c r="BF120" s="49">
        <v>0</v>
      </c>
      <c r="BG120" s="50">
        <v>0</v>
      </c>
      <c r="BH120" s="49">
        <v>4</v>
      </c>
      <c r="BI120" s="50">
        <v>100</v>
      </c>
      <c r="BJ120" s="49">
        <v>4</v>
      </c>
      <c r="BK120" s="49"/>
      <c r="BL120" s="49"/>
      <c r="BM120" s="49"/>
      <c r="BN120" s="49"/>
      <c r="BO120" s="49"/>
      <c r="BP120" s="49"/>
      <c r="BQ120" s="123" t="s">
        <v>4240</v>
      </c>
      <c r="BR120" s="123" t="s">
        <v>4240</v>
      </c>
      <c r="BS120" s="123" t="s">
        <v>4360</v>
      </c>
      <c r="BT120" s="123" t="s">
        <v>4360</v>
      </c>
      <c r="BU120" s="2"/>
      <c r="BV120" s="3"/>
      <c r="BW120" s="3"/>
      <c r="BX120" s="3"/>
      <c r="BY120" s="3"/>
    </row>
    <row r="121" spans="1:77" ht="15">
      <c r="A121" s="65" t="s">
        <v>341</v>
      </c>
      <c r="B121" s="66"/>
      <c r="C121" s="66" t="s">
        <v>64</v>
      </c>
      <c r="D121" s="67">
        <v>1000</v>
      </c>
      <c r="E121" s="69"/>
      <c r="F121" s="111" t="str">
        <f>HYPERLINK("https://pbs.twimg.com/profile_images/1430266859425869830/4zb9xNoh_normal.jpg")</f>
        <v>https://pbs.twimg.com/profile_images/1430266859425869830/4zb9xNoh_normal.jpg</v>
      </c>
      <c r="G121" s="66"/>
      <c r="H121" s="70" t="s">
        <v>341</v>
      </c>
      <c r="I121" s="71" t="s">
        <v>4406</v>
      </c>
      <c r="J121" s="71" t="s">
        <v>73</v>
      </c>
      <c r="K121" s="70" t="s">
        <v>1929</v>
      </c>
      <c r="L121" s="74">
        <v>9999</v>
      </c>
      <c r="M121" s="75">
        <v>1891.25048828125</v>
      </c>
      <c r="N121" s="75">
        <v>2589.611328125</v>
      </c>
      <c r="O121" s="76"/>
      <c r="P121" s="77"/>
      <c r="Q121" s="77"/>
      <c r="R121" s="104"/>
      <c r="S121" s="49">
        <v>50</v>
      </c>
      <c r="T121" s="49">
        <v>2</v>
      </c>
      <c r="U121" s="50">
        <v>15763.755566</v>
      </c>
      <c r="V121" s="50">
        <v>0.309565</v>
      </c>
      <c r="W121" s="50">
        <v>0.657307</v>
      </c>
      <c r="X121" s="50">
        <v>0.028214</v>
      </c>
      <c r="Y121" s="50">
        <v>0</v>
      </c>
      <c r="Z121" s="50">
        <v>0</v>
      </c>
      <c r="AA121" s="72">
        <v>121</v>
      </c>
      <c r="AB121" s="72"/>
      <c r="AC121" s="73"/>
      <c r="AD121" s="89" t="s">
        <v>1285</v>
      </c>
      <c r="AE121" s="96" t="s">
        <v>1114</v>
      </c>
      <c r="AF121" s="89">
        <v>1947</v>
      </c>
      <c r="AG121" s="89">
        <v>1277</v>
      </c>
      <c r="AH121" s="89">
        <v>2980</v>
      </c>
      <c r="AI121" s="89">
        <v>4390</v>
      </c>
      <c r="AJ121" s="89"/>
      <c r="AK121" s="89" t="s">
        <v>1679</v>
      </c>
      <c r="AL121" s="89" t="s">
        <v>1790</v>
      </c>
      <c r="AM121" s="89"/>
      <c r="AN121" s="89"/>
      <c r="AO121" s="92">
        <v>44432.84648148148</v>
      </c>
      <c r="AP121" s="99" t="str">
        <f>HYPERLINK("https://pbs.twimg.com/profile_banners/1430263292170104832/1629837241")</f>
        <v>https://pbs.twimg.com/profile_banners/1430263292170104832/1629837241</v>
      </c>
      <c r="AQ121" s="89" t="b">
        <v>1</v>
      </c>
      <c r="AR121" s="89" t="b">
        <v>0</v>
      </c>
      <c r="AS121" s="89" t="b">
        <v>0</v>
      </c>
      <c r="AT121" s="89"/>
      <c r="AU121" s="89">
        <v>1</v>
      </c>
      <c r="AV121" s="89"/>
      <c r="AW121" s="89" t="b">
        <v>0</v>
      </c>
      <c r="AX121" s="89" t="s">
        <v>1811</v>
      </c>
      <c r="AY121" s="99" t="str">
        <f>HYPERLINK("https://twitter.com/cptheorist")</f>
        <v>https://twitter.com/cptheorist</v>
      </c>
      <c r="AZ121" s="89" t="s">
        <v>66</v>
      </c>
      <c r="BA121" s="89" t="str">
        <f>REPLACE(INDEX(GroupVertices[Group],MATCH(Vertices[[#This Row],[Vertex]],GroupVertices[Vertex],0)),1,1,"")</f>
        <v>1</v>
      </c>
      <c r="BB121" s="49">
        <v>0</v>
      </c>
      <c r="BC121" s="50">
        <v>0</v>
      </c>
      <c r="BD121" s="49">
        <v>0</v>
      </c>
      <c r="BE121" s="50">
        <v>0</v>
      </c>
      <c r="BF121" s="49">
        <v>0</v>
      </c>
      <c r="BG121" s="50">
        <v>0</v>
      </c>
      <c r="BH121" s="49">
        <v>28</v>
      </c>
      <c r="BI121" s="50">
        <v>100</v>
      </c>
      <c r="BJ121" s="49">
        <v>28</v>
      </c>
      <c r="BK121" s="49" t="s">
        <v>3916</v>
      </c>
      <c r="BL121" s="49" t="s">
        <v>3916</v>
      </c>
      <c r="BM121" s="49" t="s">
        <v>552</v>
      </c>
      <c r="BN121" s="49" t="s">
        <v>552</v>
      </c>
      <c r="BO121" s="49" t="s">
        <v>556</v>
      </c>
      <c r="BP121" s="49" t="s">
        <v>556</v>
      </c>
      <c r="BQ121" s="123" t="s">
        <v>4241</v>
      </c>
      <c r="BR121" s="123" t="s">
        <v>4290</v>
      </c>
      <c r="BS121" s="123" t="s">
        <v>4361</v>
      </c>
      <c r="BT121" s="123" t="s">
        <v>4397</v>
      </c>
      <c r="BU121" s="2"/>
      <c r="BV121" s="3"/>
      <c r="BW121" s="3"/>
      <c r="BX121" s="3"/>
      <c r="BY121" s="3"/>
    </row>
    <row r="122" spans="1:77" ht="15">
      <c r="A122" s="65" t="s">
        <v>298</v>
      </c>
      <c r="B122" s="66"/>
      <c r="C122" s="66" t="s">
        <v>46</v>
      </c>
      <c r="D122" s="67"/>
      <c r="E122" s="69"/>
      <c r="F122" s="111" t="str">
        <f>HYPERLINK("https://pbs.twimg.com/profile_images/1476892693741674513/Dd4SGuXO_normal.jpg")</f>
        <v>https://pbs.twimg.com/profile_images/1476892693741674513/Dd4SGuXO_normal.jpg</v>
      </c>
      <c r="G122" s="66"/>
      <c r="H122" s="70" t="s">
        <v>298</v>
      </c>
      <c r="I122" s="71" t="s">
        <v>4406</v>
      </c>
      <c r="J122" s="71" t="s">
        <v>73</v>
      </c>
      <c r="K122" s="70" t="s">
        <v>1930</v>
      </c>
      <c r="L122" s="74">
        <v>1</v>
      </c>
      <c r="M122" s="75">
        <v>3683.142333984375</v>
      </c>
      <c r="N122" s="75">
        <v>2973.320556640625</v>
      </c>
      <c r="O122" s="76"/>
      <c r="P122" s="77"/>
      <c r="Q122" s="77"/>
      <c r="R122" s="104"/>
      <c r="S122" s="49">
        <v>0</v>
      </c>
      <c r="T122" s="49">
        <v>1</v>
      </c>
      <c r="U122" s="50">
        <v>0</v>
      </c>
      <c r="V122" s="50">
        <v>0.221474</v>
      </c>
      <c r="W122" s="50">
        <v>0.084107</v>
      </c>
      <c r="X122" s="50">
        <v>0.003763</v>
      </c>
      <c r="Y122" s="50">
        <v>0</v>
      </c>
      <c r="Z122" s="50">
        <v>0</v>
      </c>
      <c r="AA122" s="72">
        <v>122</v>
      </c>
      <c r="AB122" s="72"/>
      <c r="AC122" s="73"/>
      <c r="AD122" s="89" t="s">
        <v>1286</v>
      </c>
      <c r="AE122" s="96" t="s">
        <v>1489</v>
      </c>
      <c r="AF122" s="89">
        <v>53</v>
      </c>
      <c r="AG122" s="89">
        <v>45</v>
      </c>
      <c r="AH122" s="89">
        <v>232</v>
      </c>
      <c r="AI122" s="89">
        <v>2185</v>
      </c>
      <c r="AJ122" s="89"/>
      <c r="AK122" s="89" t="s">
        <v>1680</v>
      </c>
      <c r="AL122" s="89"/>
      <c r="AM122" s="89"/>
      <c r="AN122" s="89"/>
      <c r="AO122" s="92">
        <v>44518.533217592594</v>
      </c>
      <c r="AP122" s="89"/>
      <c r="AQ122" s="89" t="b">
        <v>1</v>
      </c>
      <c r="AR122" s="89" t="b">
        <v>0</v>
      </c>
      <c r="AS122" s="89" t="b">
        <v>0</v>
      </c>
      <c r="AT122" s="89"/>
      <c r="AU122" s="89">
        <v>0</v>
      </c>
      <c r="AV122" s="89"/>
      <c r="AW122" s="89" t="b">
        <v>0</v>
      </c>
      <c r="AX122" s="89" t="s">
        <v>1811</v>
      </c>
      <c r="AY122" s="99" t="str">
        <f>HYPERLINK("https://twitter.com/pekka9966")</f>
        <v>https://twitter.com/pekka9966</v>
      </c>
      <c r="AZ122" s="89" t="s">
        <v>66</v>
      </c>
      <c r="BA122" s="89" t="str">
        <f>REPLACE(INDEX(GroupVertices[Group],MATCH(Vertices[[#This Row],[Vertex]],GroupVertices[Vertex],0)),1,1,"")</f>
        <v>1</v>
      </c>
      <c r="BB122" s="49">
        <v>0</v>
      </c>
      <c r="BC122" s="50">
        <v>0</v>
      </c>
      <c r="BD122" s="49">
        <v>0</v>
      </c>
      <c r="BE122" s="50">
        <v>0</v>
      </c>
      <c r="BF122" s="49">
        <v>0</v>
      </c>
      <c r="BG122" s="50">
        <v>0</v>
      </c>
      <c r="BH122" s="49">
        <v>4</v>
      </c>
      <c r="BI122" s="50">
        <v>100</v>
      </c>
      <c r="BJ122" s="49">
        <v>4</v>
      </c>
      <c r="BK122" s="49"/>
      <c r="BL122" s="49"/>
      <c r="BM122" s="49"/>
      <c r="BN122" s="49"/>
      <c r="BO122" s="49"/>
      <c r="BP122" s="49"/>
      <c r="BQ122" s="123" t="s">
        <v>4240</v>
      </c>
      <c r="BR122" s="123" t="s">
        <v>4240</v>
      </c>
      <c r="BS122" s="123" t="s">
        <v>4360</v>
      </c>
      <c r="BT122" s="123" t="s">
        <v>4360</v>
      </c>
      <c r="BU122" s="2"/>
      <c r="BV122" s="3"/>
      <c r="BW122" s="3"/>
      <c r="BX122" s="3"/>
      <c r="BY122" s="3"/>
    </row>
    <row r="123" spans="1:77" ht="15">
      <c r="A123" s="65" t="s">
        <v>299</v>
      </c>
      <c r="B123" s="66"/>
      <c r="C123" s="66" t="s">
        <v>46</v>
      </c>
      <c r="D123" s="67"/>
      <c r="E123" s="69"/>
      <c r="F123" s="111" t="str">
        <f>HYPERLINK("https://pbs.twimg.com/profile_images/1464902668934168583/U5FZ3HF0_normal.jpg")</f>
        <v>https://pbs.twimg.com/profile_images/1464902668934168583/U5FZ3HF0_normal.jpg</v>
      </c>
      <c r="G123" s="66"/>
      <c r="H123" s="70" t="s">
        <v>299</v>
      </c>
      <c r="I123" s="71" t="s">
        <v>4406</v>
      </c>
      <c r="J123" s="71" t="s">
        <v>73</v>
      </c>
      <c r="K123" s="70" t="s">
        <v>1931</v>
      </c>
      <c r="L123" s="74">
        <v>1</v>
      </c>
      <c r="M123" s="75">
        <v>1234.59130859375</v>
      </c>
      <c r="N123" s="75">
        <v>1033.906494140625</v>
      </c>
      <c r="O123" s="76"/>
      <c r="P123" s="77"/>
      <c r="Q123" s="77"/>
      <c r="R123" s="104"/>
      <c r="S123" s="49">
        <v>0</v>
      </c>
      <c r="T123" s="49">
        <v>1</v>
      </c>
      <c r="U123" s="50">
        <v>0</v>
      </c>
      <c r="V123" s="50">
        <v>0.221474</v>
      </c>
      <c r="W123" s="50">
        <v>0.084107</v>
      </c>
      <c r="X123" s="50">
        <v>0.003763</v>
      </c>
      <c r="Y123" s="50">
        <v>0</v>
      </c>
      <c r="Z123" s="50">
        <v>0</v>
      </c>
      <c r="AA123" s="72">
        <v>123</v>
      </c>
      <c r="AB123" s="72"/>
      <c r="AC123" s="73"/>
      <c r="AD123" s="89" t="s">
        <v>1287</v>
      </c>
      <c r="AE123" s="96" t="s">
        <v>1490</v>
      </c>
      <c r="AF123" s="89">
        <v>140</v>
      </c>
      <c r="AG123" s="89">
        <v>301</v>
      </c>
      <c r="AH123" s="89">
        <v>5656</v>
      </c>
      <c r="AI123" s="89">
        <v>43362</v>
      </c>
      <c r="AJ123" s="89"/>
      <c r="AK123" s="89"/>
      <c r="AL123" s="89"/>
      <c r="AM123" s="89"/>
      <c r="AN123" s="89"/>
      <c r="AO123" s="92">
        <v>43722.41761574074</v>
      </c>
      <c r="AP123" s="89"/>
      <c r="AQ123" s="89" t="b">
        <v>1</v>
      </c>
      <c r="AR123" s="89" t="b">
        <v>0</v>
      </c>
      <c r="AS123" s="89" t="b">
        <v>0</v>
      </c>
      <c r="AT123" s="89"/>
      <c r="AU123" s="89">
        <v>0</v>
      </c>
      <c r="AV123" s="89"/>
      <c r="AW123" s="89" t="b">
        <v>0</v>
      </c>
      <c r="AX123" s="89" t="s">
        <v>1811</v>
      </c>
      <c r="AY123" s="99" t="str">
        <f>HYPERLINK("https://twitter.com/poikelin")</f>
        <v>https://twitter.com/poikelin</v>
      </c>
      <c r="AZ123" s="89" t="s">
        <v>66</v>
      </c>
      <c r="BA123" s="89" t="str">
        <f>REPLACE(INDEX(GroupVertices[Group],MATCH(Vertices[[#This Row],[Vertex]],GroupVertices[Vertex],0)),1,1,"")</f>
        <v>1</v>
      </c>
      <c r="BB123" s="49">
        <v>0</v>
      </c>
      <c r="BC123" s="50">
        <v>0</v>
      </c>
      <c r="BD123" s="49">
        <v>0</v>
      </c>
      <c r="BE123" s="50">
        <v>0</v>
      </c>
      <c r="BF123" s="49">
        <v>0</v>
      </c>
      <c r="BG123" s="50">
        <v>0</v>
      </c>
      <c r="BH123" s="49">
        <v>4</v>
      </c>
      <c r="BI123" s="50">
        <v>100</v>
      </c>
      <c r="BJ123" s="49">
        <v>4</v>
      </c>
      <c r="BK123" s="49"/>
      <c r="BL123" s="49"/>
      <c r="BM123" s="49"/>
      <c r="BN123" s="49"/>
      <c r="BO123" s="49"/>
      <c r="BP123" s="49"/>
      <c r="BQ123" s="123" t="s">
        <v>4240</v>
      </c>
      <c r="BR123" s="123" t="s">
        <v>4240</v>
      </c>
      <c r="BS123" s="123" t="s">
        <v>4360</v>
      </c>
      <c r="BT123" s="123" t="s">
        <v>4360</v>
      </c>
      <c r="BU123" s="2"/>
      <c r="BV123" s="3"/>
      <c r="BW123" s="3"/>
      <c r="BX123" s="3"/>
      <c r="BY123" s="3"/>
    </row>
    <row r="124" spans="1:77" ht="15">
      <c r="A124" s="65" t="s">
        <v>300</v>
      </c>
      <c r="B124" s="66"/>
      <c r="C124" s="66" t="s">
        <v>46</v>
      </c>
      <c r="D124" s="67"/>
      <c r="E124" s="69"/>
      <c r="F124" s="111" t="str">
        <f>HYPERLINK("https://pbs.twimg.com/profile_images/1482431196579745801/Gr4QFSBw_normal.jpg")</f>
        <v>https://pbs.twimg.com/profile_images/1482431196579745801/Gr4QFSBw_normal.jpg</v>
      </c>
      <c r="G124" s="66"/>
      <c r="H124" s="70" t="s">
        <v>300</v>
      </c>
      <c r="I124" s="71" t="s">
        <v>4406</v>
      </c>
      <c r="J124" s="71" t="s">
        <v>73</v>
      </c>
      <c r="K124" s="70" t="s">
        <v>1932</v>
      </c>
      <c r="L124" s="74">
        <v>1</v>
      </c>
      <c r="M124" s="75">
        <v>1862.3011474609375</v>
      </c>
      <c r="N124" s="75">
        <v>234.1700439453125</v>
      </c>
      <c r="O124" s="76"/>
      <c r="P124" s="77"/>
      <c r="Q124" s="77"/>
      <c r="R124" s="104"/>
      <c r="S124" s="49">
        <v>0</v>
      </c>
      <c r="T124" s="49">
        <v>1</v>
      </c>
      <c r="U124" s="50">
        <v>0</v>
      </c>
      <c r="V124" s="50">
        <v>0.221474</v>
      </c>
      <c r="W124" s="50">
        <v>0.084107</v>
      </c>
      <c r="X124" s="50">
        <v>0.003763</v>
      </c>
      <c r="Y124" s="50">
        <v>0</v>
      </c>
      <c r="Z124" s="50">
        <v>0</v>
      </c>
      <c r="AA124" s="72">
        <v>124</v>
      </c>
      <c r="AB124" s="72"/>
      <c r="AC124" s="73"/>
      <c r="AD124" s="89" t="s">
        <v>1288</v>
      </c>
      <c r="AE124" s="96" t="s">
        <v>1491</v>
      </c>
      <c r="AF124" s="89">
        <v>1014</v>
      </c>
      <c r="AG124" s="89">
        <v>431</v>
      </c>
      <c r="AH124" s="89">
        <v>6341</v>
      </c>
      <c r="AI124" s="89">
        <v>3930</v>
      </c>
      <c r="AJ124" s="89"/>
      <c r="AK124" s="89" t="s">
        <v>1681</v>
      </c>
      <c r="AL124" s="89" t="s">
        <v>1791</v>
      </c>
      <c r="AM124" s="99" t="str">
        <f>HYPERLINK("https://t.co/TXyAbgdXDw")</f>
        <v>https://t.co/TXyAbgdXDw</v>
      </c>
      <c r="AN124" s="89"/>
      <c r="AO124" s="92">
        <v>44242.96828703704</v>
      </c>
      <c r="AP124" s="99" t="str">
        <f>HYPERLINK("https://pbs.twimg.com/profile_banners/1361453767045091328/1642274115")</f>
        <v>https://pbs.twimg.com/profile_banners/1361453767045091328/1642274115</v>
      </c>
      <c r="AQ124" s="89" t="b">
        <v>1</v>
      </c>
      <c r="AR124" s="89" t="b">
        <v>0</v>
      </c>
      <c r="AS124" s="89" t="b">
        <v>0</v>
      </c>
      <c r="AT124" s="89"/>
      <c r="AU124" s="89">
        <v>0</v>
      </c>
      <c r="AV124" s="89"/>
      <c r="AW124" s="89" t="b">
        <v>0</v>
      </c>
      <c r="AX124" s="89" t="s">
        <v>1811</v>
      </c>
      <c r="AY124" s="99" t="str">
        <f>HYPERLINK("https://twitter.com/scandinavianhu3")</f>
        <v>https://twitter.com/scandinavianhu3</v>
      </c>
      <c r="AZ124" s="89" t="s">
        <v>66</v>
      </c>
      <c r="BA124" s="89" t="str">
        <f>REPLACE(INDEX(GroupVertices[Group],MATCH(Vertices[[#This Row],[Vertex]],GroupVertices[Vertex],0)),1,1,"")</f>
        <v>1</v>
      </c>
      <c r="BB124" s="49">
        <v>0</v>
      </c>
      <c r="BC124" s="50">
        <v>0</v>
      </c>
      <c r="BD124" s="49">
        <v>0</v>
      </c>
      <c r="BE124" s="50">
        <v>0</v>
      </c>
      <c r="BF124" s="49">
        <v>0</v>
      </c>
      <c r="BG124" s="50">
        <v>0</v>
      </c>
      <c r="BH124" s="49">
        <v>4</v>
      </c>
      <c r="BI124" s="50">
        <v>100</v>
      </c>
      <c r="BJ124" s="49">
        <v>4</v>
      </c>
      <c r="BK124" s="49"/>
      <c r="BL124" s="49"/>
      <c r="BM124" s="49"/>
      <c r="BN124" s="49"/>
      <c r="BO124" s="49"/>
      <c r="BP124" s="49"/>
      <c r="BQ124" s="123" t="s">
        <v>4240</v>
      </c>
      <c r="BR124" s="123" t="s">
        <v>4240</v>
      </c>
      <c r="BS124" s="123" t="s">
        <v>4360</v>
      </c>
      <c r="BT124" s="123" t="s">
        <v>4360</v>
      </c>
      <c r="BU124" s="2"/>
      <c r="BV124" s="3"/>
      <c r="BW124" s="3"/>
      <c r="BX124" s="3"/>
      <c r="BY124" s="3"/>
    </row>
    <row r="125" spans="1:77" ht="15">
      <c r="A125" s="65" t="s">
        <v>301</v>
      </c>
      <c r="B125" s="66"/>
      <c r="C125" s="66" t="s">
        <v>46</v>
      </c>
      <c r="D125" s="67"/>
      <c r="E125" s="69"/>
      <c r="F125" s="111" t="str">
        <f>HYPERLINK("https://pbs.twimg.com/profile_images/1448989980580319232/mOJ-66Ys_normal.jpg")</f>
        <v>https://pbs.twimg.com/profile_images/1448989980580319232/mOJ-66Ys_normal.jpg</v>
      </c>
      <c r="G125" s="66"/>
      <c r="H125" s="70" t="s">
        <v>301</v>
      </c>
      <c r="I125" s="71" t="s">
        <v>4408</v>
      </c>
      <c r="J125" s="71" t="s">
        <v>73</v>
      </c>
      <c r="K125" s="70" t="s">
        <v>1933</v>
      </c>
      <c r="L125" s="74">
        <v>1</v>
      </c>
      <c r="M125" s="75">
        <v>1774.497314453125</v>
      </c>
      <c r="N125" s="75">
        <v>6677.24365234375</v>
      </c>
      <c r="O125" s="76"/>
      <c r="P125" s="77"/>
      <c r="Q125" s="77"/>
      <c r="R125" s="104"/>
      <c r="S125" s="49">
        <v>0</v>
      </c>
      <c r="T125" s="49">
        <v>2</v>
      </c>
      <c r="U125" s="50">
        <v>1415.690118</v>
      </c>
      <c r="V125" s="50">
        <v>0.258941</v>
      </c>
      <c r="W125" s="50">
        <v>0.11596</v>
      </c>
      <c r="X125" s="50">
        <v>0.003842</v>
      </c>
      <c r="Y125" s="50">
        <v>0</v>
      </c>
      <c r="Z125" s="50">
        <v>0</v>
      </c>
      <c r="AA125" s="72">
        <v>125</v>
      </c>
      <c r="AB125" s="72"/>
      <c r="AC125" s="73"/>
      <c r="AD125" s="89" t="s">
        <v>1289</v>
      </c>
      <c r="AE125" s="96" t="s">
        <v>1492</v>
      </c>
      <c r="AF125" s="89">
        <v>643</v>
      </c>
      <c r="AG125" s="89">
        <v>533</v>
      </c>
      <c r="AH125" s="89">
        <v>10735</v>
      </c>
      <c r="AI125" s="89">
        <v>49164</v>
      </c>
      <c r="AJ125" s="89"/>
      <c r="AK125" s="89"/>
      <c r="AL125" s="89"/>
      <c r="AM125" s="89"/>
      <c r="AN125" s="89"/>
      <c r="AO125" s="92">
        <v>44484.45459490741</v>
      </c>
      <c r="AP125" s="89"/>
      <c r="AQ125" s="89" t="b">
        <v>1</v>
      </c>
      <c r="AR125" s="89" t="b">
        <v>0</v>
      </c>
      <c r="AS125" s="89" t="b">
        <v>0</v>
      </c>
      <c r="AT125" s="89"/>
      <c r="AU125" s="89">
        <v>0</v>
      </c>
      <c r="AV125" s="89"/>
      <c r="AW125" s="89" t="b">
        <v>0</v>
      </c>
      <c r="AX125" s="89" t="s">
        <v>1811</v>
      </c>
      <c r="AY125" s="99" t="str">
        <f>HYPERLINK("https://twitter.com/mmaitoparta")</f>
        <v>https://twitter.com/mmaitoparta</v>
      </c>
      <c r="AZ125" s="89" t="s">
        <v>66</v>
      </c>
      <c r="BA125" s="89" t="str">
        <f>REPLACE(INDEX(GroupVertices[Group],MATCH(Vertices[[#This Row],[Vertex]],GroupVertices[Vertex],0)),1,1,"")</f>
        <v>2</v>
      </c>
      <c r="BB125" s="49">
        <v>0</v>
      </c>
      <c r="BC125" s="50">
        <v>0</v>
      </c>
      <c r="BD125" s="49">
        <v>0</v>
      </c>
      <c r="BE125" s="50">
        <v>0</v>
      </c>
      <c r="BF125" s="49">
        <v>0</v>
      </c>
      <c r="BG125" s="50">
        <v>0</v>
      </c>
      <c r="BH125" s="49">
        <v>28</v>
      </c>
      <c r="BI125" s="50">
        <v>100</v>
      </c>
      <c r="BJ125" s="49">
        <v>28</v>
      </c>
      <c r="BK125" s="49"/>
      <c r="BL125" s="49"/>
      <c r="BM125" s="49"/>
      <c r="BN125" s="49"/>
      <c r="BO125" s="49"/>
      <c r="BP125" s="49"/>
      <c r="BQ125" s="123" t="s">
        <v>4242</v>
      </c>
      <c r="BR125" s="123" t="s">
        <v>4291</v>
      </c>
      <c r="BS125" s="123" t="s">
        <v>4362</v>
      </c>
      <c r="BT125" s="123" t="s">
        <v>4398</v>
      </c>
      <c r="BU125" s="2"/>
      <c r="BV125" s="3"/>
      <c r="BW125" s="3"/>
      <c r="BX125" s="3"/>
      <c r="BY125" s="3"/>
    </row>
    <row r="126" spans="1:77" ht="15">
      <c r="A126" s="65" t="s">
        <v>302</v>
      </c>
      <c r="B126" s="66"/>
      <c r="C126" s="66" t="s">
        <v>46</v>
      </c>
      <c r="D126" s="67"/>
      <c r="E126" s="69"/>
      <c r="F126" s="111" t="str">
        <f>HYPERLINK("https://pbs.twimg.com/profile_images/1120341296223268864/U9a7X5wn_normal.png")</f>
        <v>https://pbs.twimg.com/profile_images/1120341296223268864/U9a7X5wn_normal.png</v>
      </c>
      <c r="G126" s="66"/>
      <c r="H126" s="70" t="s">
        <v>302</v>
      </c>
      <c r="I126" s="71" t="s">
        <v>4406</v>
      </c>
      <c r="J126" s="71" t="s">
        <v>73</v>
      </c>
      <c r="K126" s="70" t="s">
        <v>1934</v>
      </c>
      <c r="L126" s="74">
        <v>1</v>
      </c>
      <c r="M126" s="75">
        <v>572.1015014648438</v>
      </c>
      <c r="N126" s="75">
        <v>4184.93798828125</v>
      </c>
      <c r="O126" s="76"/>
      <c r="P126" s="77"/>
      <c r="Q126" s="77"/>
      <c r="R126" s="104"/>
      <c r="S126" s="49">
        <v>0</v>
      </c>
      <c r="T126" s="49">
        <v>1</v>
      </c>
      <c r="U126" s="50">
        <v>0</v>
      </c>
      <c r="V126" s="50">
        <v>0.221474</v>
      </c>
      <c r="W126" s="50">
        <v>0.084107</v>
      </c>
      <c r="X126" s="50">
        <v>0.003763</v>
      </c>
      <c r="Y126" s="50">
        <v>0</v>
      </c>
      <c r="Z126" s="50">
        <v>0</v>
      </c>
      <c r="AA126" s="72">
        <v>126</v>
      </c>
      <c r="AB126" s="72"/>
      <c r="AC126" s="73"/>
      <c r="AD126" s="89" t="s">
        <v>1290</v>
      </c>
      <c r="AE126" s="96" t="s">
        <v>1493</v>
      </c>
      <c r="AF126" s="89">
        <v>1165</v>
      </c>
      <c r="AG126" s="89">
        <v>801</v>
      </c>
      <c r="AH126" s="89">
        <v>25568</v>
      </c>
      <c r="AI126" s="89">
        <v>42729</v>
      </c>
      <c r="AJ126" s="89"/>
      <c r="AK126" s="89" t="s">
        <v>1682</v>
      </c>
      <c r="AL126" s="89"/>
      <c r="AM126" s="89"/>
      <c r="AN126" s="89"/>
      <c r="AO126" s="92">
        <v>43577.608611111114</v>
      </c>
      <c r="AP126" s="99" t="str">
        <f>HYPERLINK("https://pbs.twimg.com/profile_banners/1120335547522781185/1555947271")</f>
        <v>https://pbs.twimg.com/profile_banners/1120335547522781185/1555947271</v>
      </c>
      <c r="AQ126" s="89" t="b">
        <v>1</v>
      </c>
      <c r="AR126" s="89" t="b">
        <v>0</v>
      </c>
      <c r="AS126" s="89" t="b">
        <v>0</v>
      </c>
      <c r="AT126" s="89"/>
      <c r="AU126" s="89">
        <v>5</v>
      </c>
      <c r="AV126" s="89"/>
      <c r="AW126" s="89" t="b">
        <v>0</v>
      </c>
      <c r="AX126" s="89" t="s">
        <v>1811</v>
      </c>
      <c r="AY126" s="99" t="str">
        <f>HYPERLINK("https://twitter.com/l0rava")</f>
        <v>https://twitter.com/l0rava</v>
      </c>
      <c r="AZ126" s="89" t="s">
        <v>66</v>
      </c>
      <c r="BA126" s="89" t="str">
        <f>REPLACE(INDEX(GroupVertices[Group],MATCH(Vertices[[#This Row],[Vertex]],GroupVertices[Vertex],0)),1,1,"")</f>
        <v>1</v>
      </c>
      <c r="BB126" s="49">
        <v>0</v>
      </c>
      <c r="BC126" s="50">
        <v>0</v>
      </c>
      <c r="BD126" s="49">
        <v>0</v>
      </c>
      <c r="BE126" s="50">
        <v>0</v>
      </c>
      <c r="BF126" s="49">
        <v>0</v>
      </c>
      <c r="BG126" s="50">
        <v>0</v>
      </c>
      <c r="BH126" s="49">
        <v>4</v>
      </c>
      <c r="BI126" s="50">
        <v>100</v>
      </c>
      <c r="BJ126" s="49">
        <v>4</v>
      </c>
      <c r="BK126" s="49"/>
      <c r="BL126" s="49"/>
      <c r="BM126" s="49"/>
      <c r="BN126" s="49"/>
      <c r="BO126" s="49"/>
      <c r="BP126" s="49"/>
      <c r="BQ126" s="123" t="s">
        <v>4240</v>
      </c>
      <c r="BR126" s="123" t="s">
        <v>4240</v>
      </c>
      <c r="BS126" s="123" t="s">
        <v>4360</v>
      </c>
      <c r="BT126" s="123" t="s">
        <v>4360</v>
      </c>
      <c r="BU126" s="2"/>
      <c r="BV126" s="3"/>
      <c r="BW126" s="3"/>
      <c r="BX126" s="3"/>
      <c r="BY126" s="3"/>
    </row>
    <row r="127" spans="1:77" ht="15">
      <c r="A127" s="65" t="s">
        <v>303</v>
      </c>
      <c r="B127" s="66"/>
      <c r="C127" s="66" t="s">
        <v>46</v>
      </c>
      <c r="D127" s="67"/>
      <c r="E127" s="69"/>
      <c r="F127" s="111" t="str">
        <f>HYPERLINK("https://pbs.twimg.com/profile_images/1368866478666248193/8B69DCk9_normal.jpg")</f>
        <v>https://pbs.twimg.com/profile_images/1368866478666248193/8B69DCk9_normal.jpg</v>
      </c>
      <c r="G127" s="66"/>
      <c r="H127" s="70" t="s">
        <v>303</v>
      </c>
      <c r="I127" s="71" t="s">
        <v>4406</v>
      </c>
      <c r="J127" s="71" t="s">
        <v>73</v>
      </c>
      <c r="K127" s="70" t="s">
        <v>1935</v>
      </c>
      <c r="L127" s="74">
        <v>1</v>
      </c>
      <c r="M127" s="75">
        <v>2897.267333984375</v>
      </c>
      <c r="N127" s="75">
        <v>3798.55029296875</v>
      </c>
      <c r="O127" s="76"/>
      <c r="P127" s="77"/>
      <c r="Q127" s="77"/>
      <c r="R127" s="104"/>
      <c r="S127" s="49">
        <v>0</v>
      </c>
      <c r="T127" s="49">
        <v>1</v>
      </c>
      <c r="U127" s="50">
        <v>0</v>
      </c>
      <c r="V127" s="50">
        <v>0.221474</v>
      </c>
      <c r="W127" s="50">
        <v>0.084107</v>
      </c>
      <c r="X127" s="50">
        <v>0.003763</v>
      </c>
      <c r="Y127" s="50">
        <v>0</v>
      </c>
      <c r="Z127" s="50">
        <v>0</v>
      </c>
      <c r="AA127" s="72">
        <v>127</v>
      </c>
      <c r="AB127" s="72"/>
      <c r="AC127" s="73"/>
      <c r="AD127" s="89" t="s">
        <v>1291</v>
      </c>
      <c r="AE127" s="96" t="s">
        <v>1494</v>
      </c>
      <c r="AF127" s="89">
        <v>208</v>
      </c>
      <c r="AG127" s="89">
        <v>243</v>
      </c>
      <c r="AH127" s="89">
        <v>11367</v>
      </c>
      <c r="AI127" s="89">
        <v>13703</v>
      </c>
      <c r="AJ127" s="89"/>
      <c r="AK127" s="89" t="s">
        <v>1683</v>
      </c>
      <c r="AL127" s="89" t="s">
        <v>1144</v>
      </c>
      <c r="AM127" s="89"/>
      <c r="AN127" s="89"/>
      <c r="AO127" s="92">
        <v>41857.35587962963</v>
      </c>
      <c r="AP127" s="99" t="str">
        <f>HYPERLINK("https://pbs.twimg.com/profile_banners/2711530321/1437419913")</f>
        <v>https://pbs.twimg.com/profile_banners/2711530321/1437419913</v>
      </c>
      <c r="AQ127" s="89" t="b">
        <v>0</v>
      </c>
      <c r="AR127" s="89" t="b">
        <v>0</v>
      </c>
      <c r="AS127" s="89" t="b">
        <v>1</v>
      </c>
      <c r="AT127" s="89"/>
      <c r="AU127" s="89">
        <v>5</v>
      </c>
      <c r="AV127" s="99" t="str">
        <f>HYPERLINK("https://abs.twimg.com/images/themes/theme1/bg.png")</f>
        <v>https://abs.twimg.com/images/themes/theme1/bg.png</v>
      </c>
      <c r="AW127" s="89" t="b">
        <v>0</v>
      </c>
      <c r="AX127" s="89" t="s">
        <v>1811</v>
      </c>
      <c r="AY127" s="99" t="str">
        <f>HYPERLINK("https://twitter.com/anastasyafed")</f>
        <v>https://twitter.com/anastasyafed</v>
      </c>
      <c r="AZ127" s="89" t="s">
        <v>66</v>
      </c>
      <c r="BA127" s="89" t="str">
        <f>REPLACE(INDEX(GroupVertices[Group],MATCH(Vertices[[#This Row],[Vertex]],GroupVertices[Vertex],0)),1,1,"")</f>
        <v>1</v>
      </c>
      <c r="BB127" s="49">
        <v>0</v>
      </c>
      <c r="BC127" s="50">
        <v>0</v>
      </c>
      <c r="BD127" s="49">
        <v>0</v>
      </c>
      <c r="BE127" s="50">
        <v>0</v>
      </c>
      <c r="BF127" s="49">
        <v>0</v>
      </c>
      <c r="BG127" s="50">
        <v>0</v>
      </c>
      <c r="BH127" s="49">
        <v>4</v>
      </c>
      <c r="BI127" s="50">
        <v>100</v>
      </c>
      <c r="BJ127" s="49">
        <v>4</v>
      </c>
      <c r="BK127" s="49"/>
      <c r="BL127" s="49"/>
      <c r="BM127" s="49"/>
      <c r="BN127" s="49"/>
      <c r="BO127" s="49"/>
      <c r="BP127" s="49"/>
      <c r="BQ127" s="123" t="s">
        <v>4240</v>
      </c>
      <c r="BR127" s="123" t="s">
        <v>4240</v>
      </c>
      <c r="BS127" s="123" t="s">
        <v>4360</v>
      </c>
      <c r="BT127" s="123" t="s">
        <v>4360</v>
      </c>
      <c r="BU127" s="2"/>
      <c r="BV127" s="3"/>
      <c r="BW127" s="3"/>
      <c r="BX127" s="3"/>
      <c r="BY127" s="3"/>
    </row>
    <row r="128" spans="1:77" ht="15">
      <c r="A128" s="65" t="s">
        <v>304</v>
      </c>
      <c r="B128" s="66"/>
      <c r="C128" s="66" t="s">
        <v>46</v>
      </c>
      <c r="D128" s="67"/>
      <c r="E128" s="69"/>
      <c r="F128" s="111" t="str">
        <f>HYPERLINK("https://pbs.twimg.com/profile_images/1312662052767436805/gQxfi7_e_normal.jpg")</f>
        <v>https://pbs.twimg.com/profile_images/1312662052767436805/gQxfi7_e_normal.jpg</v>
      </c>
      <c r="G128" s="66"/>
      <c r="H128" s="70" t="s">
        <v>304</v>
      </c>
      <c r="I128" s="71" t="s">
        <v>4406</v>
      </c>
      <c r="J128" s="71" t="s">
        <v>73</v>
      </c>
      <c r="K128" s="70" t="s">
        <v>1936</v>
      </c>
      <c r="L128" s="74">
        <v>1</v>
      </c>
      <c r="M128" s="75">
        <v>3023.70947265625</v>
      </c>
      <c r="N128" s="75">
        <v>765.0692138671875</v>
      </c>
      <c r="O128" s="76"/>
      <c r="P128" s="77"/>
      <c r="Q128" s="77"/>
      <c r="R128" s="104"/>
      <c r="S128" s="49">
        <v>0</v>
      </c>
      <c r="T128" s="49">
        <v>1</v>
      </c>
      <c r="U128" s="50">
        <v>0</v>
      </c>
      <c r="V128" s="50">
        <v>0.221474</v>
      </c>
      <c r="W128" s="50">
        <v>0.084107</v>
      </c>
      <c r="X128" s="50">
        <v>0.003763</v>
      </c>
      <c r="Y128" s="50">
        <v>0</v>
      </c>
      <c r="Z128" s="50">
        <v>0</v>
      </c>
      <c r="AA128" s="72">
        <v>128</v>
      </c>
      <c r="AB128" s="72"/>
      <c r="AC128" s="73"/>
      <c r="AD128" s="89" t="s">
        <v>1292</v>
      </c>
      <c r="AE128" s="96" t="s">
        <v>1495</v>
      </c>
      <c r="AF128" s="89">
        <v>630</v>
      </c>
      <c r="AG128" s="89">
        <v>240</v>
      </c>
      <c r="AH128" s="89">
        <v>25130</v>
      </c>
      <c r="AI128" s="89">
        <v>135659</v>
      </c>
      <c r="AJ128" s="89"/>
      <c r="AK128" s="89"/>
      <c r="AL128" s="89"/>
      <c r="AM128" s="89"/>
      <c r="AN128" s="89"/>
      <c r="AO128" s="92">
        <v>41824.1590162037</v>
      </c>
      <c r="AP128" s="89"/>
      <c r="AQ128" s="89" t="b">
        <v>1</v>
      </c>
      <c r="AR128" s="89" t="b">
        <v>0</v>
      </c>
      <c r="AS128" s="89" t="b">
        <v>0</v>
      </c>
      <c r="AT128" s="89"/>
      <c r="AU128" s="89">
        <v>5</v>
      </c>
      <c r="AV128" s="99" t="str">
        <f>HYPERLINK("https://abs.twimg.com/images/themes/theme1/bg.png")</f>
        <v>https://abs.twimg.com/images/themes/theme1/bg.png</v>
      </c>
      <c r="AW128" s="89" t="b">
        <v>0</v>
      </c>
      <c r="AX128" s="89" t="s">
        <v>1811</v>
      </c>
      <c r="AY128" s="99" t="str">
        <f>HYPERLINK("https://twitter.com/millscgh")</f>
        <v>https://twitter.com/millscgh</v>
      </c>
      <c r="AZ128" s="89" t="s">
        <v>66</v>
      </c>
      <c r="BA128" s="89" t="str">
        <f>REPLACE(INDEX(GroupVertices[Group],MATCH(Vertices[[#This Row],[Vertex]],GroupVertices[Vertex],0)),1,1,"")</f>
        <v>1</v>
      </c>
      <c r="BB128" s="49">
        <v>0</v>
      </c>
      <c r="BC128" s="50">
        <v>0</v>
      </c>
      <c r="BD128" s="49">
        <v>0</v>
      </c>
      <c r="BE128" s="50">
        <v>0</v>
      </c>
      <c r="BF128" s="49">
        <v>0</v>
      </c>
      <c r="BG128" s="50">
        <v>0</v>
      </c>
      <c r="BH128" s="49">
        <v>4</v>
      </c>
      <c r="BI128" s="50">
        <v>100</v>
      </c>
      <c r="BJ128" s="49">
        <v>4</v>
      </c>
      <c r="BK128" s="49"/>
      <c r="BL128" s="49"/>
      <c r="BM128" s="49"/>
      <c r="BN128" s="49"/>
      <c r="BO128" s="49"/>
      <c r="BP128" s="49"/>
      <c r="BQ128" s="123" t="s">
        <v>4240</v>
      </c>
      <c r="BR128" s="123" t="s">
        <v>4240</v>
      </c>
      <c r="BS128" s="123" t="s">
        <v>4360</v>
      </c>
      <c r="BT128" s="123" t="s">
        <v>4360</v>
      </c>
      <c r="BU128" s="2"/>
      <c r="BV128" s="3"/>
      <c r="BW128" s="3"/>
      <c r="BX128" s="3"/>
      <c r="BY128" s="3"/>
    </row>
    <row r="129" spans="1:77" ht="15">
      <c r="A129" s="65" t="s">
        <v>305</v>
      </c>
      <c r="B129" s="66"/>
      <c r="C129" s="66" t="s">
        <v>46</v>
      </c>
      <c r="D129" s="67"/>
      <c r="E129" s="69"/>
      <c r="F129" s="111" t="str">
        <f>HYPERLINK("https://pbs.twimg.com/profile_images/1048844847032033280/dOwa_lJe_normal.jpg")</f>
        <v>https://pbs.twimg.com/profile_images/1048844847032033280/dOwa_lJe_normal.jpg</v>
      </c>
      <c r="G129" s="66"/>
      <c r="H129" s="70" t="s">
        <v>305</v>
      </c>
      <c r="I129" s="71" t="s">
        <v>4406</v>
      </c>
      <c r="J129" s="71" t="s">
        <v>73</v>
      </c>
      <c r="K129" s="70" t="s">
        <v>1937</v>
      </c>
      <c r="L129" s="74">
        <v>1</v>
      </c>
      <c r="M129" s="75">
        <v>1682.2183837890625</v>
      </c>
      <c r="N129" s="75">
        <v>4188.4833984375</v>
      </c>
      <c r="O129" s="76"/>
      <c r="P129" s="77"/>
      <c r="Q129" s="77"/>
      <c r="R129" s="104"/>
      <c r="S129" s="49">
        <v>0</v>
      </c>
      <c r="T129" s="49">
        <v>1</v>
      </c>
      <c r="U129" s="50">
        <v>0</v>
      </c>
      <c r="V129" s="50">
        <v>0.221474</v>
      </c>
      <c r="W129" s="50">
        <v>0.084107</v>
      </c>
      <c r="X129" s="50">
        <v>0.003763</v>
      </c>
      <c r="Y129" s="50">
        <v>0</v>
      </c>
      <c r="Z129" s="50">
        <v>0</v>
      </c>
      <c r="AA129" s="72">
        <v>129</v>
      </c>
      <c r="AB129" s="72"/>
      <c r="AC129" s="73"/>
      <c r="AD129" s="89" t="s">
        <v>1293</v>
      </c>
      <c r="AE129" s="96" t="s">
        <v>1496</v>
      </c>
      <c r="AF129" s="89">
        <v>641</v>
      </c>
      <c r="AG129" s="89">
        <v>598</v>
      </c>
      <c r="AH129" s="89">
        <v>14389</v>
      </c>
      <c r="AI129" s="89">
        <v>69786</v>
      </c>
      <c r="AJ129" s="89"/>
      <c r="AK129" s="89" t="s">
        <v>1684</v>
      </c>
      <c r="AL129" s="89" t="s">
        <v>1792</v>
      </c>
      <c r="AM129" s="89"/>
      <c r="AN129" s="89"/>
      <c r="AO129" s="92">
        <v>42615.79398148148</v>
      </c>
      <c r="AP129" s="99" t="str">
        <f>HYPERLINK("https://pbs.twimg.com/profile_banners/771785598017339392/1623569297")</f>
        <v>https://pbs.twimg.com/profile_banners/771785598017339392/1623569297</v>
      </c>
      <c r="AQ129" s="89" t="b">
        <v>1</v>
      </c>
      <c r="AR129" s="89" t="b">
        <v>0</v>
      </c>
      <c r="AS129" s="89" t="b">
        <v>0</v>
      </c>
      <c r="AT129" s="89"/>
      <c r="AU129" s="89">
        <v>0</v>
      </c>
      <c r="AV129" s="89"/>
      <c r="AW129" s="89" t="b">
        <v>0</v>
      </c>
      <c r="AX129" s="89" t="s">
        <v>1811</v>
      </c>
      <c r="AY129" s="99" t="str">
        <f>HYPERLINK("https://twitter.com/jarimikkonen0")</f>
        <v>https://twitter.com/jarimikkonen0</v>
      </c>
      <c r="AZ129" s="89" t="s">
        <v>66</v>
      </c>
      <c r="BA129" s="89" t="str">
        <f>REPLACE(INDEX(GroupVertices[Group],MATCH(Vertices[[#This Row],[Vertex]],GroupVertices[Vertex],0)),1,1,"")</f>
        <v>1</v>
      </c>
      <c r="BB129" s="49">
        <v>0</v>
      </c>
      <c r="BC129" s="50">
        <v>0</v>
      </c>
      <c r="BD129" s="49">
        <v>0</v>
      </c>
      <c r="BE129" s="50">
        <v>0</v>
      </c>
      <c r="BF129" s="49">
        <v>0</v>
      </c>
      <c r="BG129" s="50">
        <v>0</v>
      </c>
      <c r="BH129" s="49">
        <v>4</v>
      </c>
      <c r="BI129" s="50">
        <v>100</v>
      </c>
      <c r="BJ129" s="49">
        <v>4</v>
      </c>
      <c r="BK129" s="49"/>
      <c r="BL129" s="49"/>
      <c r="BM129" s="49"/>
      <c r="BN129" s="49"/>
      <c r="BO129" s="49"/>
      <c r="BP129" s="49"/>
      <c r="BQ129" s="123" t="s">
        <v>4243</v>
      </c>
      <c r="BR129" s="123" t="s">
        <v>4243</v>
      </c>
      <c r="BS129" s="123" t="s">
        <v>4363</v>
      </c>
      <c r="BT129" s="123" t="s">
        <v>4363</v>
      </c>
      <c r="BU129" s="2"/>
      <c r="BV129" s="3"/>
      <c r="BW129" s="3"/>
      <c r="BX129" s="3"/>
      <c r="BY129" s="3"/>
    </row>
    <row r="130" spans="1:77" ht="15">
      <c r="A130" s="65" t="s">
        <v>306</v>
      </c>
      <c r="B130" s="66"/>
      <c r="C130" s="66" t="s">
        <v>46</v>
      </c>
      <c r="D130" s="67"/>
      <c r="E130" s="69"/>
      <c r="F130" s="111" t="str">
        <f>HYPERLINK("https://pbs.twimg.com/profile_images/565797328150212608/MpLkZyuu_normal.png")</f>
        <v>https://pbs.twimg.com/profile_images/565797328150212608/MpLkZyuu_normal.png</v>
      </c>
      <c r="G130" s="66"/>
      <c r="H130" s="70" t="s">
        <v>306</v>
      </c>
      <c r="I130" s="71" t="s">
        <v>4415</v>
      </c>
      <c r="J130" s="71" t="s">
        <v>73</v>
      </c>
      <c r="K130" s="70" t="s">
        <v>1938</v>
      </c>
      <c r="L130" s="74">
        <v>1</v>
      </c>
      <c r="M130" s="75">
        <v>7446.52880859375</v>
      </c>
      <c r="N130" s="75">
        <v>8738.1123046875</v>
      </c>
      <c r="O130" s="76"/>
      <c r="P130" s="77"/>
      <c r="Q130" s="77"/>
      <c r="R130" s="104"/>
      <c r="S130" s="49">
        <v>0</v>
      </c>
      <c r="T130" s="49">
        <v>2</v>
      </c>
      <c r="U130" s="50">
        <v>354</v>
      </c>
      <c r="V130" s="50">
        <v>0.176611</v>
      </c>
      <c r="W130" s="50">
        <v>0.011831</v>
      </c>
      <c r="X130" s="50">
        <v>0.004493</v>
      </c>
      <c r="Y130" s="50">
        <v>0</v>
      </c>
      <c r="Z130" s="50">
        <v>0</v>
      </c>
      <c r="AA130" s="72">
        <v>130</v>
      </c>
      <c r="AB130" s="72"/>
      <c r="AC130" s="73"/>
      <c r="AD130" s="89" t="s">
        <v>1294</v>
      </c>
      <c r="AE130" s="96" t="s">
        <v>1497</v>
      </c>
      <c r="AF130" s="89">
        <v>1</v>
      </c>
      <c r="AG130" s="89">
        <v>4</v>
      </c>
      <c r="AH130" s="89">
        <v>978</v>
      </c>
      <c r="AI130" s="89">
        <v>2</v>
      </c>
      <c r="AJ130" s="89"/>
      <c r="AK130" s="89" t="s">
        <v>1685</v>
      </c>
      <c r="AL130" s="89"/>
      <c r="AM130" s="99" t="str">
        <f>HYPERLINK("https://t.co/22wVBFypeI")</f>
        <v>https://t.co/22wVBFypeI</v>
      </c>
      <c r="AN130" s="89"/>
      <c r="AO130" s="92">
        <v>42047.37143518519</v>
      </c>
      <c r="AP130" s="99" t="str">
        <f>HYPERLINK("https://pbs.twimg.com/profile_banners/3032291548/1567667032")</f>
        <v>https://pbs.twimg.com/profile_banners/3032291548/1567667032</v>
      </c>
      <c r="AQ130" s="89" t="b">
        <v>0</v>
      </c>
      <c r="AR130" s="89" t="b">
        <v>0</v>
      </c>
      <c r="AS130" s="89" t="b">
        <v>0</v>
      </c>
      <c r="AT130" s="89"/>
      <c r="AU130" s="89">
        <v>0</v>
      </c>
      <c r="AV130" s="99" t="str">
        <f>HYPERLINK("https://abs.twimg.com/images/themes/theme4/bg.gif")</f>
        <v>https://abs.twimg.com/images/themes/theme4/bg.gif</v>
      </c>
      <c r="AW130" s="89" t="b">
        <v>0</v>
      </c>
      <c r="AX130" s="89" t="s">
        <v>1811</v>
      </c>
      <c r="AY130" s="99" t="str">
        <f>HYPERLINK("https://twitter.com/jacke_fi")</f>
        <v>https://twitter.com/jacke_fi</v>
      </c>
      <c r="AZ130" s="89" t="s">
        <v>66</v>
      </c>
      <c r="BA130" s="89" t="str">
        <f>REPLACE(INDEX(GroupVertices[Group],MATCH(Vertices[[#This Row],[Vertex]],GroupVertices[Vertex],0)),1,1,"")</f>
        <v>5</v>
      </c>
      <c r="BB130" s="49">
        <v>0</v>
      </c>
      <c r="BC130" s="50">
        <v>0</v>
      </c>
      <c r="BD130" s="49">
        <v>0</v>
      </c>
      <c r="BE130" s="50">
        <v>0</v>
      </c>
      <c r="BF130" s="49">
        <v>0</v>
      </c>
      <c r="BG130" s="50">
        <v>0</v>
      </c>
      <c r="BH130" s="49">
        <v>30</v>
      </c>
      <c r="BI130" s="50">
        <v>100</v>
      </c>
      <c r="BJ130" s="49">
        <v>30</v>
      </c>
      <c r="BK130" s="49"/>
      <c r="BL130" s="49"/>
      <c r="BM130" s="49"/>
      <c r="BN130" s="49"/>
      <c r="BO130" s="49"/>
      <c r="BP130" s="49"/>
      <c r="BQ130" s="123" t="s">
        <v>4244</v>
      </c>
      <c r="BR130" s="123" t="s">
        <v>4244</v>
      </c>
      <c r="BS130" s="123" t="s">
        <v>4364</v>
      </c>
      <c r="BT130" s="123" t="s">
        <v>4364</v>
      </c>
      <c r="BU130" s="2"/>
      <c r="BV130" s="3"/>
      <c r="BW130" s="3"/>
      <c r="BX130" s="3"/>
      <c r="BY130" s="3"/>
    </row>
    <row r="131" spans="1:77" ht="15">
      <c r="A131" s="65" t="s">
        <v>436</v>
      </c>
      <c r="B131" s="66"/>
      <c r="C131" s="66" t="s">
        <v>46</v>
      </c>
      <c r="D131" s="67">
        <v>10</v>
      </c>
      <c r="E131" s="69"/>
      <c r="F131" s="111" t="str">
        <f>HYPERLINK("https://pbs.twimg.com/profile_images/1209206592673112064/D7w60uI9_normal.jpg")</f>
        <v>https://pbs.twimg.com/profile_images/1209206592673112064/D7w60uI9_normal.jpg</v>
      </c>
      <c r="G131" s="66"/>
      <c r="H131" s="70" t="s">
        <v>436</v>
      </c>
      <c r="I131" s="71" t="s">
        <v>4415</v>
      </c>
      <c r="J131" s="71" t="s">
        <v>75</v>
      </c>
      <c r="K131" s="70" t="s">
        <v>1939</v>
      </c>
      <c r="L131" s="74">
        <v>200.96</v>
      </c>
      <c r="M131" s="75">
        <v>7463.72998046875</v>
      </c>
      <c r="N131" s="75">
        <v>9764.8310546875</v>
      </c>
      <c r="O131" s="76"/>
      <c r="P131" s="77"/>
      <c r="Q131" s="77"/>
      <c r="R131" s="104"/>
      <c r="S131" s="49">
        <v>1</v>
      </c>
      <c r="T131" s="49">
        <v>0</v>
      </c>
      <c r="U131" s="50">
        <v>0</v>
      </c>
      <c r="V131" s="50">
        <v>0.143946</v>
      </c>
      <c r="W131" s="50">
        <v>0.001514</v>
      </c>
      <c r="X131" s="50">
        <v>0.004017</v>
      </c>
      <c r="Y131" s="50">
        <v>0</v>
      </c>
      <c r="Z131" s="50">
        <v>0</v>
      </c>
      <c r="AA131" s="72">
        <v>131</v>
      </c>
      <c r="AB131" s="72"/>
      <c r="AC131" s="73"/>
      <c r="AD131" s="89" t="s">
        <v>1295</v>
      </c>
      <c r="AE131" s="96" t="s">
        <v>1115</v>
      </c>
      <c r="AF131" s="89">
        <v>167</v>
      </c>
      <c r="AG131" s="89">
        <v>1061</v>
      </c>
      <c r="AH131" s="89">
        <v>6677</v>
      </c>
      <c r="AI131" s="89">
        <v>4348</v>
      </c>
      <c r="AJ131" s="89"/>
      <c r="AK131" s="89" t="s">
        <v>1686</v>
      </c>
      <c r="AL131" s="89"/>
      <c r="AM131" s="89"/>
      <c r="AN131" s="89"/>
      <c r="AO131" s="92">
        <v>43822.84270833333</v>
      </c>
      <c r="AP131" s="99" t="str">
        <f>HYPERLINK("https://pbs.twimg.com/profile_banners/1209205306607259649/1577132700")</f>
        <v>https://pbs.twimg.com/profile_banners/1209205306607259649/1577132700</v>
      </c>
      <c r="AQ131" s="89" t="b">
        <v>1</v>
      </c>
      <c r="AR131" s="89" t="b">
        <v>0</v>
      </c>
      <c r="AS131" s="89" t="b">
        <v>0</v>
      </c>
      <c r="AT131" s="89"/>
      <c r="AU131" s="89">
        <v>1</v>
      </c>
      <c r="AV131" s="89"/>
      <c r="AW131" s="89" t="b">
        <v>0</v>
      </c>
      <c r="AX131" s="89" t="s">
        <v>1811</v>
      </c>
      <c r="AY131" s="99" t="str">
        <f>HYPERLINK("https://twitter.com/pankfrappa")</f>
        <v>https://twitter.com/pankfrappa</v>
      </c>
      <c r="AZ131" s="89" t="s">
        <v>65</v>
      </c>
      <c r="BA131" s="89"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334</v>
      </c>
      <c r="B132" s="66"/>
      <c r="C132" s="66" t="s">
        <v>46</v>
      </c>
      <c r="D132" s="67">
        <v>10</v>
      </c>
      <c r="E132" s="69"/>
      <c r="F132" s="111" t="str">
        <f>HYPERLINK("https://pbs.twimg.com/profile_images/1396501849671352330/WOhJsvLC_normal.jpg")</f>
        <v>https://pbs.twimg.com/profile_images/1396501849671352330/WOhJsvLC_normal.jpg</v>
      </c>
      <c r="G132" s="66"/>
      <c r="H132" s="70" t="s">
        <v>334</v>
      </c>
      <c r="I132" s="71" t="s">
        <v>4415</v>
      </c>
      <c r="J132" s="71" t="s">
        <v>73</v>
      </c>
      <c r="K132" s="70" t="s">
        <v>1940</v>
      </c>
      <c r="L132" s="74">
        <v>200.96</v>
      </c>
      <c r="M132" s="75">
        <v>7103.1650390625</v>
      </c>
      <c r="N132" s="75">
        <v>8941.7978515625</v>
      </c>
      <c r="O132" s="76"/>
      <c r="P132" s="77"/>
      <c r="Q132" s="77"/>
      <c r="R132" s="104"/>
      <c r="S132" s="49">
        <v>1</v>
      </c>
      <c r="T132" s="49">
        <v>2</v>
      </c>
      <c r="U132" s="50">
        <v>1181.021772</v>
      </c>
      <c r="V132" s="50">
        <v>0.227697</v>
      </c>
      <c r="W132" s="50">
        <v>0.090953</v>
      </c>
      <c r="X132" s="50">
        <v>0.004214</v>
      </c>
      <c r="Y132" s="50">
        <v>0</v>
      </c>
      <c r="Z132" s="50">
        <v>0</v>
      </c>
      <c r="AA132" s="72">
        <v>132</v>
      </c>
      <c r="AB132" s="72"/>
      <c r="AC132" s="73"/>
      <c r="AD132" s="89" t="s">
        <v>1296</v>
      </c>
      <c r="AE132" s="96" t="s">
        <v>1498</v>
      </c>
      <c r="AF132" s="89">
        <v>924</v>
      </c>
      <c r="AG132" s="89">
        <v>4556</v>
      </c>
      <c r="AH132" s="89">
        <v>136836</v>
      </c>
      <c r="AI132" s="89">
        <v>116263</v>
      </c>
      <c r="AJ132" s="89"/>
      <c r="AK132" s="89" t="s">
        <v>1687</v>
      </c>
      <c r="AL132" s="89"/>
      <c r="AM132" s="99" t="str">
        <f>HYPERLINK("https://t.co/bQnXdaVSvd")</f>
        <v>https://t.co/bQnXdaVSvd</v>
      </c>
      <c r="AN132" s="89"/>
      <c r="AO132" s="92">
        <v>42701.413935185185</v>
      </c>
      <c r="AP132" s="99" t="str">
        <f>HYPERLINK("https://pbs.twimg.com/profile_banners/802813232515837952/1641845401")</f>
        <v>https://pbs.twimg.com/profile_banners/802813232515837952/1641845401</v>
      </c>
      <c r="AQ132" s="89" t="b">
        <v>1</v>
      </c>
      <c r="AR132" s="89" t="b">
        <v>0</v>
      </c>
      <c r="AS132" s="89" t="b">
        <v>1</v>
      </c>
      <c r="AT132" s="89"/>
      <c r="AU132" s="89">
        <v>0</v>
      </c>
      <c r="AV132" s="89"/>
      <c r="AW132" s="89" t="b">
        <v>0</v>
      </c>
      <c r="AX132" s="89" t="s">
        <v>1811</v>
      </c>
      <c r="AY132" s="99" t="str">
        <f>HYPERLINK("https://twitter.com/huuhtanenpanu")</f>
        <v>https://twitter.com/huuhtanenpanu</v>
      </c>
      <c r="AZ132" s="89" t="s">
        <v>66</v>
      </c>
      <c r="BA132" s="89" t="str">
        <f>REPLACE(INDEX(GroupVertices[Group],MATCH(Vertices[[#This Row],[Vertex]],GroupVertices[Vertex],0)),1,1,"")</f>
        <v>5</v>
      </c>
      <c r="BB132" s="49">
        <v>0</v>
      </c>
      <c r="BC132" s="50">
        <v>0</v>
      </c>
      <c r="BD132" s="49">
        <v>0</v>
      </c>
      <c r="BE132" s="50">
        <v>0</v>
      </c>
      <c r="BF132" s="49">
        <v>0</v>
      </c>
      <c r="BG132" s="50">
        <v>0</v>
      </c>
      <c r="BH132" s="49">
        <v>33</v>
      </c>
      <c r="BI132" s="50">
        <v>100</v>
      </c>
      <c r="BJ132" s="49">
        <v>33</v>
      </c>
      <c r="BK132" s="49" t="s">
        <v>3913</v>
      </c>
      <c r="BL132" s="49" t="s">
        <v>3913</v>
      </c>
      <c r="BM132" s="49" t="s">
        <v>554</v>
      </c>
      <c r="BN132" s="49" t="s">
        <v>554</v>
      </c>
      <c r="BO132" s="49"/>
      <c r="BP132" s="49"/>
      <c r="BQ132" s="123" t="s">
        <v>4245</v>
      </c>
      <c r="BR132" s="123" t="s">
        <v>4292</v>
      </c>
      <c r="BS132" s="123" t="s">
        <v>4365</v>
      </c>
      <c r="BT132" s="123" t="s">
        <v>4399</v>
      </c>
      <c r="BU132" s="2"/>
      <c r="BV132" s="3"/>
      <c r="BW132" s="3"/>
      <c r="BX132" s="3"/>
      <c r="BY132" s="3"/>
    </row>
    <row r="133" spans="1:77" ht="15">
      <c r="A133" s="65" t="s">
        <v>307</v>
      </c>
      <c r="B133" s="66"/>
      <c r="C133" s="66" t="s">
        <v>46</v>
      </c>
      <c r="D133" s="67"/>
      <c r="E133" s="69"/>
      <c r="F133" s="111" t="str">
        <f>HYPERLINK("https://pbs.twimg.com/profile_images/1469356675966681094/JMWJeFhY_normal.png")</f>
        <v>https://pbs.twimg.com/profile_images/1469356675966681094/JMWJeFhY_normal.png</v>
      </c>
      <c r="G133" s="66"/>
      <c r="H133" s="70" t="s">
        <v>307</v>
      </c>
      <c r="I133" s="71" t="s">
        <v>4406</v>
      </c>
      <c r="J133" s="71" t="s">
        <v>73</v>
      </c>
      <c r="K133" s="70" t="s">
        <v>1941</v>
      </c>
      <c r="L133" s="74">
        <v>1</v>
      </c>
      <c r="M133" s="75">
        <v>133.7611541748047</v>
      </c>
      <c r="N133" s="75">
        <v>2714.3798828125</v>
      </c>
      <c r="O133" s="76"/>
      <c r="P133" s="77"/>
      <c r="Q133" s="77"/>
      <c r="R133" s="104"/>
      <c r="S133" s="49">
        <v>0</v>
      </c>
      <c r="T133" s="49">
        <v>1</v>
      </c>
      <c r="U133" s="50">
        <v>0</v>
      </c>
      <c r="V133" s="50">
        <v>0.221474</v>
      </c>
      <c r="W133" s="50">
        <v>0.084107</v>
      </c>
      <c r="X133" s="50">
        <v>0.003763</v>
      </c>
      <c r="Y133" s="50">
        <v>0</v>
      </c>
      <c r="Z133" s="50">
        <v>0</v>
      </c>
      <c r="AA133" s="72">
        <v>133</v>
      </c>
      <c r="AB133" s="72"/>
      <c r="AC133" s="73"/>
      <c r="AD133" s="89" t="s">
        <v>1297</v>
      </c>
      <c r="AE133" s="96" t="s">
        <v>1499</v>
      </c>
      <c r="AF133" s="89">
        <v>99</v>
      </c>
      <c r="AG133" s="89">
        <v>12</v>
      </c>
      <c r="AH133" s="89">
        <v>5</v>
      </c>
      <c r="AI133" s="89">
        <v>1923</v>
      </c>
      <c r="AJ133" s="89"/>
      <c r="AK133" s="89"/>
      <c r="AL133" s="89"/>
      <c r="AM133" s="89"/>
      <c r="AN133" s="89"/>
      <c r="AO133" s="92">
        <v>44540.7234375</v>
      </c>
      <c r="AP133" s="89"/>
      <c r="AQ133" s="89" t="b">
        <v>1</v>
      </c>
      <c r="AR133" s="89" t="b">
        <v>0</v>
      </c>
      <c r="AS133" s="89" t="b">
        <v>0</v>
      </c>
      <c r="AT133" s="89"/>
      <c r="AU133" s="89">
        <v>0</v>
      </c>
      <c r="AV133" s="89"/>
      <c r="AW133" s="89" t="b">
        <v>0</v>
      </c>
      <c r="AX133" s="89" t="s">
        <v>1811</v>
      </c>
      <c r="AY133" s="99" t="str">
        <f>HYPERLINK("https://twitter.com/jlaulum")</f>
        <v>https://twitter.com/jlaulum</v>
      </c>
      <c r="AZ133" s="89" t="s">
        <v>66</v>
      </c>
      <c r="BA133" s="89" t="str">
        <f>REPLACE(INDEX(GroupVertices[Group],MATCH(Vertices[[#This Row],[Vertex]],GroupVertices[Vertex],0)),1,1,"")</f>
        <v>1</v>
      </c>
      <c r="BB133" s="49">
        <v>0</v>
      </c>
      <c r="BC133" s="50">
        <v>0</v>
      </c>
      <c r="BD133" s="49">
        <v>0</v>
      </c>
      <c r="BE133" s="50">
        <v>0</v>
      </c>
      <c r="BF133" s="49">
        <v>0</v>
      </c>
      <c r="BG133" s="50">
        <v>0</v>
      </c>
      <c r="BH133" s="49">
        <v>4</v>
      </c>
      <c r="BI133" s="50">
        <v>100</v>
      </c>
      <c r="BJ133" s="49">
        <v>4</v>
      </c>
      <c r="BK133" s="49"/>
      <c r="BL133" s="49"/>
      <c r="BM133" s="49"/>
      <c r="BN133" s="49"/>
      <c r="BO133" s="49"/>
      <c r="BP133" s="49"/>
      <c r="BQ133" s="123" t="s">
        <v>4240</v>
      </c>
      <c r="BR133" s="123" t="s">
        <v>4240</v>
      </c>
      <c r="BS133" s="123" t="s">
        <v>4360</v>
      </c>
      <c r="BT133" s="123" t="s">
        <v>4360</v>
      </c>
      <c r="BU133" s="2"/>
      <c r="BV133" s="3"/>
      <c r="BW133" s="3"/>
      <c r="BX133" s="3"/>
      <c r="BY133" s="3"/>
    </row>
    <row r="134" spans="1:77" ht="15">
      <c r="A134" s="65" t="s">
        <v>308</v>
      </c>
      <c r="B134" s="66"/>
      <c r="C134" s="66" t="s">
        <v>46</v>
      </c>
      <c r="D134" s="67"/>
      <c r="E134" s="69"/>
      <c r="F134" s="111" t="str">
        <f>HYPERLINK("https://pbs.twimg.com/profile_images/1422294420125278217/BoRGINNN_normal.jpg")</f>
        <v>https://pbs.twimg.com/profile_images/1422294420125278217/BoRGINNN_normal.jpg</v>
      </c>
      <c r="G134" s="66"/>
      <c r="H134" s="70" t="s">
        <v>308</v>
      </c>
      <c r="I134" s="71" t="s">
        <v>4415</v>
      </c>
      <c r="J134" s="71" t="s">
        <v>73</v>
      </c>
      <c r="K134" s="70" t="s">
        <v>1942</v>
      </c>
      <c r="L134" s="74">
        <v>1</v>
      </c>
      <c r="M134" s="75">
        <v>8276.9150390625</v>
      </c>
      <c r="N134" s="75">
        <v>6452.80029296875</v>
      </c>
      <c r="O134" s="76"/>
      <c r="P134" s="77"/>
      <c r="Q134" s="77"/>
      <c r="R134" s="104"/>
      <c r="S134" s="49">
        <v>0</v>
      </c>
      <c r="T134" s="49">
        <v>3</v>
      </c>
      <c r="U134" s="50">
        <v>548.366091</v>
      </c>
      <c r="V134" s="50">
        <v>0.209356</v>
      </c>
      <c r="W134" s="50">
        <v>0.008796</v>
      </c>
      <c r="X134" s="50">
        <v>0.004451</v>
      </c>
      <c r="Y134" s="50">
        <v>0</v>
      </c>
      <c r="Z134" s="50">
        <v>0</v>
      </c>
      <c r="AA134" s="72">
        <v>134</v>
      </c>
      <c r="AB134" s="72"/>
      <c r="AC134" s="73"/>
      <c r="AD134" s="89" t="s">
        <v>1298</v>
      </c>
      <c r="AE134" s="96" t="s">
        <v>1117</v>
      </c>
      <c r="AF134" s="89">
        <v>136</v>
      </c>
      <c r="AG134" s="89">
        <v>127</v>
      </c>
      <c r="AH134" s="89">
        <v>343</v>
      </c>
      <c r="AI134" s="89">
        <v>3339</v>
      </c>
      <c r="AJ134" s="89"/>
      <c r="AK134" s="89" t="s">
        <v>1688</v>
      </c>
      <c r="AL134" s="89"/>
      <c r="AM134" s="89"/>
      <c r="AN134" s="89"/>
      <c r="AO134" s="92">
        <v>44410.85267361111</v>
      </c>
      <c r="AP134" s="99" t="str">
        <f>HYPERLINK("https://pbs.twimg.com/profile_banners/1422293007504642049/1642367673")</f>
        <v>https://pbs.twimg.com/profile_banners/1422293007504642049/1642367673</v>
      </c>
      <c r="AQ134" s="89" t="b">
        <v>1</v>
      </c>
      <c r="AR134" s="89" t="b">
        <v>0</v>
      </c>
      <c r="AS134" s="89" t="b">
        <v>0</v>
      </c>
      <c r="AT134" s="89"/>
      <c r="AU134" s="89">
        <v>0</v>
      </c>
      <c r="AV134" s="89"/>
      <c r="AW134" s="89" t="b">
        <v>0</v>
      </c>
      <c r="AX134" s="89" t="s">
        <v>1811</v>
      </c>
      <c r="AY134" s="99" t="str">
        <f>HYPERLINK("https://twitter.com/tanjassa")</f>
        <v>https://twitter.com/tanjassa</v>
      </c>
      <c r="AZ134" s="89" t="s">
        <v>66</v>
      </c>
      <c r="BA134" s="89" t="str">
        <f>REPLACE(INDEX(GroupVertices[Group],MATCH(Vertices[[#This Row],[Vertex]],GroupVertices[Vertex],0)),1,1,"")</f>
        <v>5</v>
      </c>
      <c r="BB134" s="49">
        <v>0</v>
      </c>
      <c r="BC134" s="50">
        <v>0</v>
      </c>
      <c r="BD134" s="49">
        <v>0</v>
      </c>
      <c r="BE134" s="50">
        <v>0</v>
      </c>
      <c r="BF134" s="49">
        <v>0</v>
      </c>
      <c r="BG134" s="50">
        <v>0</v>
      </c>
      <c r="BH134" s="49">
        <v>78</v>
      </c>
      <c r="BI134" s="50">
        <v>100</v>
      </c>
      <c r="BJ134" s="49">
        <v>78</v>
      </c>
      <c r="BK134" s="49"/>
      <c r="BL134" s="49"/>
      <c r="BM134" s="49"/>
      <c r="BN134" s="49"/>
      <c r="BO134" s="49"/>
      <c r="BP134" s="49"/>
      <c r="BQ134" s="123" t="s">
        <v>4246</v>
      </c>
      <c r="BR134" s="123" t="s">
        <v>4293</v>
      </c>
      <c r="BS134" s="123" t="s">
        <v>4366</v>
      </c>
      <c r="BT134" s="123" t="s">
        <v>4366</v>
      </c>
      <c r="BU134" s="2"/>
      <c r="BV134" s="3"/>
      <c r="BW134" s="3"/>
      <c r="BX134" s="3"/>
      <c r="BY134" s="3"/>
    </row>
    <row r="135" spans="1:77" ht="15">
      <c r="A135" s="65" t="s">
        <v>437</v>
      </c>
      <c r="B135" s="66"/>
      <c r="C135" s="66" t="s">
        <v>46</v>
      </c>
      <c r="D135" s="67">
        <v>10</v>
      </c>
      <c r="E135" s="69"/>
      <c r="F135" s="111" t="str">
        <f>HYPERLINK("https://pbs.twimg.com/profile_images/1480621651515650051/cvbxL2GD_normal.jpg")</f>
        <v>https://pbs.twimg.com/profile_images/1480621651515650051/cvbxL2GD_normal.jpg</v>
      </c>
      <c r="G135" s="66"/>
      <c r="H135" s="70" t="s">
        <v>437</v>
      </c>
      <c r="I135" s="71" t="s">
        <v>4415</v>
      </c>
      <c r="J135" s="71" t="s">
        <v>75</v>
      </c>
      <c r="K135" s="70" t="s">
        <v>1943</v>
      </c>
      <c r="L135" s="74">
        <v>200.96</v>
      </c>
      <c r="M135" s="75">
        <v>8483.19140625</v>
      </c>
      <c r="N135" s="75">
        <v>6314.07861328125</v>
      </c>
      <c r="O135" s="76"/>
      <c r="P135" s="77"/>
      <c r="Q135" s="77"/>
      <c r="R135" s="104"/>
      <c r="S135" s="49">
        <v>1</v>
      </c>
      <c r="T135" s="49">
        <v>0</v>
      </c>
      <c r="U135" s="50">
        <v>0</v>
      </c>
      <c r="V135" s="50">
        <v>0.164978</v>
      </c>
      <c r="W135" s="50">
        <v>0.001125</v>
      </c>
      <c r="X135" s="50">
        <v>0.003902</v>
      </c>
      <c r="Y135" s="50">
        <v>0</v>
      </c>
      <c r="Z135" s="50">
        <v>0</v>
      </c>
      <c r="AA135" s="72">
        <v>135</v>
      </c>
      <c r="AB135" s="72"/>
      <c r="AC135" s="73"/>
      <c r="AD135" s="89" t="s">
        <v>1299</v>
      </c>
      <c r="AE135" s="96" t="s">
        <v>1116</v>
      </c>
      <c r="AF135" s="89">
        <v>244</v>
      </c>
      <c r="AG135" s="89">
        <v>1816</v>
      </c>
      <c r="AH135" s="89">
        <v>1615</v>
      </c>
      <c r="AI135" s="89">
        <v>5948</v>
      </c>
      <c r="AJ135" s="89"/>
      <c r="AK135" s="89" t="s">
        <v>1689</v>
      </c>
      <c r="AL135" s="89" t="s">
        <v>1140</v>
      </c>
      <c r="AM135" s="89"/>
      <c r="AN135" s="89"/>
      <c r="AO135" s="92">
        <v>41451.34400462963</v>
      </c>
      <c r="AP135" s="99" t="str">
        <f>HYPERLINK("https://pbs.twimg.com/profile_banners/1547606214/1641842735")</f>
        <v>https://pbs.twimg.com/profile_banners/1547606214/1641842735</v>
      </c>
      <c r="AQ135" s="89" t="b">
        <v>1</v>
      </c>
      <c r="AR135" s="89" t="b">
        <v>0</v>
      </c>
      <c r="AS135" s="89" t="b">
        <v>0</v>
      </c>
      <c r="AT135" s="89"/>
      <c r="AU135" s="89">
        <v>0</v>
      </c>
      <c r="AV135" s="99" t="str">
        <f>HYPERLINK("https://abs.twimg.com/images/themes/theme1/bg.png")</f>
        <v>https://abs.twimg.com/images/themes/theme1/bg.png</v>
      </c>
      <c r="AW135" s="89" t="b">
        <v>0</v>
      </c>
      <c r="AX135" s="89" t="s">
        <v>1811</v>
      </c>
      <c r="AY135" s="99" t="str">
        <f>HYPERLINK("https://twitter.com/jasmin_kyllonen")</f>
        <v>https://twitter.com/jasmin_kyllonen</v>
      </c>
      <c r="AZ135" s="89" t="s">
        <v>65</v>
      </c>
      <c r="BA135" s="89"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309</v>
      </c>
      <c r="B136" s="66"/>
      <c r="C136" s="66" t="s">
        <v>46</v>
      </c>
      <c r="D136" s="67"/>
      <c r="E136" s="69"/>
      <c r="F136" s="111" t="str">
        <f>HYPERLINK("https://pbs.twimg.com/profile_images/1374987689171300353/DM4iLgT5_normal.jpg")</f>
        <v>https://pbs.twimg.com/profile_images/1374987689171300353/DM4iLgT5_normal.jpg</v>
      </c>
      <c r="G136" s="66"/>
      <c r="H136" s="70" t="s">
        <v>309</v>
      </c>
      <c r="I136" s="71" t="s">
        <v>4406</v>
      </c>
      <c r="J136" s="71" t="s">
        <v>73</v>
      </c>
      <c r="K136" s="70" t="s">
        <v>1944</v>
      </c>
      <c r="L136" s="74">
        <v>1</v>
      </c>
      <c r="M136" s="75">
        <v>1563.560791015625</v>
      </c>
      <c r="N136" s="75">
        <v>3053.486572265625</v>
      </c>
      <c r="O136" s="76"/>
      <c r="P136" s="77"/>
      <c r="Q136" s="77"/>
      <c r="R136" s="104"/>
      <c r="S136" s="49">
        <v>0</v>
      </c>
      <c r="T136" s="49">
        <v>1</v>
      </c>
      <c r="U136" s="50">
        <v>0</v>
      </c>
      <c r="V136" s="50">
        <v>0.221474</v>
      </c>
      <c r="W136" s="50">
        <v>0.084107</v>
      </c>
      <c r="X136" s="50">
        <v>0.003763</v>
      </c>
      <c r="Y136" s="50">
        <v>0</v>
      </c>
      <c r="Z136" s="50">
        <v>0</v>
      </c>
      <c r="AA136" s="72">
        <v>136</v>
      </c>
      <c r="AB136" s="72"/>
      <c r="AC136" s="73"/>
      <c r="AD136" s="89" t="s">
        <v>1300</v>
      </c>
      <c r="AE136" s="96" t="s">
        <v>1500</v>
      </c>
      <c r="AF136" s="89">
        <v>520</v>
      </c>
      <c r="AG136" s="89">
        <v>317</v>
      </c>
      <c r="AH136" s="89">
        <v>7941</v>
      </c>
      <c r="AI136" s="89">
        <v>5503</v>
      </c>
      <c r="AJ136" s="89"/>
      <c r="AK136" s="89" t="s">
        <v>1690</v>
      </c>
      <c r="AL136" s="89"/>
      <c r="AM136" s="89"/>
      <c r="AN136" s="89"/>
      <c r="AO136" s="92">
        <v>44052.44039351852</v>
      </c>
      <c r="AP136" s="99" t="str">
        <f>HYPERLINK("https://pbs.twimg.com/profile_banners/1292408741380456449/1603022766")</f>
        <v>https://pbs.twimg.com/profile_banners/1292408741380456449/1603022766</v>
      </c>
      <c r="AQ136" s="89" t="b">
        <v>1</v>
      </c>
      <c r="AR136" s="89" t="b">
        <v>0</v>
      </c>
      <c r="AS136" s="89" t="b">
        <v>0</v>
      </c>
      <c r="AT136" s="89"/>
      <c r="AU136" s="89">
        <v>0</v>
      </c>
      <c r="AV136" s="89"/>
      <c r="AW136" s="89" t="b">
        <v>0</v>
      </c>
      <c r="AX136" s="89" t="s">
        <v>1811</v>
      </c>
      <c r="AY136" s="99" t="str">
        <f>HYPERLINK("https://twitter.com/superlammas")</f>
        <v>https://twitter.com/superlammas</v>
      </c>
      <c r="AZ136" s="89" t="s">
        <v>66</v>
      </c>
      <c r="BA136" s="89" t="str">
        <f>REPLACE(INDEX(GroupVertices[Group],MATCH(Vertices[[#This Row],[Vertex]],GroupVertices[Vertex],0)),1,1,"")</f>
        <v>1</v>
      </c>
      <c r="BB136" s="49">
        <v>0</v>
      </c>
      <c r="BC136" s="50">
        <v>0</v>
      </c>
      <c r="BD136" s="49">
        <v>0</v>
      </c>
      <c r="BE136" s="50">
        <v>0</v>
      </c>
      <c r="BF136" s="49">
        <v>0</v>
      </c>
      <c r="BG136" s="50">
        <v>0</v>
      </c>
      <c r="BH136" s="49">
        <v>20</v>
      </c>
      <c r="BI136" s="50">
        <v>100</v>
      </c>
      <c r="BJ136" s="49">
        <v>20</v>
      </c>
      <c r="BK136" s="49"/>
      <c r="BL136" s="49"/>
      <c r="BM136" s="49"/>
      <c r="BN136" s="49"/>
      <c r="BO136" s="49"/>
      <c r="BP136" s="49"/>
      <c r="BQ136" s="123" t="s">
        <v>4247</v>
      </c>
      <c r="BR136" s="123" t="s">
        <v>4294</v>
      </c>
      <c r="BS136" s="123" t="s">
        <v>4336</v>
      </c>
      <c r="BT136" s="123" t="s">
        <v>4400</v>
      </c>
      <c r="BU136" s="2"/>
      <c r="BV136" s="3"/>
      <c r="BW136" s="3"/>
      <c r="BX136" s="3"/>
      <c r="BY136" s="3"/>
    </row>
    <row r="137" spans="1:77" ht="15">
      <c r="A137" s="65" t="s">
        <v>310</v>
      </c>
      <c r="B137" s="66"/>
      <c r="C137" s="66" t="s">
        <v>46</v>
      </c>
      <c r="D137" s="67"/>
      <c r="E137" s="69"/>
      <c r="F137" s="111" t="str">
        <f>HYPERLINK("https://pbs.twimg.com/profile_images/1234077925256957954/bECJ9c1I_normal.jpg")</f>
        <v>https://pbs.twimg.com/profile_images/1234077925256957954/bECJ9c1I_normal.jpg</v>
      </c>
      <c r="G137" s="66"/>
      <c r="H137" s="70" t="s">
        <v>310</v>
      </c>
      <c r="I137" s="71" t="s">
        <v>4406</v>
      </c>
      <c r="J137" s="71" t="s">
        <v>73</v>
      </c>
      <c r="K137" s="70" t="s">
        <v>1945</v>
      </c>
      <c r="L137" s="74">
        <v>1</v>
      </c>
      <c r="M137" s="75">
        <v>1412.3314208984375</v>
      </c>
      <c r="N137" s="75">
        <v>4770.33056640625</v>
      </c>
      <c r="O137" s="76"/>
      <c r="P137" s="77"/>
      <c r="Q137" s="77"/>
      <c r="R137" s="104"/>
      <c r="S137" s="49">
        <v>0</v>
      </c>
      <c r="T137" s="49">
        <v>1</v>
      </c>
      <c r="U137" s="50">
        <v>0</v>
      </c>
      <c r="V137" s="50">
        <v>0.221474</v>
      </c>
      <c r="W137" s="50">
        <v>0.084107</v>
      </c>
      <c r="X137" s="50">
        <v>0.003763</v>
      </c>
      <c r="Y137" s="50">
        <v>0</v>
      </c>
      <c r="Z137" s="50">
        <v>0</v>
      </c>
      <c r="AA137" s="72">
        <v>137</v>
      </c>
      <c r="AB137" s="72"/>
      <c r="AC137" s="73"/>
      <c r="AD137" s="89" t="s">
        <v>1301</v>
      </c>
      <c r="AE137" s="96" t="s">
        <v>1501</v>
      </c>
      <c r="AF137" s="89">
        <v>4860</v>
      </c>
      <c r="AG137" s="89">
        <v>4069</v>
      </c>
      <c r="AH137" s="89">
        <v>40005</v>
      </c>
      <c r="AI137" s="89">
        <v>66742</v>
      </c>
      <c r="AJ137" s="89"/>
      <c r="AK137" s="89" t="s">
        <v>1691</v>
      </c>
      <c r="AL137" s="89" t="s">
        <v>1783</v>
      </c>
      <c r="AM137" s="89"/>
      <c r="AN137" s="89"/>
      <c r="AO137" s="92">
        <v>43766.35921296296</v>
      </c>
      <c r="AP137" s="99" t="str">
        <f>HYPERLINK("https://pbs.twimg.com/profile_banners/1188736413208121345/1589310156")</f>
        <v>https://pbs.twimg.com/profile_banners/1188736413208121345/1589310156</v>
      </c>
      <c r="AQ137" s="89" t="b">
        <v>1</v>
      </c>
      <c r="AR137" s="89" t="b">
        <v>0</v>
      </c>
      <c r="AS137" s="89" t="b">
        <v>1</v>
      </c>
      <c r="AT137" s="89"/>
      <c r="AU137" s="89">
        <v>6</v>
      </c>
      <c r="AV137" s="89"/>
      <c r="AW137" s="89" t="b">
        <v>0</v>
      </c>
      <c r="AX137" s="89" t="s">
        <v>1811</v>
      </c>
      <c r="AY137" s="99" t="str">
        <f>HYPERLINK("https://twitter.com/arquez13")</f>
        <v>https://twitter.com/arquez13</v>
      </c>
      <c r="AZ137" s="89" t="s">
        <v>66</v>
      </c>
      <c r="BA137" s="89" t="str">
        <f>REPLACE(INDEX(GroupVertices[Group],MATCH(Vertices[[#This Row],[Vertex]],GroupVertices[Vertex],0)),1,1,"")</f>
        <v>1</v>
      </c>
      <c r="BB137" s="49">
        <v>0</v>
      </c>
      <c r="BC137" s="50">
        <v>0</v>
      </c>
      <c r="BD137" s="49">
        <v>0</v>
      </c>
      <c r="BE137" s="50">
        <v>0</v>
      </c>
      <c r="BF137" s="49">
        <v>0</v>
      </c>
      <c r="BG137" s="50">
        <v>0</v>
      </c>
      <c r="BH137" s="49">
        <v>4</v>
      </c>
      <c r="BI137" s="50">
        <v>100</v>
      </c>
      <c r="BJ137" s="49">
        <v>4</v>
      </c>
      <c r="BK137" s="49"/>
      <c r="BL137" s="49"/>
      <c r="BM137" s="49"/>
      <c r="BN137" s="49"/>
      <c r="BO137" s="49"/>
      <c r="BP137" s="49"/>
      <c r="BQ137" s="123" t="s">
        <v>4240</v>
      </c>
      <c r="BR137" s="123" t="s">
        <v>4240</v>
      </c>
      <c r="BS137" s="123" t="s">
        <v>4360</v>
      </c>
      <c r="BT137" s="123" t="s">
        <v>4360</v>
      </c>
      <c r="BU137" s="2"/>
      <c r="BV137" s="3"/>
      <c r="BW137" s="3"/>
      <c r="BX137" s="3"/>
      <c r="BY137" s="3"/>
    </row>
    <row r="138" spans="1:77" ht="15">
      <c r="A138" s="65" t="s">
        <v>311</v>
      </c>
      <c r="B138" s="66"/>
      <c r="C138" s="66" t="s">
        <v>46</v>
      </c>
      <c r="D138" s="67"/>
      <c r="E138" s="69"/>
      <c r="F138" s="111" t="str">
        <f>HYPERLINK("https://pbs.twimg.com/profile_images/1224217916398362628/LVprO-M7_normal.jpg")</f>
        <v>https://pbs.twimg.com/profile_images/1224217916398362628/LVprO-M7_normal.jpg</v>
      </c>
      <c r="G138" s="66"/>
      <c r="H138" s="70" t="s">
        <v>311</v>
      </c>
      <c r="I138" s="71" t="s">
        <v>4406</v>
      </c>
      <c r="J138" s="71" t="s">
        <v>73</v>
      </c>
      <c r="K138" s="70" t="s">
        <v>1946</v>
      </c>
      <c r="L138" s="74">
        <v>1</v>
      </c>
      <c r="M138" s="75">
        <v>3671.254638671875</v>
      </c>
      <c r="N138" s="75">
        <v>2144.517333984375</v>
      </c>
      <c r="O138" s="76"/>
      <c r="P138" s="77"/>
      <c r="Q138" s="77"/>
      <c r="R138" s="104"/>
      <c r="S138" s="49">
        <v>0</v>
      </c>
      <c r="T138" s="49">
        <v>1</v>
      </c>
      <c r="U138" s="50">
        <v>0</v>
      </c>
      <c r="V138" s="50">
        <v>0.221474</v>
      </c>
      <c r="W138" s="50">
        <v>0.084107</v>
      </c>
      <c r="X138" s="50">
        <v>0.003763</v>
      </c>
      <c r="Y138" s="50">
        <v>0</v>
      </c>
      <c r="Z138" s="50">
        <v>0</v>
      </c>
      <c r="AA138" s="72">
        <v>138</v>
      </c>
      <c r="AB138" s="72"/>
      <c r="AC138" s="73"/>
      <c r="AD138" s="89" t="s">
        <v>1302</v>
      </c>
      <c r="AE138" s="96" t="s">
        <v>1502</v>
      </c>
      <c r="AF138" s="89">
        <v>565</v>
      </c>
      <c r="AG138" s="89">
        <v>95</v>
      </c>
      <c r="AH138" s="89">
        <v>3788</v>
      </c>
      <c r="AI138" s="89">
        <v>16689</v>
      </c>
      <c r="AJ138" s="89"/>
      <c r="AK138" s="89"/>
      <c r="AL138" s="89"/>
      <c r="AM138" s="89"/>
      <c r="AN138" s="89"/>
      <c r="AO138" s="92">
        <v>43249.25445601852</v>
      </c>
      <c r="AP138" s="89"/>
      <c r="AQ138" s="89" t="b">
        <v>1</v>
      </c>
      <c r="AR138" s="89" t="b">
        <v>0</v>
      </c>
      <c r="AS138" s="89" t="b">
        <v>0</v>
      </c>
      <c r="AT138" s="89"/>
      <c r="AU138" s="89">
        <v>0</v>
      </c>
      <c r="AV138" s="89"/>
      <c r="AW138" s="89" t="b">
        <v>0</v>
      </c>
      <c r="AX138" s="89" t="s">
        <v>1811</v>
      </c>
      <c r="AY138" s="99" t="str">
        <f>HYPERLINK("https://twitter.com/tttn786754")</f>
        <v>https://twitter.com/tttn786754</v>
      </c>
      <c r="AZ138" s="89" t="s">
        <v>66</v>
      </c>
      <c r="BA138" s="89" t="str">
        <f>REPLACE(INDEX(GroupVertices[Group],MATCH(Vertices[[#This Row],[Vertex]],GroupVertices[Vertex],0)),1,1,"")</f>
        <v>1</v>
      </c>
      <c r="BB138" s="49">
        <v>0</v>
      </c>
      <c r="BC138" s="50">
        <v>0</v>
      </c>
      <c r="BD138" s="49">
        <v>0</v>
      </c>
      <c r="BE138" s="50">
        <v>0</v>
      </c>
      <c r="BF138" s="49">
        <v>0</v>
      </c>
      <c r="BG138" s="50">
        <v>0</v>
      </c>
      <c r="BH138" s="49">
        <v>4</v>
      </c>
      <c r="BI138" s="50">
        <v>100</v>
      </c>
      <c r="BJ138" s="49">
        <v>4</v>
      </c>
      <c r="BK138" s="49"/>
      <c r="BL138" s="49"/>
      <c r="BM138" s="49"/>
      <c r="BN138" s="49"/>
      <c r="BO138" s="49"/>
      <c r="BP138" s="49"/>
      <c r="BQ138" s="123" t="s">
        <v>4240</v>
      </c>
      <c r="BR138" s="123" t="s">
        <v>4240</v>
      </c>
      <c r="BS138" s="123" t="s">
        <v>4360</v>
      </c>
      <c r="BT138" s="123" t="s">
        <v>4360</v>
      </c>
      <c r="BU138" s="2"/>
      <c r="BV138" s="3"/>
      <c r="BW138" s="3"/>
      <c r="BX138" s="3"/>
      <c r="BY138" s="3"/>
    </row>
    <row r="139" spans="1:77" ht="15">
      <c r="A139" s="65" t="s">
        <v>312</v>
      </c>
      <c r="B139" s="66"/>
      <c r="C139" s="66" t="s">
        <v>46</v>
      </c>
      <c r="D139" s="67"/>
      <c r="E139" s="69"/>
      <c r="F139" s="111" t="str">
        <f>HYPERLINK("https://pbs.twimg.com/profile_images/1467773225169997824/E2xuSyLm_normal.jpg")</f>
        <v>https://pbs.twimg.com/profile_images/1467773225169997824/E2xuSyLm_normal.jpg</v>
      </c>
      <c r="G139" s="66"/>
      <c r="H139" s="70" t="s">
        <v>312</v>
      </c>
      <c r="I139" s="71" t="s">
        <v>4406</v>
      </c>
      <c r="J139" s="71" t="s">
        <v>73</v>
      </c>
      <c r="K139" s="70" t="s">
        <v>1947</v>
      </c>
      <c r="L139" s="74">
        <v>1</v>
      </c>
      <c r="M139" s="75">
        <v>3181.680419921875</v>
      </c>
      <c r="N139" s="75">
        <v>4233.3662109375</v>
      </c>
      <c r="O139" s="76"/>
      <c r="P139" s="77"/>
      <c r="Q139" s="77"/>
      <c r="R139" s="104"/>
      <c r="S139" s="49">
        <v>0</v>
      </c>
      <c r="T139" s="49">
        <v>1</v>
      </c>
      <c r="U139" s="50">
        <v>0</v>
      </c>
      <c r="V139" s="50">
        <v>0.221474</v>
      </c>
      <c r="W139" s="50">
        <v>0.084107</v>
      </c>
      <c r="X139" s="50">
        <v>0.003763</v>
      </c>
      <c r="Y139" s="50">
        <v>0</v>
      </c>
      <c r="Z139" s="50">
        <v>0</v>
      </c>
      <c r="AA139" s="72">
        <v>139</v>
      </c>
      <c r="AB139" s="72"/>
      <c r="AC139" s="73"/>
      <c r="AD139" s="89" t="s">
        <v>1303</v>
      </c>
      <c r="AE139" s="96" t="s">
        <v>1503</v>
      </c>
      <c r="AF139" s="89">
        <v>225</v>
      </c>
      <c r="AG139" s="89">
        <v>90</v>
      </c>
      <c r="AH139" s="89">
        <v>44</v>
      </c>
      <c r="AI139" s="89">
        <v>43</v>
      </c>
      <c r="AJ139" s="89"/>
      <c r="AK139" s="89"/>
      <c r="AL139" s="89" t="s">
        <v>1793</v>
      </c>
      <c r="AM139" s="89"/>
      <c r="AN139" s="89"/>
      <c r="AO139" s="92">
        <v>43959.35057870371</v>
      </c>
      <c r="AP139" s="89"/>
      <c r="AQ139" s="89" t="b">
        <v>1</v>
      </c>
      <c r="AR139" s="89" t="b">
        <v>0</v>
      </c>
      <c r="AS139" s="89" t="b">
        <v>0</v>
      </c>
      <c r="AT139" s="89"/>
      <c r="AU139" s="89">
        <v>1</v>
      </c>
      <c r="AV139" s="89"/>
      <c r="AW139" s="89" t="b">
        <v>0</v>
      </c>
      <c r="AX139" s="89" t="s">
        <v>1811</v>
      </c>
      <c r="AY139" s="99" t="str">
        <f>HYPERLINK("https://twitter.com/putki_ilmari")</f>
        <v>https://twitter.com/putki_ilmari</v>
      </c>
      <c r="AZ139" s="89" t="s">
        <v>66</v>
      </c>
      <c r="BA139" s="89" t="str">
        <f>REPLACE(INDEX(GroupVertices[Group],MATCH(Vertices[[#This Row],[Vertex]],GroupVertices[Vertex],0)),1,1,"")</f>
        <v>1</v>
      </c>
      <c r="BB139" s="49">
        <v>0</v>
      </c>
      <c r="BC139" s="50">
        <v>0</v>
      </c>
      <c r="BD139" s="49">
        <v>0</v>
      </c>
      <c r="BE139" s="50">
        <v>0</v>
      </c>
      <c r="BF139" s="49">
        <v>0</v>
      </c>
      <c r="BG139" s="50">
        <v>0</v>
      </c>
      <c r="BH139" s="49">
        <v>4</v>
      </c>
      <c r="BI139" s="50">
        <v>100</v>
      </c>
      <c r="BJ139" s="49">
        <v>4</v>
      </c>
      <c r="BK139" s="49"/>
      <c r="BL139" s="49"/>
      <c r="BM139" s="49"/>
      <c r="BN139" s="49"/>
      <c r="BO139" s="49"/>
      <c r="BP139" s="49"/>
      <c r="BQ139" s="123" t="s">
        <v>4240</v>
      </c>
      <c r="BR139" s="123" t="s">
        <v>4240</v>
      </c>
      <c r="BS139" s="123" t="s">
        <v>4360</v>
      </c>
      <c r="BT139" s="123" t="s">
        <v>4360</v>
      </c>
      <c r="BU139" s="2"/>
      <c r="BV139" s="3"/>
      <c r="BW139" s="3"/>
      <c r="BX139" s="3"/>
      <c r="BY139" s="3"/>
    </row>
    <row r="140" spans="1:77" ht="15">
      <c r="A140" s="65" t="s">
        <v>313</v>
      </c>
      <c r="B140" s="66"/>
      <c r="C140" s="66" t="s">
        <v>46</v>
      </c>
      <c r="D140" s="67"/>
      <c r="E140" s="69"/>
      <c r="F140" s="111" t="str">
        <f>HYPERLINK("https://pbs.twimg.com/profile_images/1469743721101115399/wDTCEU22_normal.jpg")</f>
        <v>https://pbs.twimg.com/profile_images/1469743721101115399/wDTCEU22_normal.jpg</v>
      </c>
      <c r="G140" s="66"/>
      <c r="H140" s="70" t="s">
        <v>313</v>
      </c>
      <c r="I140" s="71" t="s">
        <v>4406</v>
      </c>
      <c r="J140" s="71" t="s">
        <v>73</v>
      </c>
      <c r="K140" s="70" t="s">
        <v>1948</v>
      </c>
      <c r="L140" s="74">
        <v>1</v>
      </c>
      <c r="M140" s="75">
        <v>2287.555419921875</v>
      </c>
      <c r="N140" s="75">
        <v>2949.9091796875</v>
      </c>
      <c r="O140" s="76"/>
      <c r="P140" s="77"/>
      <c r="Q140" s="77"/>
      <c r="R140" s="104"/>
      <c r="S140" s="49">
        <v>0</v>
      </c>
      <c r="T140" s="49">
        <v>1</v>
      </c>
      <c r="U140" s="50">
        <v>0</v>
      </c>
      <c r="V140" s="50">
        <v>0.221474</v>
      </c>
      <c r="W140" s="50">
        <v>0.084107</v>
      </c>
      <c r="X140" s="50">
        <v>0.003763</v>
      </c>
      <c r="Y140" s="50">
        <v>0</v>
      </c>
      <c r="Z140" s="50">
        <v>0</v>
      </c>
      <c r="AA140" s="72">
        <v>140</v>
      </c>
      <c r="AB140" s="72"/>
      <c r="AC140" s="73"/>
      <c r="AD140" s="89" t="s">
        <v>1304</v>
      </c>
      <c r="AE140" s="96" t="s">
        <v>1504</v>
      </c>
      <c r="AF140" s="89">
        <v>49</v>
      </c>
      <c r="AG140" s="89">
        <v>38</v>
      </c>
      <c r="AH140" s="89">
        <v>2142</v>
      </c>
      <c r="AI140" s="89">
        <v>8015</v>
      </c>
      <c r="AJ140" s="89"/>
      <c r="AK140" s="89"/>
      <c r="AL140" s="89"/>
      <c r="AM140" s="89"/>
      <c r="AN140" s="89"/>
      <c r="AO140" s="92">
        <v>44331.78878472222</v>
      </c>
      <c r="AP140" s="99" t="str">
        <f>HYPERLINK("https://pbs.twimg.com/profile_banners/1393641224645627904/1639270993")</f>
        <v>https://pbs.twimg.com/profile_banners/1393641224645627904/1639270993</v>
      </c>
      <c r="AQ140" s="89" t="b">
        <v>1</v>
      </c>
      <c r="AR140" s="89" t="b">
        <v>0</v>
      </c>
      <c r="AS140" s="89" t="b">
        <v>0</v>
      </c>
      <c r="AT140" s="89"/>
      <c r="AU140" s="89">
        <v>0</v>
      </c>
      <c r="AV140" s="89"/>
      <c r="AW140" s="89" t="b">
        <v>0</v>
      </c>
      <c r="AX140" s="89" t="s">
        <v>1811</v>
      </c>
      <c r="AY140" s="99" t="str">
        <f>HYPERLINK("https://twitter.com/teppotuomola")</f>
        <v>https://twitter.com/teppotuomola</v>
      </c>
      <c r="AZ140" s="89" t="s">
        <v>66</v>
      </c>
      <c r="BA140" s="89" t="str">
        <f>REPLACE(INDEX(GroupVertices[Group],MATCH(Vertices[[#This Row],[Vertex]],GroupVertices[Vertex],0)),1,1,"")</f>
        <v>1</v>
      </c>
      <c r="BB140" s="49">
        <v>0</v>
      </c>
      <c r="BC140" s="50">
        <v>0</v>
      </c>
      <c r="BD140" s="49">
        <v>0</v>
      </c>
      <c r="BE140" s="50">
        <v>0</v>
      </c>
      <c r="BF140" s="49">
        <v>0</v>
      </c>
      <c r="BG140" s="50">
        <v>0</v>
      </c>
      <c r="BH140" s="49">
        <v>20</v>
      </c>
      <c r="BI140" s="50">
        <v>100</v>
      </c>
      <c r="BJ140" s="49">
        <v>20</v>
      </c>
      <c r="BK140" s="49"/>
      <c r="BL140" s="49"/>
      <c r="BM140" s="49"/>
      <c r="BN140" s="49"/>
      <c r="BO140" s="49"/>
      <c r="BP140" s="49"/>
      <c r="BQ140" s="123" t="s">
        <v>4248</v>
      </c>
      <c r="BR140" s="123" t="s">
        <v>4295</v>
      </c>
      <c r="BS140" s="123" t="s">
        <v>4367</v>
      </c>
      <c r="BT140" s="123" t="s">
        <v>4401</v>
      </c>
      <c r="BU140" s="2"/>
      <c r="BV140" s="3"/>
      <c r="BW140" s="3"/>
      <c r="BX140" s="3"/>
      <c r="BY140" s="3"/>
    </row>
    <row r="141" spans="1:77" ht="15">
      <c r="A141" s="65" t="s">
        <v>314</v>
      </c>
      <c r="B141" s="66"/>
      <c r="C141" s="66" t="s">
        <v>46</v>
      </c>
      <c r="D141" s="67"/>
      <c r="E141" s="69"/>
      <c r="F141" s="111" t="str">
        <f>HYPERLINK("https://pbs.twimg.com/profile_images/1460614689860337665/JTQToP8H_normal.jpg")</f>
        <v>https://pbs.twimg.com/profile_images/1460614689860337665/JTQToP8H_normal.jpg</v>
      </c>
      <c r="G141" s="66"/>
      <c r="H141" s="70" t="s">
        <v>314</v>
      </c>
      <c r="I141" s="71" t="s">
        <v>4406</v>
      </c>
      <c r="J141" s="71" t="s">
        <v>73</v>
      </c>
      <c r="K141" s="70" t="s">
        <v>1949</v>
      </c>
      <c r="L141" s="74">
        <v>1</v>
      </c>
      <c r="M141" s="75">
        <v>340.5710144042969</v>
      </c>
      <c r="N141" s="75">
        <v>1496.4266357421875</v>
      </c>
      <c r="O141" s="76"/>
      <c r="P141" s="77"/>
      <c r="Q141" s="77"/>
      <c r="R141" s="104"/>
      <c r="S141" s="49">
        <v>0</v>
      </c>
      <c r="T141" s="49">
        <v>1</v>
      </c>
      <c r="U141" s="50">
        <v>0</v>
      </c>
      <c r="V141" s="50">
        <v>0.221474</v>
      </c>
      <c r="W141" s="50">
        <v>0.084107</v>
      </c>
      <c r="X141" s="50">
        <v>0.003763</v>
      </c>
      <c r="Y141" s="50">
        <v>0</v>
      </c>
      <c r="Z141" s="50">
        <v>0</v>
      </c>
      <c r="AA141" s="72">
        <v>141</v>
      </c>
      <c r="AB141" s="72"/>
      <c r="AC141" s="73"/>
      <c r="AD141" s="89" t="s">
        <v>1305</v>
      </c>
      <c r="AE141" s="96" t="s">
        <v>1505</v>
      </c>
      <c r="AF141" s="89">
        <v>298</v>
      </c>
      <c r="AG141" s="89">
        <v>240</v>
      </c>
      <c r="AH141" s="89">
        <v>4523</v>
      </c>
      <c r="AI141" s="89">
        <v>13889</v>
      </c>
      <c r="AJ141" s="89"/>
      <c r="AK141" s="89" t="s">
        <v>1692</v>
      </c>
      <c r="AL141" s="89" t="s">
        <v>1140</v>
      </c>
      <c r="AM141" s="89"/>
      <c r="AN141" s="89"/>
      <c r="AO141" s="92">
        <v>40861.76831018519</v>
      </c>
      <c r="AP141" s="99" t="str">
        <f>HYPERLINK("https://pbs.twimg.com/profile_banners/412459032/1637072830")</f>
        <v>https://pbs.twimg.com/profile_banners/412459032/1637072830</v>
      </c>
      <c r="AQ141" s="89" t="b">
        <v>1</v>
      </c>
      <c r="AR141" s="89" t="b">
        <v>0</v>
      </c>
      <c r="AS141" s="89" t="b">
        <v>0</v>
      </c>
      <c r="AT141" s="89"/>
      <c r="AU141" s="89">
        <v>5</v>
      </c>
      <c r="AV141" s="99" t="str">
        <f>HYPERLINK("https://abs.twimg.com/images/themes/theme1/bg.png")</f>
        <v>https://abs.twimg.com/images/themes/theme1/bg.png</v>
      </c>
      <c r="AW141" s="89" t="b">
        <v>0</v>
      </c>
      <c r="AX141" s="89" t="s">
        <v>1811</v>
      </c>
      <c r="AY141" s="99" t="str">
        <f>HYPERLINK("https://twitter.com/linkinwd")</f>
        <v>https://twitter.com/linkinwd</v>
      </c>
      <c r="AZ141" s="89" t="s">
        <v>66</v>
      </c>
      <c r="BA141" s="89" t="str">
        <f>REPLACE(INDEX(GroupVertices[Group],MATCH(Vertices[[#This Row],[Vertex]],GroupVertices[Vertex],0)),1,1,"")</f>
        <v>1</v>
      </c>
      <c r="BB141" s="49">
        <v>0</v>
      </c>
      <c r="BC141" s="50">
        <v>0</v>
      </c>
      <c r="BD141" s="49">
        <v>0</v>
      </c>
      <c r="BE141" s="50">
        <v>0</v>
      </c>
      <c r="BF141" s="49">
        <v>0</v>
      </c>
      <c r="BG141" s="50">
        <v>0</v>
      </c>
      <c r="BH141" s="49">
        <v>16</v>
      </c>
      <c r="BI141" s="50">
        <v>100</v>
      </c>
      <c r="BJ141" s="49">
        <v>16</v>
      </c>
      <c r="BK141" s="49"/>
      <c r="BL141" s="49"/>
      <c r="BM141" s="49"/>
      <c r="BN141" s="49"/>
      <c r="BO141" s="49"/>
      <c r="BP141" s="49"/>
      <c r="BQ141" s="123" t="s">
        <v>4247</v>
      </c>
      <c r="BR141" s="123" t="s">
        <v>4247</v>
      </c>
      <c r="BS141" s="123" t="s">
        <v>4336</v>
      </c>
      <c r="BT141" s="123" t="s">
        <v>4336</v>
      </c>
      <c r="BU141" s="2"/>
      <c r="BV141" s="3"/>
      <c r="BW141" s="3"/>
      <c r="BX141" s="3"/>
      <c r="BY141" s="3"/>
    </row>
    <row r="142" spans="1:77" ht="15">
      <c r="A142" s="65" t="s">
        <v>315</v>
      </c>
      <c r="B142" s="66"/>
      <c r="C142" s="66" t="s">
        <v>46</v>
      </c>
      <c r="D142" s="67">
        <v>10</v>
      </c>
      <c r="E142" s="69"/>
      <c r="F142" s="111" t="str">
        <f>HYPERLINK("https://pbs.twimg.com/profile_images/1199039891381862401/eOX3Hr0L_normal.jpg")</f>
        <v>https://pbs.twimg.com/profile_images/1199039891381862401/eOX3Hr0L_normal.jpg</v>
      </c>
      <c r="G142" s="66"/>
      <c r="H142" s="70" t="s">
        <v>315</v>
      </c>
      <c r="I142" s="71" t="s">
        <v>4411</v>
      </c>
      <c r="J142" s="71" t="s">
        <v>73</v>
      </c>
      <c r="K142" s="70" t="s">
        <v>1950</v>
      </c>
      <c r="L142" s="74">
        <v>200.96</v>
      </c>
      <c r="M142" s="75">
        <v>6055.35498046875</v>
      </c>
      <c r="N142" s="75">
        <v>8633.9765625</v>
      </c>
      <c r="O142" s="76"/>
      <c r="P142" s="77"/>
      <c r="Q142" s="77"/>
      <c r="R142" s="104"/>
      <c r="S142" s="49">
        <v>1</v>
      </c>
      <c r="T142" s="49">
        <v>2</v>
      </c>
      <c r="U142" s="50">
        <v>350</v>
      </c>
      <c r="V142" s="50">
        <v>0.202881</v>
      </c>
      <c r="W142" s="50">
        <v>0.004876</v>
      </c>
      <c r="X142" s="50">
        <v>0.004198</v>
      </c>
      <c r="Y142" s="50">
        <v>0.3333333333333333</v>
      </c>
      <c r="Z142" s="50">
        <v>0</v>
      </c>
      <c r="AA142" s="72">
        <v>142</v>
      </c>
      <c r="AB142" s="72"/>
      <c r="AC142" s="73"/>
      <c r="AD142" s="89" t="s">
        <v>1306</v>
      </c>
      <c r="AE142" s="96" t="s">
        <v>1118</v>
      </c>
      <c r="AF142" s="89">
        <v>115</v>
      </c>
      <c r="AG142" s="89">
        <v>45</v>
      </c>
      <c r="AH142" s="89">
        <v>3319</v>
      </c>
      <c r="AI142" s="89">
        <v>2120</v>
      </c>
      <c r="AJ142" s="89"/>
      <c r="AK142" s="89" t="s">
        <v>1693</v>
      </c>
      <c r="AL142" s="89"/>
      <c r="AM142" s="89"/>
      <c r="AN142" s="89"/>
      <c r="AO142" s="92">
        <v>40808.73836805556</v>
      </c>
      <c r="AP142" s="89"/>
      <c r="AQ142" s="89" t="b">
        <v>1</v>
      </c>
      <c r="AR142" s="89" t="b">
        <v>0</v>
      </c>
      <c r="AS142" s="89" t="b">
        <v>0</v>
      </c>
      <c r="AT142" s="89"/>
      <c r="AU142" s="89">
        <v>0</v>
      </c>
      <c r="AV142" s="99" t="str">
        <f>HYPERLINK("https://abs.twimg.com/images/themes/theme1/bg.png")</f>
        <v>https://abs.twimg.com/images/themes/theme1/bg.png</v>
      </c>
      <c r="AW142" s="89" t="b">
        <v>0</v>
      </c>
      <c r="AX142" s="89" t="s">
        <v>1811</v>
      </c>
      <c r="AY142" s="99" t="str">
        <f>HYPERLINK("https://twitter.com/jarijyrkankoski")</f>
        <v>https://twitter.com/jarijyrkankoski</v>
      </c>
      <c r="AZ142" s="89" t="s">
        <v>66</v>
      </c>
      <c r="BA142" s="89" t="str">
        <f>REPLACE(INDEX(GroupVertices[Group],MATCH(Vertices[[#This Row],[Vertex]],GroupVertices[Vertex],0)),1,1,"")</f>
        <v>3</v>
      </c>
      <c r="BB142" s="49">
        <v>0</v>
      </c>
      <c r="BC142" s="50">
        <v>0</v>
      </c>
      <c r="BD142" s="49">
        <v>0</v>
      </c>
      <c r="BE142" s="50">
        <v>0</v>
      </c>
      <c r="BF142" s="49">
        <v>0</v>
      </c>
      <c r="BG142" s="50">
        <v>0</v>
      </c>
      <c r="BH142" s="49">
        <v>7</v>
      </c>
      <c r="BI142" s="50">
        <v>100</v>
      </c>
      <c r="BJ142" s="49">
        <v>7</v>
      </c>
      <c r="BK142" s="49"/>
      <c r="BL142" s="49"/>
      <c r="BM142" s="49"/>
      <c r="BN142" s="49"/>
      <c r="BO142" s="49"/>
      <c r="BP142" s="49"/>
      <c r="BQ142" s="123" t="s">
        <v>4249</v>
      </c>
      <c r="BR142" s="123" t="s">
        <v>4249</v>
      </c>
      <c r="BS142" s="123" t="s">
        <v>4368</v>
      </c>
      <c r="BT142" s="123" t="s">
        <v>4368</v>
      </c>
      <c r="BU142" s="2"/>
      <c r="BV142" s="3"/>
      <c r="BW142" s="3"/>
      <c r="BX142" s="3"/>
      <c r="BY142" s="3"/>
    </row>
    <row r="143" spans="1:77" ht="15">
      <c r="A143" s="65" t="s">
        <v>316</v>
      </c>
      <c r="B143" s="66"/>
      <c r="C143" s="66" t="s">
        <v>46</v>
      </c>
      <c r="D143" s="67"/>
      <c r="E143" s="69"/>
      <c r="F143" s="111" t="str">
        <f>HYPERLINK("https://pbs.twimg.com/profile_images/1404315315367034884/cfVvVFTR_normal.jpg")</f>
        <v>https://pbs.twimg.com/profile_images/1404315315367034884/cfVvVFTR_normal.jpg</v>
      </c>
      <c r="G143" s="66"/>
      <c r="H143" s="70" t="s">
        <v>316</v>
      </c>
      <c r="I143" s="71" t="s">
        <v>4411</v>
      </c>
      <c r="J143" s="71" t="s">
        <v>73</v>
      </c>
      <c r="K143" s="70" t="s">
        <v>1951</v>
      </c>
      <c r="L143" s="74">
        <v>1</v>
      </c>
      <c r="M143" s="75">
        <v>5972.79931640625</v>
      </c>
      <c r="N143" s="75">
        <v>8260.8271484375</v>
      </c>
      <c r="O143" s="76"/>
      <c r="P143" s="77"/>
      <c r="Q143" s="77"/>
      <c r="R143" s="104"/>
      <c r="S143" s="49">
        <v>0</v>
      </c>
      <c r="T143" s="49">
        <v>3</v>
      </c>
      <c r="U143" s="50">
        <v>350</v>
      </c>
      <c r="V143" s="50">
        <v>0.202881</v>
      </c>
      <c r="W143" s="50">
        <v>0.004876</v>
      </c>
      <c r="X143" s="50">
        <v>0.004198</v>
      </c>
      <c r="Y143" s="50">
        <v>0.3333333333333333</v>
      </c>
      <c r="Z143" s="50">
        <v>0</v>
      </c>
      <c r="AA143" s="72">
        <v>143</v>
      </c>
      <c r="AB143" s="72"/>
      <c r="AC143" s="73"/>
      <c r="AD143" s="89" t="s">
        <v>1307</v>
      </c>
      <c r="AE143" s="96" t="s">
        <v>1506</v>
      </c>
      <c r="AF143" s="89">
        <v>5352</v>
      </c>
      <c r="AG143" s="89">
        <v>14623</v>
      </c>
      <c r="AH143" s="89">
        <v>26065</v>
      </c>
      <c r="AI143" s="89">
        <v>90311</v>
      </c>
      <c r="AJ143" s="89"/>
      <c r="AK143" s="89" t="s">
        <v>1694</v>
      </c>
      <c r="AL143" s="89" t="s">
        <v>1772</v>
      </c>
      <c r="AM143" s="99" t="str">
        <f>HYPERLINK("https://t.co/tY0srHFlRp")</f>
        <v>https://t.co/tY0srHFlRp</v>
      </c>
      <c r="AN143" s="89"/>
      <c r="AO143" s="92">
        <v>41413.64172453704</v>
      </c>
      <c r="AP143" s="99" t="str">
        <f>HYPERLINK("https://pbs.twimg.com/profile_banners/1441478059/1486928431")</f>
        <v>https://pbs.twimg.com/profile_banners/1441478059/1486928431</v>
      </c>
      <c r="AQ143" s="89" t="b">
        <v>1</v>
      </c>
      <c r="AR143" s="89" t="b">
        <v>0</v>
      </c>
      <c r="AS143" s="89" t="b">
        <v>0</v>
      </c>
      <c r="AT143" s="89"/>
      <c r="AU143" s="89">
        <v>58</v>
      </c>
      <c r="AV143" s="99" t="str">
        <f>HYPERLINK("https://abs.twimg.com/images/themes/theme1/bg.png")</f>
        <v>https://abs.twimg.com/images/themes/theme1/bg.png</v>
      </c>
      <c r="AW143" s="89" t="b">
        <v>1</v>
      </c>
      <c r="AX143" s="89" t="s">
        <v>1811</v>
      </c>
      <c r="AY143" s="99" t="str">
        <f>HYPERLINK("https://twitter.com/oula_silver")</f>
        <v>https://twitter.com/oula_silver</v>
      </c>
      <c r="AZ143" s="89" t="s">
        <v>66</v>
      </c>
      <c r="BA143" s="89" t="str">
        <f>REPLACE(INDEX(GroupVertices[Group],MATCH(Vertices[[#This Row],[Vertex]],GroupVertices[Vertex],0)),1,1,"")</f>
        <v>3</v>
      </c>
      <c r="BB143" s="49">
        <v>0</v>
      </c>
      <c r="BC143" s="50">
        <v>0</v>
      </c>
      <c r="BD143" s="49">
        <v>0</v>
      </c>
      <c r="BE143" s="50">
        <v>0</v>
      </c>
      <c r="BF143" s="49">
        <v>0</v>
      </c>
      <c r="BG143" s="50">
        <v>0</v>
      </c>
      <c r="BH143" s="49">
        <v>9</v>
      </c>
      <c r="BI143" s="50">
        <v>100</v>
      </c>
      <c r="BJ143" s="49">
        <v>9</v>
      </c>
      <c r="BK143" s="49"/>
      <c r="BL143" s="49"/>
      <c r="BM143" s="49"/>
      <c r="BN143" s="49"/>
      <c r="BO143" s="49"/>
      <c r="BP143" s="49"/>
      <c r="BQ143" s="123" t="s">
        <v>4250</v>
      </c>
      <c r="BR143" s="123" t="s">
        <v>4250</v>
      </c>
      <c r="BS143" s="123" t="s">
        <v>4369</v>
      </c>
      <c r="BT143" s="123" t="s">
        <v>4369</v>
      </c>
      <c r="BU143" s="2"/>
      <c r="BV143" s="3"/>
      <c r="BW143" s="3"/>
      <c r="BX143" s="3"/>
      <c r="BY143" s="3"/>
    </row>
    <row r="144" spans="1:77" ht="15">
      <c r="A144" s="65" t="s">
        <v>317</v>
      </c>
      <c r="B144" s="66"/>
      <c r="C144" s="66" t="s">
        <v>46</v>
      </c>
      <c r="D144" s="67"/>
      <c r="E144" s="69"/>
      <c r="F144" s="111" t="str">
        <f>HYPERLINK("https://pbs.twimg.com/profile_images/1482809613754023936/uTBYl7EP_normal.jpg")</f>
        <v>https://pbs.twimg.com/profile_images/1482809613754023936/uTBYl7EP_normal.jpg</v>
      </c>
      <c r="G144" s="66"/>
      <c r="H144" s="70" t="s">
        <v>317</v>
      </c>
      <c r="I144" s="71" t="s">
        <v>4406</v>
      </c>
      <c r="J144" s="71" t="s">
        <v>73</v>
      </c>
      <c r="K144" s="70" t="s">
        <v>1952</v>
      </c>
      <c r="L144" s="74">
        <v>1</v>
      </c>
      <c r="M144" s="75">
        <v>1000.6006469726562</v>
      </c>
      <c r="N144" s="75">
        <v>4504.40576171875</v>
      </c>
      <c r="O144" s="76"/>
      <c r="P144" s="77"/>
      <c r="Q144" s="77"/>
      <c r="R144" s="104"/>
      <c r="S144" s="49">
        <v>0</v>
      </c>
      <c r="T144" s="49">
        <v>1</v>
      </c>
      <c r="U144" s="50">
        <v>0</v>
      </c>
      <c r="V144" s="50">
        <v>0.221474</v>
      </c>
      <c r="W144" s="50">
        <v>0.084107</v>
      </c>
      <c r="X144" s="50">
        <v>0.003763</v>
      </c>
      <c r="Y144" s="50">
        <v>0</v>
      </c>
      <c r="Z144" s="50">
        <v>0</v>
      </c>
      <c r="AA144" s="72">
        <v>144</v>
      </c>
      <c r="AB144" s="72"/>
      <c r="AC144" s="73"/>
      <c r="AD144" s="89" t="s">
        <v>1308</v>
      </c>
      <c r="AE144" s="96" t="s">
        <v>1507</v>
      </c>
      <c r="AF144" s="89">
        <v>42</v>
      </c>
      <c r="AG144" s="89">
        <v>72</v>
      </c>
      <c r="AH144" s="89">
        <v>1961</v>
      </c>
      <c r="AI144" s="89">
        <v>3140</v>
      </c>
      <c r="AJ144" s="89"/>
      <c r="AK144" s="89"/>
      <c r="AL144" s="89"/>
      <c r="AM144" s="89"/>
      <c r="AN144" s="89"/>
      <c r="AO144" s="92">
        <v>44494.80689814815</v>
      </c>
      <c r="AP144" s="89"/>
      <c r="AQ144" s="89" t="b">
        <v>1</v>
      </c>
      <c r="AR144" s="89" t="b">
        <v>0</v>
      </c>
      <c r="AS144" s="89" t="b">
        <v>0</v>
      </c>
      <c r="AT144" s="89"/>
      <c r="AU144" s="89">
        <v>1</v>
      </c>
      <c r="AV144" s="89"/>
      <c r="AW144" s="89" t="b">
        <v>0</v>
      </c>
      <c r="AX144" s="89" t="s">
        <v>1811</v>
      </c>
      <c r="AY144" s="99" t="str">
        <f>HYPERLINK("https://twitter.com/katriomamieli")</f>
        <v>https://twitter.com/katriomamieli</v>
      </c>
      <c r="AZ144" s="89" t="s">
        <v>66</v>
      </c>
      <c r="BA144" s="89" t="str">
        <f>REPLACE(INDEX(GroupVertices[Group],MATCH(Vertices[[#This Row],[Vertex]],GroupVertices[Vertex],0)),1,1,"")</f>
        <v>1</v>
      </c>
      <c r="BB144" s="49">
        <v>0</v>
      </c>
      <c r="BC144" s="50">
        <v>0</v>
      </c>
      <c r="BD144" s="49">
        <v>0</v>
      </c>
      <c r="BE144" s="50">
        <v>0</v>
      </c>
      <c r="BF144" s="49">
        <v>0</v>
      </c>
      <c r="BG144" s="50">
        <v>0</v>
      </c>
      <c r="BH144" s="49">
        <v>4</v>
      </c>
      <c r="BI144" s="50">
        <v>100</v>
      </c>
      <c r="BJ144" s="49">
        <v>4</v>
      </c>
      <c r="BK144" s="49"/>
      <c r="BL144" s="49"/>
      <c r="BM144" s="49"/>
      <c r="BN144" s="49"/>
      <c r="BO144" s="49"/>
      <c r="BP144" s="49"/>
      <c r="BQ144" s="123" t="s">
        <v>4240</v>
      </c>
      <c r="BR144" s="123" t="s">
        <v>4240</v>
      </c>
      <c r="BS144" s="123" t="s">
        <v>4360</v>
      </c>
      <c r="BT144" s="123" t="s">
        <v>4360</v>
      </c>
      <c r="BU144" s="2"/>
      <c r="BV144" s="3"/>
      <c r="BW144" s="3"/>
      <c r="BX144" s="3"/>
      <c r="BY144" s="3"/>
    </row>
    <row r="145" spans="1:77" ht="15">
      <c r="A145" s="65" t="s">
        <v>318</v>
      </c>
      <c r="B145" s="66"/>
      <c r="C145" s="66" t="s">
        <v>46</v>
      </c>
      <c r="D145" s="67"/>
      <c r="E145" s="69"/>
      <c r="F145" s="111" t="str">
        <f>HYPERLINK("https://pbs.twimg.com/profile_images/957702518930362370/hpfBosNO_normal.jpg")</f>
        <v>https://pbs.twimg.com/profile_images/957702518930362370/hpfBosNO_normal.jpg</v>
      </c>
      <c r="G145" s="66"/>
      <c r="H145" s="70" t="s">
        <v>318</v>
      </c>
      <c r="I145" s="71" t="s">
        <v>4406</v>
      </c>
      <c r="J145" s="71" t="s">
        <v>73</v>
      </c>
      <c r="K145" s="70" t="s">
        <v>1953</v>
      </c>
      <c r="L145" s="74">
        <v>1</v>
      </c>
      <c r="M145" s="75">
        <v>571.820068359375</v>
      </c>
      <c r="N145" s="75">
        <v>3617.087646484375</v>
      </c>
      <c r="O145" s="76"/>
      <c r="P145" s="77"/>
      <c r="Q145" s="77"/>
      <c r="R145" s="104"/>
      <c r="S145" s="49">
        <v>0</v>
      </c>
      <c r="T145" s="49">
        <v>1</v>
      </c>
      <c r="U145" s="50">
        <v>0</v>
      </c>
      <c r="V145" s="50">
        <v>0.221474</v>
      </c>
      <c r="W145" s="50">
        <v>0.084107</v>
      </c>
      <c r="X145" s="50">
        <v>0.003763</v>
      </c>
      <c r="Y145" s="50">
        <v>0</v>
      </c>
      <c r="Z145" s="50">
        <v>0</v>
      </c>
      <c r="AA145" s="72">
        <v>145</v>
      </c>
      <c r="AB145" s="72"/>
      <c r="AC145" s="73"/>
      <c r="AD145" s="89" t="s">
        <v>1309</v>
      </c>
      <c r="AE145" s="96" t="s">
        <v>1508</v>
      </c>
      <c r="AF145" s="89">
        <v>450</v>
      </c>
      <c r="AG145" s="89">
        <v>485</v>
      </c>
      <c r="AH145" s="89">
        <v>20506</v>
      </c>
      <c r="AI145" s="89">
        <v>37053</v>
      </c>
      <c r="AJ145" s="89"/>
      <c r="AK145" s="89" t="s">
        <v>1695</v>
      </c>
      <c r="AL145" s="89" t="s">
        <v>1140</v>
      </c>
      <c r="AM145" s="89"/>
      <c r="AN145" s="89"/>
      <c r="AO145" s="92">
        <v>43128.73270833334</v>
      </c>
      <c r="AP145" s="99" t="str">
        <f>HYPERLINK("https://pbs.twimg.com/profile_banners/957668367627948033/1639777003")</f>
        <v>https://pbs.twimg.com/profile_banners/957668367627948033/1639777003</v>
      </c>
      <c r="AQ145" s="89" t="b">
        <v>0</v>
      </c>
      <c r="AR145" s="89" t="b">
        <v>0</v>
      </c>
      <c r="AS145" s="89" t="b">
        <v>0</v>
      </c>
      <c r="AT145" s="89"/>
      <c r="AU145" s="89">
        <v>1</v>
      </c>
      <c r="AV145" s="99" t="str">
        <f>HYPERLINK("https://abs.twimg.com/images/themes/theme1/bg.png")</f>
        <v>https://abs.twimg.com/images/themes/theme1/bg.png</v>
      </c>
      <c r="AW145" s="89" t="b">
        <v>0</v>
      </c>
      <c r="AX145" s="89" t="s">
        <v>1811</v>
      </c>
      <c r="AY145" s="99" t="str">
        <f>HYPERLINK("https://twitter.com/salineero")</f>
        <v>https://twitter.com/salineero</v>
      </c>
      <c r="AZ145" s="89" t="s">
        <v>66</v>
      </c>
      <c r="BA145" s="89" t="str">
        <f>REPLACE(INDEX(GroupVertices[Group],MATCH(Vertices[[#This Row],[Vertex]],GroupVertices[Vertex],0)),1,1,"")</f>
        <v>1</v>
      </c>
      <c r="BB145" s="49">
        <v>0</v>
      </c>
      <c r="BC145" s="50">
        <v>0</v>
      </c>
      <c r="BD145" s="49">
        <v>0</v>
      </c>
      <c r="BE145" s="50">
        <v>0</v>
      </c>
      <c r="BF145" s="49">
        <v>0</v>
      </c>
      <c r="BG145" s="50">
        <v>0</v>
      </c>
      <c r="BH145" s="49">
        <v>16</v>
      </c>
      <c r="BI145" s="50">
        <v>100</v>
      </c>
      <c r="BJ145" s="49">
        <v>16</v>
      </c>
      <c r="BK145" s="49"/>
      <c r="BL145" s="49"/>
      <c r="BM145" s="49"/>
      <c r="BN145" s="49"/>
      <c r="BO145" s="49"/>
      <c r="BP145" s="49"/>
      <c r="BQ145" s="123" t="s">
        <v>4247</v>
      </c>
      <c r="BR145" s="123" t="s">
        <v>4247</v>
      </c>
      <c r="BS145" s="123" t="s">
        <v>4336</v>
      </c>
      <c r="BT145" s="123" t="s">
        <v>4336</v>
      </c>
      <c r="BU145" s="2"/>
      <c r="BV145" s="3"/>
      <c r="BW145" s="3"/>
      <c r="BX145" s="3"/>
      <c r="BY145" s="3"/>
    </row>
    <row r="146" spans="1:77" ht="15">
      <c r="A146" s="65" t="s">
        <v>319</v>
      </c>
      <c r="B146" s="66"/>
      <c r="C146" s="66" t="s">
        <v>46</v>
      </c>
      <c r="D146" s="67"/>
      <c r="E146" s="69"/>
      <c r="F146" s="111" t="str">
        <f>HYPERLINK("https://pbs.twimg.com/profile_images/839126120146567168/q0HPjoa9_normal.jpg")</f>
        <v>https://pbs.twimg.com/profile_images/839126120146567168/q0HPjoa9_normal.jpg</v>
      </c>
      <c r="G146" s="66"/>
      <c r="H146" s="70" t="s">
        <v>319</v>
      </c>
      <c r="I146" s="71" t="s">
        <v>4406</v>
      </c>
      <c r="J146" s="71" t="s">
        <v>73</v>
      </c>
      <c r="K146" s="70" t="s">
        <v>1954</v>
      </c>
      <c r="L146" s="74">
        <v>1</v>
      </c>
      <c r="M146" s="75">
        <v>3034.949462890625</v>
      </c>
      <c r="N146" s="75">
        <v>1990.9749755859375</v>
      </c>
      <c r="O146" s="76"/>
      <c r="P146" s="77"/>
      <c r="Q146" s="77"/>
      <c r="R146" s="104"/>
      <c r="S146" s="49">
        <v>0</v>
      </c>
      <c r="T146" s="49">
        <v>1</v>
      </c>
      <c r="U146" s="50">
        <v>0</v>
      </c>
      <c r="V146" s="50">
        <v>0.221474</v>
      </c>
      <c r="W146" s="50">
        <v>0.084107</v>
      </c>
      <c r="X146" s="50">
        <v>0.003763</v>
      </c>
      <c r="Y146" s="50">
        <v>0</v>
      </c>
      <c r="Z146" s="50">
        <v>0</v>
      </c>
      <c r="AA146" s="72">
        <v>146</v>
      </c>
      <c r="AB146" s="72"/>
      <c r="AC146" s="73"/>
      <c r="AD146" s="89" t="s">
        <v>1310</v>
      </c>
      <c r="AE146" s="96" t="s">
        <v>1509</v>
      </c>
      <c r="AF146" s="89">
        <v>5000</v>
      </c>
      <c r="AG146" s="89">
        <v>2656</v>
      </c>
      <c r="AH146" s="89">
        <v>54175</v>
      </c>
      <c r="AI146" s="89">
        <v>11030</v>
      </c>
      <c r="AJ146" s="89"/>
      <c r="AK146" s="89" t="s">
        <v>1696</v>
      </c>
      <c r="AL146" s="89" t="s">
        <v>1794</v>
      </c>
      <c r="AM146" s="89"/>
      <c r="AN146" s="89"/>
      <c r="AO146" s="92">
        <v>41178.814930555556</v>
      </c>
      <c r="AP146" s="99" t="str">
        <f>HYPERLINK("https://pbs.twimg.com/profile_banners/847990946/1377552494")</f>
        <v>https://pbs.twimg.com/profile_banners/847990946/1377552494</v>
      </c>
      <c r="AQ146" s="89" t="b">
        <v>1</v>
      </c>
      <c r="AR146" s="89" t="b">
        <v>0</v>
      </c>
      <c r="AS146" s="89" t="b">
        <v>1</v>
      </c>
      <c r="AT146" s="89"/>
      <c r="AU146" s="89">
        <v>62</v>
      </c>
      <c r="AV146" s="99" t="str">
        <f>HYPERLINK("https://abs.twimg.com/images/themes/theme1/bg.png")</f>
        <v>https://abs.twimg.com/images/themes/theme1/bg.png</v>
      </c>
      <c r="AW146" s="89" t="b">
        <v>0</v>
      </c>
      <c r="AX146" s="89" t="s">
        <v>1811</v>
      </c>
      <c r="AY146" s="99" t="str">
        <f>HYPERLINK("https://twitter.com/akiharkonen")</f>
        <v>https://twitter.com/akiharkonen</v>
      </c>
      <c r="AZ146" s="89" t="s">
        <v>66</v>
      </c>
      <c r="BA146" s="89" t="str">
        <f>REPLACE(INDEX(GroupVertices[Group],MATCH(Vertices[[#This Row],[Vertex]],GroupVertices[Vertex],0)),1,1,"")</f>
        <v>1</v>
      </c>
      <c r="BB146" s="49">
        <v>0</v>
      </c>
      <c r="BC146" s="50">
        <v>0</v>
      </c>
      <c r="BD146" s="49">
        <v>0</v>
      </c>
      <c r="BE146" s="50">
        <v>0</v>
      </c>
      <c r="BF146" s="49">
        <v>0</v>
      </c>
      <c r="BG146" s="50">
        <v>0</v>
      </c>
      <c r="BH146" s="49">
        <v>4</v>
      </c>
      <c r="BI146" s="50">
        <v>100</v>
      </c>
      <c r="BJ146" s="49">
        <v>4</v>
      </c>
      <c r="BK146" s="49"/>
      <c r="BL146" s="49"/>
      <c r="BM146" s="49"/>
      <c r="BN146" s="49"/>
      <c r="BO146" s="49"/>
      <c r="BP146" s="49"/>
      <c r="BQ146" s="123" t="s">
        <v>4240</v>
      </c>
      <c r="BR146" s="123" t="s">
        <v>4240</v>
      </c>
      <c r="BS146" s="123" t="s">
        <v>4360</v>
      </c>
      <c r="BT146" s="123" t="s">
        <v>4360</v>
      </c>
      <c r="BU146" s="2"/>
      <c r="BV146" s="3"/>
      <c r="BW146" s="3"/>
      <c r="BX146" s="3"/>
      <c r="BY146" s="3"/>
    </row>
    <row r="147" spans="1:77" ht="15">
      <c r="A147" s="65" t="s">
        <v>320</v>
      </c>
      <c r="B147" s="66"/>
      <c r="C147" s="66" t="s">
        <v>46</v>
      </c>
      <c r="D147" s="67"/>
      <c r="E147" s="69"/>
      <c r="F147" s="111" t="str">
        <f>HYPERLINK("https://pbs.twimg.com/profile_images/1476272939385434114/Gj6QJsk6_normal.jpg")</f>
        <v>https://pbs.twimg.com/profile_images/1476272939385434114/Gj6QJsk6_normal.jpg</v>
      </c>
      <c r="G147" s="66"/>
      <c r="H147" s="70" t="s">
        <v>320</v>
      </c>
      <c r="I147" s="71" t="s">
        <v>4406</v>
      </c>
      <c r="J147" s="71" t="s">
        <v>73</v>
      </c>
      <c r="K147" s="70" t="s">
        <v>1955</v>
      </c>
      <c r="L147" s="74">
        <v>1</v>
      </c>
      <c r="M147" s="75">
        <v>886.5247802734375</v>
      </c>
      <c r="N147" s="75">
        <v>1521.8594970703125</v>
      </c>
      <c r="O147" s="76"/>
      <c r="P147" s="77"/>
      <c r="Q147" s="77"/>
      <c r="R147" s="104"/>
      <c r="S147" s="49">
        <v>0</v>
      </c>
      <c r="T147" s="49">
        <v>1</v>
      </c>
      <c r="U147" s="50">
        <v>0</v>
      </c>
      <c r="V147" s="50">
        <v>0.221474</v>
      </c>
      <c r="W147" s="50">
        <v>0.084107</v>
      </c>
      <c r="X147" s="50">
        <v>0.003763</v>
      </c>
      <c r="Y147" s="50">
        <v>0</v>
      </c>
      <c r="Z147" s="50">
        <v>0</v>
      </c>
      <c r="AA147" s="72">
        <v>147</v>
      </c>
      <c r="AB147" s="72"/>
      <c r="AC147" s="73"/>
      <c r="AD147" s="89" t="s">
        <v>1311</v>
      </c>
      <c r="AE147" s="96" t="s">
        <v>1510</v>
      </c>
      <c r="AF147" s="89">
        <v>63</v>
      </c>
      <c r="AG147" s="89">
        <v>21</v>
      </c>
      <c r="AH147" s="89">
        <v>464</v>
      </c>
      <c r="AI147" s="89">
        <v>3274</v>
      </c>
      <c r="AJ147" s="89"/>
      <c r="AK147" s="89" t="s">
        <v>1697</v>
      </c>
      <c r="AL147" s="89"/>
      <c r="AM147" s="89"/>
      <c r="AN147" s="89"/>
      <c r="AO147" s="92">
        <v>44559.463125</v>
      </c>
      <c r="AP147" s="89"/>
      <c r="AQ147" s="89" t="b">
        <v>1</v>
      </c>
      <c r="AR147" s="89" t="b">
        <v>0</v>
      </c>
      <c r="AS147" s="89" t="b">
        <v>0</v>
      </c>
      <c r="AT147" s="89"/>
      <c r="AU147" s="89">
        <v>0</v>
      </c>
      <c r="AV147" s="89"/>
      <c r="AW147" s="89" t="b">
        <v>0</v>
      </c>
      <c r="AX147" s="89" t="s">
        <v>1811</v>
      </c>
      <c r="AY147" s="99" t="str">
        <f>HYPERLINK("https://twitter.com/sandinakk")</f>
        <v>https://twitter.com/sandinakk</v>
      </c>
      <c r="AZ147" s="89" t="s">
        <v>66</v>
      </c>
      <c r="BA147" s="89" t="str">
        <f>REPLACE(INDEX(GroupVertices[Group],MATCH(Vertices[[#This Row],[Vertex]],GroupVertices[Vertex],0)),1,1,"")</f>
        <v>1</v>
      </c>
      <c r="BB147" s="49">
        <v>0</v>
      </c>
      <c r="BC147" s="50">
        <v>0</v>
      </c>
      <c r="BD147" s="49">
        <v>0</v>
      </c>
      <c r="BE147" s="50">
        <v>0</v>
      </c>
      <c r="BF147" s="49">
        <v>0</v>
      </c>
      <c r="BG147" s="50">
        <v>0</v>
      </c>
      <c r="BH147" s="49">
        <v>16</v>
      </c>
      <c r="BI147" s="50">
        <v>100</v>
      </c>
      <c r="BJ147" s="49">
        <v>16</v>
      </c>
      <c r="BK147" s="49"/>
      <c r="BL147" s="49"/>
      <c r="BM147" s="49"/>
      <c r="BN147" s="49"/>
      <c r="BO147" s="49"/>
      <c r="BP147" s="49"/>
      <c r="BQ147" s="123" t="s">
        <v>4247</v>
      </c>
      <c r="BR147" s="123" t="s">
        <v>4247</v>
      </c>
      <c r="BS147" s="123" t="s">
        <v>4336</v>
      </c>
      <c r="BT147" s="123" t="s">
        <v>4336</v>
      </c>
      <c r="BU147" s="2"/>
      <c r="BV147" s="3"/>
      <c r="BW147" s="3"/>
      <c r="BX147" s="3"/>
      <c r="BY147" s="3"/>
    </row>
    <row r="148" spans="1:77" ht="15">
      <c r="A148" s="65" t="s">
        <v>321</v>
      </c>
      <c r="B148" s="66"/>
      <c r="C148" s="66" t="s">
        <v>46</v>
      </c>
      <c r="D148" s="67"/>
      <c r="E148" s="69"/>
      <c r="F148" s="111" t="str">
        <f>HYPERLINK("https://pbs.twimg.com/profile_images/1229901121092825089/QEFSMTWz_normal.jpg")</f>
        <v>https://pbs.twimg.com/profile_images/1229901121092825089/QEFSMTWz_normal.jpg</v>
      </c>
      <c r="G148" s="66"/>
      <c r="H148" s="70" t="s">
        <v>321</v>
      </c>
      <c r="I148" s="71" t="s">
        <v>4406</v>
      </c>
      <c r="J148" s="71" t="s">
        <v>73</v>
      </c>
      <c r="K148" s="70" t="s">
        <v>1956</v>
      </c>
      <c r="L148" s="74">
        <v>1</v>
      </c>
      <c r="M148" s="75">
        <v>3104.12060546875</v>
      </c>
      <c r="N148" s="75">
        <v>3146.217041015625</v>
      </c>
      <c r="O148" s="76"/>
      <c r="P148" s="77"/>
      <c r="Q148" s="77"/>
      <c r="R148" s="104"/>
      <c r="S148" s="49">
        <v>0</v>
      </c>
      <c r="T148" s="49">
        <v>1</v>
      </c>
      <c r="U148" s="50">
        <v>0</v>
      </c>
      <c r="V148" s="50">
        <v>0.221474</v>
      </c>
      <c r="W148" s="50">
        <v>0.084107</v>
      </c>
      <c r="X148" s="50">
        <v>0.003763</v>
      </c>
      <c r="Y148" s="50">
        <v>0</v>
      </c>
      <c r="Z148" s="50">
        <v>0</v>
      </c>
      <c r="AA148" s="72">
        <v>148</v>
      </c>
      <c r="AB148" s="72"/>
      <c r="AC148" s="73"/>
      <c r="AD148" s="89" t="s">
        <v>1312</v>
      </c>
      <c r="AE148" s="96" t="s">
        <v>1511</v>
      </c>
      <c r="AF148" s="89">
        <v>187</v>
      </c>
      <c r="AG148" s="89">
        <v>1023</v>
      </c>
      <c r="AH148" s="89">
        <v>7184</v>
      </c>
      <c r="AI148" s="89">
        <v>23840</v>
      </c>
      <c r="AJ148" s="89"/>
      <c r="AK148" s="89"/>
      <c r="AL148" s="89"/>
      <c r="AM148" s="89"/>
      <c r="AN148" s="89"/>
      <c r="AO148" s="92">
        <v>43477.78380787037</v>
      </c>
      <c r="AP148" s="89"/>
      <c r="AQ148" s="89" t="b">
        <v>1</v>
      </c>
      <c r="AR148" s="89" t="b">
        <v>0</v>
      </c>
      <c r="AS148" s="89" t="b">
        <v>0</v>
      </c>
      <c r="AT148" s="89"/>
      <c r="AU148" s="89">
        <v>4</v>
      </c>
      <c r="AV148" s="89"/>
      <c r="AW148" s="89" t="b">
        <v>0</v>
      </c>
      <c r="AX148" s="89" t="s">
        <v>1811</v>
      </c>
      <c r="AY148" s="99" t="str">
        <f>HYPERLINK("https://twitter.com/perttipiirto")</f>
        <v>https://twitter.com/perttipiirto</v>
      </c>
      <c r="AZ148" s="89" t="s">
        <v>66</v>
      </c>
      <c r="BA148" s="89"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c r="BL148" s="49"/>
      <c r="BM148" s="49"/>
      <c r="BN148" s="49"/>
      <c r="BO148" s="49"/>
      <c r="BP148" s="49"/>
      <c r="BQ148" s="123" t="s">
        <v>4240</v>
      </c>
      <c r="BR148" s="123" t="s">
        <v>4240</v>
      </c>
      <c r="BS148" s="123" t="s">
        <v>4360</v>
      </c>
      <c r="BT148" s="123" t="s">
        <v>4360</v>
      </c>
      <c r="BU148" s="2"/>
      <c r="BV148" s="3"/>
      <c r="BW148" s="3"/>
      <c r="BX148" s="3"/>
      <c r="BY148" s="3"/>
    </row>
    <row r="149" spans="1:77" ht="15">
      <c r="A149" s="65" t="s">
        <v>322</v>
      </c>
      <c r="B149" s="66"/>
      <c r="C149" s="66" t="s">
        <v>46</v>
      </c>
      <c r="D149" s="67"/>
      <c r="E149" s="69"/>
      <c r="F149" s="111" t="str">
        <f>HYPERLINK("https://pbs.twimg.com/profile_images/1449036730150100994/u_KEukOG_normal.jpg")</f>
        <v>https://pbs.twimg.com/profile_images/1449036730150100994/u_KEukOG_normal.jpg</v>
      </c>
      <c r="G149" s="66"/>
      <c r="H149" s="70" t="s">
        <v>322</v>
      </c>
      <c r="I149" s="71" t="s">
        <v>4406</v>
      </c>
      <c r="J149" s="71" t="s">
        <v>73</v>
      </c>
      <c r="K149" s="70" t="s">
        <v>1957</v>
      </c>
      <c r="L149" s="74">
        <v>1</v>
      </c>
      <c r="M149" s="75">
        <v>631.153564453125</v>
      </c>
      <c r="N149" s="75">
        <v>944.9484252929688</v>
      </c>
      <c r="O149" s="76"/>
      <c r="P149" s="77"/>
      <c r="Q149" s="77"/>
      <c r="R149" s="104"/>
      <c r="S149" s="49">
        <v>0</v>
      </c>
      <c r="T149" s="49">
        <v>1</v>
      </c>
      <c r="U149" s="50">
        <v>0</v>
      </c>
      <c r="V149" s="50">
        <v>0.221474</v>
      </c>
      <c r="W149" s="50">
        <v>0.084107</v>
      </c>
      <c r="X149" s="50">
        <v>0.003763</v>
      </c>
      <c r="Y149" s="50">
        <v>0</v>
      </c>
      <c r="Z149" s="50">
        <v>0</v>
      </c>
      <c r="AA149" s="72">
        <v>149</v>
      </c>
      <c r="AB149" s="72"/>
      <c r="AC149" s="73"/>
      <c r="AD149" s="89" t="s">
        <v>1313</v>
      </c>
      <c r="AE149" s="96" t="s">
        <v>1512</v>
      </c>
      <c r="AF149" s="89">
        <v>411</v>
      </c>
      <c r="AG149" s="89">
        <v>250</v>
      </c>
      <c r="AH149" s="89">
        <v>8730</v>
      </c>
      <c r="AI149" s="89">
        <v>1675</v>
      </c>
      <c r="AJ149" s="89"/>
      <c r="AK149" s="89" t="s">
        <v>1698</v>
      </c>
      <c r="AL149" s="89"/>
      <c r="AM149" s="89"/>
      <c r="AN149" s="89"/>
      <c r="AO149" s="92">
        <v>44034.69162037037</v>
      </c>
      <c r="AP149" s="99" t="str">
        <f>HYPERLINK("https://pbs.twimg.com/profile_banners/1285976389607358466/1595437098")</f>
        <v>https://pbs.twimg.com/profile_banners/1285976389607358466/1595437098</v>
      </c>
      <c r="AQ149" s="89" t="b">
        <v>1</v>
      </c>
      <c r="AR149" s="89" t="b">
        <v>0</v>
      </c>
      <c r="AS149" s="89" t="b">
        <v>0</v>
      </c>
      <c r="AT149" s="89"/>
      <c r="AU149" s="89">
        <v>0</v>
      </c>
      <c r="AV149" s="89"/>
      <c r="AW149" s="89" t="b">
        <v>0</v>
      </c>
      <c r="AX149" s="89" t="s">
        <v>1811</v>
      </c>
      <c r="AY149" s="99" t="str">
        <f>HYPERLINK("https://twitter.com/mbacardinen")</f>
        <v>https://twitter.com/mbacardinen</v>
      </c>
      <c r="AZ149" s="89" t="s">
        <v>66</v>
      </c>
      <c r="BA149" s="89" t="str">
        <f>REPLACE(INDEX(GroupVertices[Group],MATCH(Vertices[[#This Row],[Vertex]],GroupVertices[Vertex],0)),1,1,"")</f>
        <v>1</v>
      </c>
      <c r="BB149" s="49">
        <v>0</v>
      </c>
      <c r="BC149" s="50">
        <v>0</v>
      </c>
      <c r="BD149" s="49">
        <v>0</v>
      </c>
      <c r="BE149" s="50">
        <v>0</v>
      </c>
      <c r="BF149" s="49">
        <v>0</v>
      </c>
      <c r="BG149" s="50">
        <v>0</v>
      </c>
      <c r="BH149" s="49">
        <v>4</v>
      </c>
      <c r="BI149" s="50">
        <v>100</v>
      </c>
      <c r="BJ149" s="49">
        <v>4</v>
      </c>
      <c r="BK149" s="49"/>
      <c r="BL149" s="49"/>
      <c r="BM149" s="49"/>
      <c r="BN149" s="49"/>
      <c r="BO149" s="49"/>
      <c r="BP149" s="49"/>
      <c r="BQ149" s="123" t="s">
        <v>4240</v>
      </c>
      <c r="BR149" s="123" t="s">
        <v>4240</v>
      </c>
      <c r="BS149" s="123" t="s">
        <v>4360</v>
      </c>
      <c r="BT149" s="123" t="s">
        <v>4360</v>
      </c>
      <c r="BU149" s="2"/>
      <c r="BV149" s="3"/>
      <c r="BW149" s="3"/>
      <c r="BX149" s="3"/>
      <c r="BY149" s="3"/>
    </row>
    <row r="150" spans="1:77" ht="15">
      <c r="A150" s="65" t="s">
        <v>323</v>
      </c>
      <c r="B150" s="66"/>
      <c r="C150" s="66" t="s">
        <v>46</v>
      </c>
      <c r="D150" s="67"/>
      <c r="E150" s="69"/>
      <c r="F150" s="111" t="str">
        <f>HYPERLINK("https://pbs.twimg.com/profile_images/1478452368127799301/FBH0yNwP_normal.jpg")</f>
        <v>https://pbs.twimg.com/profile_images/1478452368127799301/FBH0yNwP_normal.jpg</v>
      </c>
      <c r="G150" s="66"/>
      <c r="H150" s="70" t="s">
        <v>323</v>
      </c>
      <c r="I150" s="71" t="s">
        <v>4415</v>
      </c>
      <c r="J150" s="71" t="s">
        <v>73</v>
      </c>
      <c r="K150" s="70" t="s">
        <v>1958</v>
      </c>
      <c r="L150" s="74">
        <v>1</v>
      </c>
      <c r="M150" s="75">
        <v>7568.85498046875</v>
      </c>
      <c r="N150" s="75">
        <v>9119.22265625</v>
      </c>
      <c r="O150" s="76"/>
      <c r="P150" s="77"/>
      <c r="Q150" s="77"/>
      <c r="R150" s="104"/>
      <c r="S150" s="49">
        <v>0</v>
      </c>
      <c r="T150" s="49">
        <v>1</v>
      </c>
      <c r="U150" s="50">
        <v>0</v>
      </c>
      <c r="V150" s="50">
        <v>0.15672</v>
      </c>
      <c r="W150" s="50">
        <v>0.005332</v>
      </c>
      <c r="X150" s="50">
        <v>0.003795</v>
      </c>
      <c r="Y150" s="50">
        <v>0</v>
      </c>
      <c r="Z150" s="50">
        <v>0</v>
      </c>
      <c r="AA150" s="72">
        <v>150</v>
      </c>
      <c r="AB150" s="72"/>
      <c r="AC150" s="73"/>
      <c r="AD150" s="89" t="s">
        <v>1314</v>
      </c>
      <c r="AE150" s="96" t="s">
        <v>1513</v>
      </c>
      <c r="AF150" s="89">
        <v>455</v>
      </c>
      <c r="AG150" s="89">
        <v>373</v>
      </c>
      <c r="AH150" s="89">
        <v>3589</v>
      </c>
      <c r="AI150" s="89">
        <v>5760</v>
      </c>
      <c r="AJ150" s="89"/>
      <c r="AK150" s="89" t="s">
        <v>1699</v>
      </c>
      <c r="AL150" s="89"/>
      <c r="AM150" s="89"/>
      <c r="AN150" s="89"/>
      <c r="AO150" s="92">
        <v>44440.31759259259</v>
      </c>
      <c r="AP150" s="99" t="str">
        <f>HYPERLINK("https://pbs.twimg.com/profile_banners/1432970722331222017/1641742957")</f>
        <v>https://pbs.twimg.com/profile_banners/1432970722331222017/1641742957</v>
      </c>
      <c r="AQ150" s="89" t="b">
        <v>1</v>
      </c>
      <c r="AR150" s="89" t="b">
        <v>0</v>
      </c>
      <c r="AS150" s="89" t="b">
        <v>0</v>
      </c>
      <c r="AT150" s="89"/>
      <c r="AU150" s="89">
        <v>0</v>
      </c>
      <c r="AV150" s="89"/>
      <c r="AW150" s="89" t="b">
        <v>0</v>
      </c>
      <c r="AX150" s="89" t="s">
        <v>1811</v>
      </c>
      <c r="AY150" s="99" t="str">
        <f>HYPERLINK("https://twitter.com/vyyhdinpurkaja")</f>
        <v>https://twitter.com/vyyhdinpurkaja</v>
      </c>
      <c r="AZ150" s="89" t="s">
        <v>66</v>
      </c>
      <c r="BA150" s="89" t="str">
        <f>REPLACE(INDEX(GroupVertices[Group],MATCH(Vertices[[#This Row],[Vertex]],GroupVertices[Vertex],0)),1,1,"")</f>
        <v>5</v>
      </c>
      <c r="BB150" s="49">
        <v>0</v>
      </c>
      <c r="BC150" s="50">
        <v>0</v>
      </c>
      <c r="BD150" s="49">
        <v>0</v>
      </c>
      <c r="BE150" s="50">
        <v>0</v>
      </c>
      <c r="BF150" s="49">
        <v>0</v>
      </c>
      <c r="BG150" s="50">
        <v>0</v>
      </c>
      <c r="BH150" s="49">
        <v>13</v>
      </c>
      <c r="BI150" s="50">
        <v>100</v>
      </c>
      <c r="BJ150" s="49">
        <v>13</v>
      </c>
      <c r="BK150" s="49" t="s">
        <v>3913</v>
      </c>
      <c r="BL150" s="49" t="s">
        <v>3913</v>
      </c>
      <c r="BM150" s="49" t="s">
        <v>554</v>
      </c>
      <c r="BN150" s="49" t="s">
        <v>554</v>
      </c>
      <c r="BO150" s="49"/>
      <c r="BP150" s="49"/>
      <c r="BQ150" s="123" t="s">
        <v>4245</v>
      </c>
      <c r="BR150" s="123" t="s">
        <v>4245</v>
      </c>
      <c r="BS150" s="123" t="s">
        <v>4365</v>
      </c>
      <c r="BT150" s="123" t="s">
        <v>4365</v>
      </c>
      <c r="BU150" s="2"/>
      <c r="BV150" s="3"/>
      <c r="BW150" s="3"/>
      <c r="BX150" s="3"/>
      <c r="BY150" s="3"/>
    </row>
    <row r="151" spans="1:77" ht="15">
      <c r="A151" s="65" t="s">
        <v>400</v>
      </c>
      <c r="B151" s="66"/>
      <c r="C151" s="66" t="s">
        <v>64</v>
      </c>
      <c r="D151" s="67">
        <v>1000</v>
      </c>
      <c r="E151" s="69"/>
      <c r="F151" s="111" t="str">
        <f>HYPERLINK("https://pbs.twimg.com/profile_images/1404425276373843975/S6ybxlOE_normal.jpg")</f>
        <v>https://pbs.twimg.com/profile_images/1404425276373843975/S6ybxlOE_normal.jpg</v>
      </c>
      <c r="G151" s="66"/>
      <c r="H151" s="70" t="s">
        <v>400</v>
      </c>
      <c r="I151" s="71" t="s">
        <v>4415</v>
      </c>
      <c r="J151" s="71" t="s">
        <v>73</v>
      </c>
      <c r="K151" s="70" t="s">
        <v>1959</v>
      </c>
      <c r="L151" s="74">
        <v>1800.64</v>
      </c>
      <c r="M151" s="75">
        <v>7133.93505859375</v>
      </c>
      <c r="N151" s="75">
        <v>8266.2607421875</v>
      </c>
      <c r="O151" s="76"/>
      <c r="P151" s="77"/>
      <c r="Q151" s="77"/>
      <c r="R151" s="104"/>
      <c r="S151" s="49">
        <v>9</v>
      </c>
      <c r="T151" s="49">
        <v>1</v>
      </c>
      <c r="U151" s="50">
        <v>1513.045599</v>
      </c>
      <c r="V151" s="50">
        <v>0.196234</v>
      </c>
      <c r="W151" s="50">
        <v>0.041667</v>
      </c>
      <c r="X151" s="50">
        <v>0.006893</v>
      </c>
      <c r="Y151" s="50">
        <v>0.017857142857142856</v>
      </c>
      <c r="Z151" s="50">
        <v>0</v>
      </c>
      <c r="AA151" s="72">
        <v>151</v>
      </c>
      <c r="AB151" s="72"/>
      <c r="AC151" s="73"/>
      <c r="AD151" s="89" t="s">
        <v>1315</v>
      </c>
      <c r="AE151" s="96" t="s">
        <v>1514</v>
      </c>
      <c r="AF151" s="89">
        <v>406</v>
      </c>
      <c r="AG151" s="89">
        <v>16613</v>
      </c>
      <c r="AH151" s="89">
        <v>40061</v>
      </c>
      <c r="AI151" s="89">
        <v>26374</v>
      </c>
      <c r="AJ151" s="89"/>
      <c r="AK151" s="89" t="s">
        <v>1700</v>
      </c>
      <c r="AL151" s="89" t="s">
        <v>1783</v>
      </c>
      <c r="AM151" s="99" t="str">
        <f>HYPERLINK("https://t.co/rgOVBnpZ0R")</f>
        <v>https://t.co/rgOVBnpZ0R</v>
      </c>
      <c r="AN151" s="89"/>
      <c r="AO151" s="92">
        <v>41726.71958333333</v>
      </c>
      <c r="AP151" s="99" t="str">
        <f>HYPERLINK("https://pbs.twimg.com/profile_banners/2442466385/1642020404")</f>
        <v>https://pbs.twimg.com/profile_banners/2442466385/1642020404</v>
      </c>
      <c r="AQ151" s="89" t="b">
        <v>0</v>
      </c>
      <c r="AR151" s="89" t="b">
        <v>0</v>
      </c>
      <c r="AS151" s="89" t="b">
        <v>0</v>
      </c>
      <c r="AT151" s="89"/>
      <c r="AU151" s="89">
        <v>55</v>
      </c>
      <c r="AV151" s="99" t="str">
        <f>HYPERLINK("https://abs.twimg.com/images/themes/theme1/bg.png")</f>
        <v>https://abs.twimg.com/images/themes/theme1/bg.png</v>
      </c>
      <c r="AW151" s="89" t="b">
        <v>0</v>
      </c>
      <c r="AX151" s="89" t="s">
        <v>1811</v>
      </c>
      <c r="AY151" s="99" t="str">
        <f>HYPERLINK("https://twitter.com/swanoftuonela")</f>
        <v>https://twitter.com/swanoftuonela</v>
      </c>
      <c r="AZ151" s="89" t="s">
        <v>66</v>
      </c>
      <c r="BA151" s="89" t="str">
        <f>REPLACE(INDEX(GroupVertices[Group],MATCH(Vertices[[#This Row],[Vertex]],GroupVertices[Vertex],0)),1,1,"")</f>
        <v>5</v>
      </c>
      <c r="BB151" s="49">
        <v>0</v>
      </c>
      <c r="BC151" s="50">
        <v>0</v>
      </c>
      <c r="BD151" s="49">
        <v>0</v>
      </c>
      <c r="BE151" s="50">
        <v>0</v>
      </c>
      <c r="BF151" s="49">
        <v>0</v>
      </c>
      <c r="BG151" s="50">
        <v>0</v>
      </c>
      <c r="BH151" s="49">
        <v>13</v>
      </c>
      <c r="BI151" s="50">
        <v>100</v>
      </c>
      <c r="BJ151" s="49">
        <v>13</v>
      </c>
      <c r="BK151" s="49" t="s">
        <v>3913</v>
      </c>
      <c r="BL151" s="49" t="s">
        <v>3913</v>
      </c>
      <c r="BM151" s="49" t="s">
        <v>554</v>
      </c>
      <c r="BN151" s="49" t="s">
        <v>554</v>
      </c>
      <c r="BO151" s="49"/>
      <c r="BP151" s="49"/>
      <c r="BQ151" s="123" t="s">
        <v>4245</v>
      </c>
      <c r="BR151" s="123" t="s">
        <v>4245</v>
      </c>
      <c r="BS151" s="123" t="s">
        <v>4365</v>
      </c>
      <c r="BT151" s="123" t="s">
        <v>4365</v>
      </c>
      <c r="BU151" s="2"/>
      <c r="BV151" s="3"/>
      <c r="BW151" s="3"/>
      <c r="BX151" s="3"/>
      <c r="BY151" s="3"/>
    </row>
    <row r="152" spans="1:77" ht="15">
      <c r="A152" s="65" t="s">
        <v>324</v>
      </c>
      <c r="B152" s="66"/>
      <c r="C152" s="66" t="s">
        <v>46</v>
      </c>
      <c r="D152" s="67"/>
      <c r="E152" s="69"/>
      <c r="F152" s="111" t="str">
        <f>HYPERLINK("https://pbs.twimg.com/profile_images/3224350862/ed4969b388f7a5a4e982c79e54dc778a_normal.jpeg")</f>
        <v>https://pbs.twimg.com/profile_images/3224350862/ed4969b388f7a5a4e982c79e54dc778a_normal.jpeg</v>
      </c>
      <c r="G152" s="66"/>
      <c r="H152" s="70" t="s">
        <v>324</v>
      </c>
      <c r="I152" s="71" t="s">
        <v>4406</v>
      </c>
      <c r="J152" s="71" t="s">
        <v>73</v>
      </c>
      <c r="K152" s="70" t="s">
        <v>1960</v>
      </c>
      <c r="L152" s="74">
        <v>1</v>
      </c>
      <c r="M152" s="75">
        <v>665.253662109375</v>
      </c>
      <c r="N152" s="75">
        <v>2932.85693359375</v>
      </c>
      <c r="O152" s="76"/>
      <c r="P152" s="77"/>
      <c r="Q152" s="77"/>
      <c r="R152" s="104"/>
      <c r="S152" s="49">
        <v>0</v>
      </c>
      <c r="T152" s="49">
        <v>1</v>
      </c>
      <c r="U152" s="50">
        <v>0</v>
      </c>
      <c r="V152" s="50">
        <v>0.221474</v>
      </c>
      <c r="W152" s="50">
        <v>0.084107</v>
      </c>
      <c r="X152" s="50">
        <v>0.003763</v>
      </c>
      <c r="Y152" s="50">
        <v>0</v>
      </c>
      <c r="Z152" s="50">
        <v>0</v>
      </c>
      <c r="AA152" s="72">
        <v>152</v>
      </c>
      <c r="AB152" s="72"/>
      <c r="AC152" s="73"/>
      <c r="AD152" s="89" t="s">
        <v>1316</v>
      </c>
      <c r="AE152" s="96" t="s">
        <v>1515</v>
      </c>
      <c r="AF152" s="89">
        <v>470</v>
      </c>
      <c r="AG152" s="89">
        <v>178</v>
      </c>
      <c r="AH152" s="89">
        <v>8416</v>
      </c>
      <c r="AI152" s="89">
        <v>16353</v>
      </c>
      <c r="AJ152" s="89"/>
      <c r="AK152" s="89" t="s">
        <v>1701</v>
      </c>
      <c r="AL152" s="89" t="s">
        <v>1795</v>
      </c>
      <c r="AM152" s="89"/>
      <c r="AN152" s="89"/>
      <c r="AO152" s="92">
        <v>40953.75071759259</v>
      </c>
      <c r="AP152" s="89"/>
      <c r="AQ152" s="89" t="b">
        <v>1</v>
      </c>
      <c r="AR152" s="89" t="b">
        <v>0</v>
      </c>
      <c r="AS152" s="89" t="b">
        <v>0</v>
      </c>
      <c r="AT152" s="89"/>
      <c r="AU152" s="89">
        <v>3</v>
      </c>
      <c r="AV152" s="99" t="str">
        <f>HYPERLINK("https://abs.twimg.com/images/themes/theme1/bg.png")</f>
        <v>https://abs.twimg.com/images/themes/theme1/bg.png</v>
      </c>
      <c r="AW152" s="89" t="b">
        <v>0</v>
      </c>
      <c r="AX152" s="89" t="s">
        <v>1811</v>
      </c>
      <c r="AY152" s="99" t="str">
        <f>HYPERLINK("https://twitter.com/lahtilahti")</f>
        <v>https://twitter.com/lahtilahti</v>
      </c>
      <c r="AZ152" s="89" t="s">
        <v>66</v>
      </c>
      <c r="BA152" s="89" t="str">
        <f>REPLACE(INDEX(GroupVertices[Group],MATCH(Vertices[[#This Row],[Vertex]],GroupVertices[Vertex],0)),1,1,"")</f>
        <v>1</v>
      </c>
      <c r="BB152" s="49">
        <v>0</v>
      </c>
      <c r="BC152" s="50">
        <v>0</v>
      </c>
      <c r="BD152" s="49">
        <v>0</v>
      </c>
      <c r="BE152" s="50">
        <v>0</v>
      </c>
      <c r="BF152" s="49">
        <v>0</v>
      </c>
      <c r="BG152" s="50">
        <v>0</v>
      </c>
      <c r="BH152" s="49">
        <v>4</v>
      </c>
      <c r="BI152" s="50">
        <v>100</v>
      </c>
      <c r="BJ152" s="49">
        <v>4</v>
      </c>
      <c r="BK152" s="49"/>
      <c r="BL152" s="49"/>
      <c r="BM152" s="49"/>
      <c r="BN152" s="49"/>
      <c r="BO152" s="49"/>
      <c r="BP152" s="49"/>
      <c r="BQ152" s="123" t="s">
        <v>4240</v>
      </c>
      <c r="BR152" s="123" t="s">
        <v>4240</v>
      </c>
      <c r="BS152" s="123" t="s">
        <v>4360</v>
      </c>
      <c r="BT152" s="123" t="s">
        <v>4360</v>
      </c>
      <c r="BU152" s="2"/>
      <c r="BV152" s="3"/>
      <c r="BW152" s="3"/>
      <c r="BX152" s="3"/>
      <c r="BY152" s="3"/>
    </row>
    <row r="153" spans="1:77" ht="15">
      <c r="A153" s="65" t="s">
        <v>325</v>
      </c>
      <c r="B153" s="66"/>
      <c r="C153" s="66" t="s">
        <v>46</v>
      </c>
      <c r="D153" s="67"/>
      <c r="E153" s="69"/>
      <c r="F153" s="111" t="str">
        <f>HYPERLINK("https://pbs.twimg.com/profile_images/551426092918403072/ubEVFRXF_normal.jpeg")</f>
        <v>https://pbs.twimg.com/profile_images/551426092918403072/ubEVFRXF_normal.jpeg</v>
      </c>
      <c r="G153" s="66"/>
      <c r="H153" s="70" t="s">
        <v>325</v>
      </c>
      <c r="I153" s="71" t="s">
        <v>4406</v>
      </c>
      <c r="J153" s="71" t="s">
        <v>73</v>
      </c>
      <c r="K153" s="70" t="s">
        <v>1961</v>
      </c>
      <c r="L153" s="74">
        <v>1</v>
      </c>
      <c r="M153" s="75">
        <v>2738.16162109375</v>
      </c>
      <c r="N153" s="75">
        <v>4596.13427734375</v>
      </c>
      <c r="O153" s="76"/>
      <c r="P153" s="77"/>
      <c r="Q153" s="77"/>
      <c r="R153" s="104"/>
      <c r="S153" s="49">
        <v>0</v>
      </c>
      <c r="T153" s="49">
        <v>1</v>
      </c>
      <c r="U153" s="50">
        <v>0</v>
      </c>
      <c r="V153" s="50">
        <v>0.221474</v>
      </c>
      <c r="W153" s="50">
        <v>0.084107</v>
      </c>
      <c r="X153" s="50">
        <v>0.003763</v>
      </c>
      <c r="Y153" s="50">
        <v>0</v>
      </c>
      <c r="Z153" s="50">
        <v>0</v>
      </c>
      <c r="AA153" s="72">
        <v>153</v>
      </c>
      <c r="AB153" s="72"/>
      <c r="AC153" s="73"/>
      <c r="AD153" s="89" t="s">
        <v>1317</v>
      </c>
      <c r="AE153" s="96" t="s">
        <v>1516</v>
      </c>
      <c r="AF153" s="89">
        <v>470</v>
      </c>
      <c r="AG153" s="89">
        <v>43</v>
      </c>
      <c r="AH153" s="89">
        <v>3653</v>
      </c>
      <c r="AI153" s="89">
        <v>2985</v>
      </c>
      <c r="AJ153" s="89"/>
      <c r="AK153" s="89"/>
      <c r="AL153" s="89"/>
      <c r="AM153" s="89"/>
      <c r="AN153" s="89"/>
      <c r="AO153" s="92">
        <v>41907.41986111111</v>
      </c>
      <c r="AP153" s="89"/>
      <c r="AQ153" s="89" t="b">
        <v>1</v>
      </c>
      <c r="AR153" s="89" t="b">
        <v>0</v>
      </c>
      <c r="AS153" s="89" t="b">
        <v>0</v>
      </c>
      <c r="AT153" s="89"/>
      <c r="AU153" s="89">
        <v>0</v>
      </c>
      <c r="AV153" s="99" t="str">
        <f>HYPERLINK("https://abs.twimg.com/images/themes/theme1/bg.png")</f>
        <v>https://abs.twimg.com/images/themes/theme1/bg.png</v>
      </c>
      <c r="AW153" s="89" t="b">
        <v>0</v>
      </c>
      <c r="AX153" s="89" t="s">
        <v>1811</v>
      </c>
      <c r="AY153" s="99" t="str">
        <f>HYPERLINK("https://twitter.com/sussekiltou")</f>
        <v>https://twitter.com/sussekiltou</v>
      </c>
      <c r="AZ153" s="89" t="s">
        <v>66</v>
      </c>
      <c r="BA153" s="89"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c r="BL153" s="49"/>
      <c r="BM153" s="49"/>
      <c r="BN153" s="49"/>
      <c r="BO153" s="49"/>
      <c r="BP153" s="49"/>
      <c r="BQ153" s="123" t="s">
        <v>4247</v>
      </c>
      <c r="BR153" s="123" t="s">
        <v>4247</v>
      </c>
      <c r="BS153" s="123" t="s">
        <v>4336</v>
      </c>
      <c r="BT153" s="123" t="s">
        <v>4336</v>
      </c>
      <c r="BU153" s="2"/>
      <c r="BV153" s="3"/>
      <c r="BW153" s="3"/>
      <c r="BX153" s="3"/>
      <c r="BY153" s="3"/>
    </row>
    <row r="154" spans="1:77" ht="15">
      <c r="A154" s="65" t="s">
        <v>326</v>
      </c>
      <c r="B154" s="66"/>
      <c r="C154" s="66" t="s">
        <v>46</v>
      </c>
      <c r="D154" s="67"/>
      <c r="E154" s="69"/>
      <c r="F154" s="111" t="str">
        <f>HYPERLINK("https://pbs.twimg.com/profile_images/1347859458718904321/ZNjesteU_normal.jpg")</f>
        <v>https://pbs.twimg.com/profile_images/1347859458718904321/ZNjesteU_normal.jpg</v>
      </c>
      <c r="G154" s="66"/>
      <c r="H154" s="70" t="s">
        <v>326</v>
      </c>
      <c r="I154" s="71" t="s">
        <v>4406</v>
      </c>
      <c r="J154" s="71" t="s">
        <v>73</v>
      </c>
      <c r="K154" s="70" t="s">
        <v>1962</v>
      </c>
      <c r="L154" s="74">
        <v>1</v>
      </c>
      <c r="M154" s="75">
        <v>3495.52490234375</v>
      </c>
      <c r="N154" s="75">
        <v>1512.53369140625</v>
      </c>
      <c r="O154" s="76"/>
      <c r="P154" s="77"/>
      <c r="Q154" s="77"/>
      <c r="R154" s="104"/>
      <c r="S154" s="49">
        <v>0</v>
      </c>
      <c r="T154" s="49">
        <v>1</v>
      </c>
      <c r="U154" s="50">
        <v>0</v>
      </c>
      <c r="V154" s="50">
        <v>0.221474</v>
      </c>
      <c r="W154" s="50">
        <v>0.084107</v>
      </c>
      <c r="X154" s="50">
        <v>0.003763</v>
      </c>
      <c r="Y154" s="50">
        <v>0</v>
      </c>
      <c r="Z154" s="50">
        <v>0</v>
      </c>
      <c r="AA154" s="72">
        <v>154</v>
      </c>
      <c r="AB154" s="72"/>
      <c r="AC154" s="73"/>
      <c r="AD154" s="89" t="s">
        <v>1318</v>
      </c>
      <c r="AE154" s="96" t="s">
        <v>1517</v>
      </c>
      <c r="AF154" s="89">
        <v>2792</v>
      </c>
      <c r="AG154" s="89">
        <v>1698</v>
      </c>
      <c r="AH154" s="89">
        <v>18997</v>
      </c>
      <c r="AI154" s="89">
        <v>28117</v>
      </c>
      <c r="AJ154" s="89"/>
      <c r="AK154" s="89" t="s">
        <v>1702</v>
      </c>
      <c r="AL154" s="89" t="s">
        <v>1796</v>
      </c>
      <c r="AM154" s="89"/>
      <c r="AN154" s="89"/>
      <c r="AO154" s="92">
        <v>43250.79589120371</v>
      </c>
      <c r="AP154" s="99" t="str">
        <f>HYPERLINK("https://pbs.twimg.com/profile_banners/1001902583685042177/1558948128")</f>
        <v>https://pbs.twimg.com/profile_banners/1001902583685042177/1558948128</v>
      </c>
      <c r="AQ154" s="89" t="b">
        <v>0</v>
      </c>
      <c r="AR154" s="89" t="b">
        <v>0</v>
      </c>
      <c r="AS154" s="89" t="b">
        <v>0</v>
      </c>
      <c r="AT154" s="89"/>
      <c r="AU154" s="89">
        <v>1</v>
      </c>
      <c r="AV154" s="99" t="str">
        <f>HYPERLINK("https://abs.twimg.com/images/themes/theme1/bg.png")</f>
        <v>https://abs.twimg.com/images/themes/theme1/bg.png</v>
      </c>
      <c r="AW154" s="89" t="b">
        <v>0</v>
      </c>
      <c r="AX154" s="89" t="s">
        <v>1811</v>
      </c>
      <c r="AY154" s="99" t="str">
        <f>HYPERLINK("https://twitter.com/nuuniunna")</f>
        <v>https://twitter.com/nuuniunna</v>
      </c>
      <c r="AZ154" s="89" t="s">
        <v>66</v>
      </c>
      <c r="BA154" s="89"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23" t="s">
        <v>4240</v>
      </c>
      <c r="BR154" s="123" t="s">
        <v>4240</v>
      </c>
      <c r="BS154" s="123" t="s">
        <v>4360</v>
      </c>
      <c r="BT154" s="123" t="s">
        <v>4360</v>
      </c>
      <c r="BU154" s="2"/>
      <c r="BV154" s="3"/>
      <c r="BW154" s="3"/>
      <c r="BX154" s="3"/>
      <c r="BY154" s="3"/>
    </row>
    <row r="155" spans="1:77" ht="15">
      <c r="A155" s="65" t="s">
        <v>327</v>
      </c>
      <c r="B155" s="66"/>
      <c r="C155" s="66" t="s">
        <v>46</v>
      </c>
      <c r="D155" s="67"/>
      <c r="E155" s="69"/>
      <c r="F155" s="111" t="str">
        <f>HYPERLINK("https://pbs.twimg.com/profile_images/1475159023783747589/e9TCycsN_normal.jpg")</f>
        <v>https://pbs.twimg.com/profile_images/1475159023783747589/e9TCycsN_normal.jpg</v>
      </c>
      <c r="G155" s="66"/>
      <c r="H155" s="70" t="s">
        <v>327</v>
      </c>
      <c r="I155" s="71" t="s">
        <v>4406</v>
      </c>
      <c r="J155" s="71" t="s">
        <v>73</v>
      </c>
      <c r="K155" s="70" t="s">
        <v>1963</v>
      </c>
      <c r="L155" s="74">
        <v>1</v>
      </c>
      <c r="M155" s="75">
        <v>1890.122314453125</v>
      </c>
      <c r="N155" s="75">
        <v>4870.70849609375</v>
      </c>
      <c r="O155" s="76"/>
      <c r="P155" s="77"/>
      <c r="Q155" s="77"/>
      <c r="R155" s="104"/>
      <c r="S155" s="49">
        <v>0</v>
      </c>
      <c r="T155" s="49">
        <v>1</v>
      </c>
      <c r="U155" s="50">
        <v>0</v>
      </c>
      <c r="V155" s="50">
        <v>0.221474</v>
      </c>
      <c r="W155" s="50">
        <v>0.084107</v>
      </c>
      <c r="X155" s="50">
        <v>0.003763</v>
      </c>
      <c r="Y155" s="50">
        <v>0</v>
      </c>
      <c r="Z155" s="50">
        <v>0</v>
      </c>
      <c r="AA155" s="72">
        <v>155</v>
      </c>
      <c r="AB155" s="72"/>
      <c r="AC155" s="73"/>
      <c r="AD155" s="89" t="s">
        <v>1319</v>
      </c>
      <c r="AE155" s="96" t="s">
        <v>1518</v>
      </c>
      <c r="AF155" s="89">
        <v>707</v>
      </c>
      <c r="AG155" s="89">
        <v>591</v>
      </c>
      <c r="AH155" s="89">
        <v>2560</v>
      </c>
      <c r="AI155" s="89">
        <v>4774</v>
      </c>
      <c r="AJ155" s="89"/>
      <c r="AK155" s="89" t="s">
        <v>1703</v>
      </c>
      <c r="AL155" s="89" t="s">
        <v>1797</v>
      </c>
      <c r="AM155" s="89"/>
      <c r="AN155" s="89"/>
      <c r="AO155" s="92">
        <v>44253.79019675926</v>
      </c>
      <c r="AP155" s="99" t="str">
        <f>HYPERLINK("https://pbs.twimg.com/profile_banners/1365375416710688768/1641912110")</f>
        <v>https://pbs.twimg.com/profile_banners/1365375416710688768/1641912110</v>
      </c>
      <c r="AQ155" s="89" t="b">
        <v>1</v>
      </c>
      <c r="AR155" s="89" t="b">
        <v>0</v>
      </c>
      <c r="AS155" s="89" t="b">
        <v>0</v>
      </c>
      <c r="AT155" s="89"/>
      <c r="AU155" s="89">
        <v>2</v>
      </c>
      <c r="AV155" s="89"/>
      <c r="AW155" s="89" t="b">
        <v>0</v>
      </c>
      <c r="AX155" s="89" t="s">
        <v>1811</v>
      </c>
      <c r="AY155" s="99" t="str">
        <f>HYPERLINK("https://twitter.com/anne92445057")</f>
        <v>https://twitter.com/anne92445057</v>
      </c>
      <c r="AZ155" s="89" t="s">
        <v>66</v>
      </c>
      <c r="BA155" s="89" t="str">
        <f>REPLACE(INDEX(GroupVertices[Group],MATCH(Vertices[[#This Row],[Vertex]],GroupVertices[Vertex],0)),1,1,"")</f>
        <v>1</v>
      </c>
      <c r="BB155" s="49">
        <v>0</v>
      </c>
      <c r="BC155" s="50">
        <v>0</v>
      </c>
      <c r="BD155" s="49">
        <v>0</v>
      </c>
      <c r="BE155" s="50">
        <v>0</v>
      </c>
      <c r="BF155" s="49">
        <v>0</v>
      </c>
      <c r="BG155" s="50">
        <v>0</v>
      </c>
      <c r="BH155" s="49">
        <v>4</v>
      </c>
      <c r="BI155" s="50">
        <v>100</v>
      </c>
      <c r="BJ155" s="49">
        <v>4</v>
      </c>
      <c r="BK155" s="49"/>
      <c r="BL155" s="49"/>
      <c r="BM155" s="49"/>
      <c r="BN155" s="49"/>
      <c r="BO155" s="49"/>
      <c r="BP155" s="49"/>
      <c r="BQ155" s="123" t="s">
        <v>4240</v>
      </c>
      <c r="BR155" s="123" t="s">
        <v>4240</v>
      </c>
      <c r="BS155" s="123" t="s">
        <v>4360</v>
      </c>
      <c r="BT155" s="123" t="s">
        <v>4360</v>
      </c>
      <c r="BU155" s="2"/>
      <c r="BV155" s="3"/>
      <c r="BW155" s="3"/>
      <c r="BX155" s="3"/>
      <c r="BY155" s="3"/>
    </row>
    <row r="156" spans="1:77" ht="15">
      <c r="A156" s="65" t="s">
        <v>328</v>
      </c>
      <c r="B156" s="66"/>
      <c r="C156" s="66" t="s">
        <v>46</v>
      </c>
      <c r="D156" s="67"/>
      <c r="E156" s="69"/>
      <c r="F156" s="111" t="str">
        <f>HYPERLINK("https://pbs.twimg.com/profile_images/1471388000806445056/CTpivI3B_normal.jpg")</f>
        <v>https://pbs.twimg.com/profile_images/1471388000806445056/CTpivI3B_normal.jpg</v>
      </c>
      <c r="G156" s="66"/>
      <c r="H156" s="70" t="s">
        <v>328</v>
      </c>
      <c r="I156" s="71" t="s">
        <v>4406</v>
      </c>
      <c r="J156" s="71" t="s">
        <v>73</v>
      </c>
      <c r="K156" s="70" t="s">
        <v>1964</v>
      </c>
      <c r="L156" s="74">
        <v>1</v>
      </c>
      <c r="M156" s="75">
        <v>2106.323974609375</v>
      </c>
      <c r="N156" s="75">
        <v>792.1742553710938</v>
      </c>
      <c r="O156" s="76"/>
      <c r="P156" s="77"/>
      <c r="Q156" s="77"/>
      <c r="R156" s="104"/>
      <c r="S156" s="49">
        <v>0</v>
      </c>
      <c r="T156" s="49">
        <v>1</v>
      </c>
      <c r="U156" s="50">
        <v>0</v>
      </c>
      <c r="V156" s="50">
        <v>0.221474</v>
      </c>
      <c r="W156" s="50">
        <v>0.084107</v>
      </c>
      <c r="X156" s="50">
        <v>0.003763</v>
      </c>
      <c r="Y156" s="50">
        <v>0</v>
      </c>
      <c r="Z156" s="50">
        <v>0</v>
      </c>
      <c r="AA156" s="72">
        <v>156</v>
      </c>
      <c r="AB156" s="72"/>
      <c r="AC156" s="73"/>
      <c r="AD156" s="89" t="s">
        <v>1320</v>
      </c>
      <c r="AE156" s="96" t="s">
        <v>1519</v>
      </c>
      <c r="AF156" s="89">
        <v>496</v>
      </c>
      <c r="AG156" s="89">
        <v>528</v>
      </c>
      <c r="AH156" s="89">
        <v>36831</v>
      </c>
      <c r="AI156" s="89">
        <v>31201</v>
      </c>
      <c r="AJ156" s="89"/>
      <c r="AK156" s="89"/>
      <c r="AL156" s="89"/>
      <c r="AM156" s="89"/>
      <c r="AN156" s="89"/>
      <c r="AO156" s="92">
        <v>43912.79618055555</v>
      </c>
      <c r="AP156" s="89"/>
      <c r="AQ156" s="89" t="b">
        <v>1</v>
      </c>
      <c r="AR156" s="89" t="b">
        <v>0</v>
      </c>
      <c r="AS156" s="89" t="b">
        <v>1</v>
      </c>
      <c r="AT156" s="89"/>
      <c r="AU156" s="89">
        <v>0</v>
      </c>
      <c r="AV156" s="89"/>
      <c r="AW156" s="89" t="b">
        <v>0</v>
      </c>
      <c r="AX156" s="89" t="s">
        <v>1811</v>
      </c>
      <c r="AY156" s="99" t="str">
        <f>HYPERLINK("https://twitter.com/jmaalalr007")</f>
        <v>https://twitter.com/jmaalalr007</v>
      </c>
      <c r="AZ156" s="89" t="s">
        <v>66</v>
      </c>
      <c r="BA156" s="89" t="str">
        <f>REPLACE(INDEX(GroupVertices[Group],MATCH(Vertices[[#This Row],[Vertex]],GroupVertices[Vertex],0)),1,1,"")</f>
        <v>1</v>
      </c>
      <c r="BB156" s="49">
        <v>0</v>
      </c>
      <c r="BC156" s="50">
        <v>0</v>
      </c>
      <c r="BD156" s="49">
        <v>0</v>
      </c>
      <c r="BE156" s="50">
        <v>0</v>
      </c>
      <c r="BF156" s="49">
        <v>0</v>
      </c>
      <c r="BG156" s="50">
        <v>0</v>
      </c>
      <c r="BH156" s="49">
        <v>16</v>
      </c>
      <c r="BI156" s="50">
        <v>100</v>
      </c>
      <c r="BJ156" s="49">
        <v>16</v>
      </c>
      <c r="BK156" s="49"/>
      <c r="BL156" s="49"/>
      <c r="BM156" s="49"/>
      <c r="BN156" s="49"/>
      <c r="BO156" s="49"/>
      <c r="BP156" s="49"/>
      <c r="BQ156" s="123" t="s">
        <v>4247</v>
      </c>
      <c r="BR156" s="123" t="s">
        <v>4247</v>
      </c>
      <c r="BS156" s="123" t="s">
        <v>4336</v>
      </c>
      <c r="BT156" s="123" t="s">
        <v>4336</v>
      </c>
      <c r="BU156" s="2"/>
      <c r="BV156" s="3"/>
      <c r="BW156" s="3"/>
      <c r="BX156" s="3"/>
      <c r="BY156" s="3"/>
    </row>
    <row r="157" spans="1:77" ht="15">
      <c r="A157" s="65" t="s">
        <v>329</v>
      </c>
      <c r="B157" s="66"/>
      <c r="C157" s="66" t="s">
        <v>46</v>
      </c>
      <c r="D157" s="67"/>
      <c r="E157" s="69"/>
      <c r="F157" s="111" t="str">
        <f>HYPERLINK("https://abs.twimg.com/sticky/default_profile_images/default_profile_normal.png")</f>
        <v>https://abs.twimg.com/sticky/default_profile_images/default_profile_normal.png</v>
      </c>
      <c r="G157" s="66"/>
      <c r="H157" s="70" t="s">
        <v>329</v>
      </c>
      <c r="I157" s="71" t="s">
        <v>4411</v>
      </c>
      <c r="J157" s="71" t="s">
        <v>73</v>
      </c>
      <c r="K157" s="70" t="s">
        <v>1965</v>
      </c>
      <c r="L157" s="74">
        <v>1</v>
      </c>
      <c r="M157" s="75">
        <v>4509.62451171875</v>
      </c>
      <c r="N157" s="75">
        <v>6412.55517578125</v>
      </c>
      <c r="O157" s="76"/>
      <c r="P157" s="77"/>
      <c r="Q157" s="77"/>
      <c r="R157" s="104"/>
      <c r="S157" s="49">
        <v>0</v>
      </c>
      <c r="T157" s="49">
        <v>5</v>
      </c>
      <c r="U157" s="50">
        <v>1229</v>
      </c>
      <c r="V157" s="50">
        <v>0.203782</v>
      </c>
      <c r="W157" s="50">
        <v>0.00445</v>
      </c>
      <c r="X157" s="50">
        <v>0.005799</v>
      </c>
      <c r="Y157" s="50">
        <v>0</v>
      </c>
      <c r="Z157" s="50">
        <v>0</v>
      </c>
      <c r="AA157" s="72">
        <v>157</v>
      </c>
      <c r="AB157" s="72"/>
      <c r="AC157" s="73"/>
      <c r="AD157" s="89" t="s">
        <v>1321</v>
      </c>
      <c r="AE157" s="96" t="s">
        <v>1520</v>
      </c>
      <c r="AF157" s="89">
        <v>70</v>
      </c>
      <c r="AG157" s="89">
        <v>8</v>
      </c>
      <c r="AH157" s="89">
        <v>1080</v>
      </c>
      <c r="AI157" s="89">
        <v>1894</v>
      </c>
      <c r="AJ157" s="89"/>
      <c r="AK157" s="89" t="s">
        <v>1704</v>
      </c>
      <c r="AL157" s="89"/>
      <c r="AM157" s="89"/>
      <c r="AN157" s="89"/>
      <c r="AO157" s="92">
        <v>42436.86804398148</v>
      </c>
      <c r="AP157" s="89"/>
      <c r="AQ157" s="89" t="b">
        <v>1</v>
      </c>
      <c r="AR157" s="89" t="b">
        <v>1</v>
      </c>
      <c r="AS157" s="89" t="b">
        <v>0</v>
      </c>
      <c r="AT157" s="89"/>
      <c r="AU157" s="89">
        <v>0</v>
      </c>
      <c r="AV157" s="89"/>
      <c r="AW157" s="89" t="b">
        <v>0</v>
      </c>
      <c r="AX157" s="89" t="s">
        <v>1811</v>
      </c>
      <c r="AY157" s="99" t="str">
        <f>HYPERLINK("https://twitter.com/erkhei")</f>
        <v>https://twitter.com/erkhei</v>
      </c>
      <c r="AZ157" s="89" t="s">
        <v>66</v>
      </c>
      <c r="BA157" s="89" t="str">
        <f>REPLACE(INDEX(GroupVertices[Group],MATCH(Vertices[[#This Row],[Vertex]],GroupVertices[Vertex],0)),1,1,"")</f>
        <v>3</v>
      </c>
      <c r="BB157" s="49">
        <v>0</v>
      </c>
      <c r="BC157" s="50">
        <v>0</v>
      </c>
      <c r="BD157" s="49">
        <v>0</v>
      </c>
      <c r="BE157" s="50">
        <v>0</v>
      </c>
      <c r="BF157" s="49">
        <v>0</v>
      </c>
      <c r="BG157" s="50">
        <v>0</v>
      </c>
      <c r="BH157" s="49">
        <v>68</v>
      </c>
      <c r="BI157" s="50">
        <v>100</v>
      </c>
      <c r="BJ157" s="49">
        <v>68</v>
      </c>
      <c r="BK157" s="49"/>
      <c r="BL157" s="49"/>
      <c r="BM157" s="49"/>
      <c r="BN157" s="49"/>
      <c r="BO157" s="49"/>
      <c r="BP157" s="49"/>
      <c r="BQ157" s="123" t="s">
        <v>4251</v>
      </c>
      <c r="BR157" s="123" t="s">
        <v>4296</v>
      </c>
      <c r="BS157" s="123" t="s">
        <v>4370</v>
      </c>
      <c r="BT157" s="123" t="s">
        <v>4370</v>
      </c>
      <c r="BU157" s="2"/>
      <c r="BV157" s="3"/>
      <c r="BW157" s="3"/>
      <c r="BX157" s="3"/>
      <c r="BY157" s="3"/>
    </row>
    <row r="158" spans="1:77" ht="15">
      <c r="A158" s="65" t="s">
        <v>438</v>
      </c>
      <c r="B158" s="66"/>
      <c r="C158" s="66" t="s">
        <v>46</v>
      </c>
      <c r="D158" s="67">
        <v>10</v>
      </c>
      <c r="E158" s="69"/>
      <c r="F158" s="111" t="str">
        <f>HYPERLINK("https://pbs.twimg.com/profile_images/1429917951117889538/WllnqxjM_normal.jpg")</f>
        <v>https://pbs.twimg.com/profile_images/1429917951117889538/WllnqxjM_normal.jpg</v>
      </c>
      <c r="G158" s="66"/>
      <c r="H158" s="70" t="s">
        <v>438</v>
      </c>
      <c r="I158" s="71" t="s">
        <v>4411</v>
      </c>
      <c r="J158" s="71" t="s">
        <v>75</v>
      </c>
      <c r="K158" s="70" t="s">
        <v>1966</v>
      </c>
      <c r="L158" s="74">
        <v>200.96</v>
      </c>
      <c r="M158" s="75">
        <v>4415.978515625</v>
      </c>
      <c r="N158" s="75">
        <v>5858.65234375</v>
      </c>
      <c r="O158" s="76"/>
      <c r="P158" s="77"/>
      <c r="Q158" s="77"/>
      <c r="R158" s="104"/>
      <c r="S158" s="49">
        <v>1</v>
      </c>
      <c r="T158" s="49">
        <v>0</v>
      </c>
      <c r="U158" s="50">
        <v>0</v>
      </c>
      <c r="V158" s="50">
        <v>0.161497</v>
      </c>
      <c r="W158" s="50">
        <v>0.000569</v>
      </c>
      <c r="X158" s="50">
        <v>0.003854</v>
      </c>
      <c r="Y158" s="50">
        <v>0</v>
      </c>
      <c r="Z158" s="50">
        <v>0</v>
      </c>
      <c r="AA158" s="72">
        <v>158</v>
      </c>
      <c r="AB158" s="72"/>
      <c r="AC158" s="73"/>
      <c r="AD158" s="89" t="s">
        <v>1322</v>
      </c>
      <c r="AE158" s="96" t="s">
        <v>1521</v>
      </c>
      <c r="AF158" s="89">
        <v>2162</v>
      </c>
      <c r="AG158" s="89">
        <v>41680</v>
      </c>
      <c r="AH158" s="89">
        <v>14834</v>
      </c>
      <c r="AI158" s="89">
        <v>12708</v>
      </c>
      <c r="AJ158" s="89"/>
      <c r="AK158" s="89" t="s">
        <v>1705</v>
      </c>
      <c r="AL158" s="89" t="s">
        <v>1769</v>
      </c>
      <c r="AM158" s="99" t="str">
        <f>HYPERLINK("https://t.co/GNKqsNuKlI")</f>
        <v>https://t.co/GNKqsNuKlI</v>
      </c>
      <c r="AN158" s="89"/>
      <c r="AO158" s="92">
        <v>39942.52798611111</v>
      </c>
      <c r="AP158" s="99" t="str">
        <f>HYPERLINK("https://pbs.twimg.com/profile_banners/38846014/1578131990")</f>
        <v>https://pbs.twimg.com/profile_banners/38846014/1578131990</v>
      </c>
      <c r="AQ158" s="89" t="b">
        <v>1</v>
      </c>
      <c r="AR158" s="89" t="b">
        <v>0</v>
      </c>
      <c r="AS158" s="89" t="b">
        <v>1</v>
      </c>
      <c r="AT158" s="89"/>
      <c r="AU158" s="89">
        <v>132</v>
      </c>
      <c r="AV158" s="99" t="str">
        <f>HYPERLINK("https://abs.twimg.com/images/themes/theme1/bg.png")</f>
        <v>https://abs.twimg.com/images/themes/theme1/bg.png</v>
      </c>
      <c r="AW158" s="89" t="b">
        <v>1</v>
      </c>
      <c r="AX158" s="89" t="s">
        <v>1811</v>
      </c>
      <c r="AY158" s="99" t="str">
        <f>HYPERLINK("https://twitter.com/sukkola")</f>
        <v>https://twitter.com/sukkola</v>
      </c>
      <c r="AZ158" s="89" t="s">
        <v>65</v>
      </c>
      <c r="BA158" s="89"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439</v>
      </c>
      <c r="B159" s="66"/>
      <c r="C159" s="66" t="s">
        <v>46</v>
      </c>
      <c r="D159" s="67">
        <v>10</v>
      </c>
      <c r="E159" s="69"/>
      <c r="F159" s="111" t="str">
        <f>HYPERLINK("https://pbs.twimg.com/profile_images/1145048373067702272/_BB2XiMh_normal.jpg")</f>
        <v>https://pbs.twimg.com/profile_images/1145048373067702272/_BB2XiMh_normal.jpg</v>
      </c>
      <c r="G159" s="66"/>
      <c r="H159" s="70" t="s">
        <v>439</v>
      </c>
      <c r="I159" s="71" t="s">
        <v>4411</v>
      </c>
      <c r="J159" s="71" t="s">
        <v>75</v>
      </c>
      <c r="K159" s="70" t="s">
        <v>1967</v>
      </c>
      <c r="L159" s="74">
        <v>200.96</v>
      </c>
      <c r="M159" s="75">
        <v>4166.61181640625</v>
      </c>
      <c r="N159" s="75">
        <v>6112.90576171875</v>
      </c>
      <c r="O159" s="76"/>
      <c r="P159" s="77"/>
      <c r="Q159" s="77"/>
      <c r="R159" s="104"/>
      <c r="S159" s="49">
        <v>1</v>
      </c>
      <c r="T159" s="49">
        <v>0</v>
      </c>
      <c r="U159" s="50">
        <v>0</v>
      </c>
      <c r="V159" s="50">
        <v>0.161497</v>
      </c>
      <c r="W159" s="50">
        <v>0.000569</v>
      </c>
      <c r="X159" s="50">
        <v>0.003854</v>
      </c>
      <c r="Y159" s="50">
        <v>0</v>
      </c>
      <c r="Z159" s="50">
        <v>0</v>
      </c>
      <c r="AA159" s="72">
        <v>159</v>
      </c>
      <c r="AB159" s="72"/>
      <c r="AC159" s="73"/>
      <c r="AD159" s="89" t="s">
        <v>1323</v>
      </c>
      <c r="AE159" s="96" t="s">
        <v>1522</v>
      </c>
      <c r="AF159" s="89">
        <v>805</v>
      </c>
      <c r="AG159" s="89">
        <v>119057</v>
      </c>
      <c r="AH159" s="89">
        <v>174773</v>
      </c>
      <c r="AI159" s="89">
        <v>903</v>
      </c>
      <c r="AJ159" s="89"/>
      <c r="AK159" s="89" t="s">
        <v>1706</v>
      </c>
      <c r="AL159" s="89" t="s">
        <v>1783</v>
      </c>
      <c r="AM159" s="99" t="str">
        <f>HYPERLINK("http://t.co/8LLl5REbKP")</f>
        <v>http://t.co/8LLl5REbKP</v>
      </c>
      <c r="AN159" s="89"/>
      <c r="AO159" s="92">
        <v>40044.348229166666</v>
      </c>
      <c r="AP159" s="99" t="str">
        <f>HYPERLINK("https://pbs.twimg.com/profile_banners/66947137/1597225867")</f>
        <v>https://pbs.twimg.com/profile_banners/66947137/1597225867</v>
      </c>
      <c r="AQ159" s="89" t="b">
        <v>0</v>
      </c>
      <c r="AR159" s="89" t="b">
        <v>0</v>
      </c>
      <c r="AS159" s="89" t="b">
        <v>1</v>
      </c>
      <c r="AT159" s="89"/>
      <c r="AU159" s="89">
        <v>616</v>
      </c>
      <c r="AV159" s="99" t="str">
        <f>HYPERLINK("https://abs.twimg.com/images/themes/theme17/bg.gif")</f>
        <v>https://abs.twimg.com/images/themes/theme17/bg.gif</v>
      </c>
      <c r="AW159" s="89" t="b">
        <v>1</v>
      </c>
      <c r="AX159" s="89" t="s">
        <v>1811</v>
      </c>
      <c r="AY159" s="99" t="str">
        <f>HYPERLINK("https://twitter.com/iltalehti_fi")</f>
        <v>https://twitter.com/iltalehti_fi</v>
      </c>
      <c r="AZ159" s="89" t="s">
        <v>65</v>
      </c>
      <c r="BA159" s="89"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440</v>
      </c>
      <c r="B160" s="66"/>
      <c r="C160" s="66" t="s">
        <v>46</v>
      </c>
      <c r="D160" s="67">
        <v>10</v>
      </c>
      <c r="E160" s="69"/>
      <c r="F160" s="111" t="str">
        <f>HYPERLINK("https://pbs.twimg.com/profile_images/1477635463980716034/rcnp2F6G_normal.jpg")</f>
        <v>https://pbs.twimg.com/profile_images/1477635463980716034/rcnp2F6G_normal.jpg</v>
      </c>
      <c r="G160" s="66"/>
      <c r="H160" s="70" t="s">
        <v>440</v>
      </c>
      <c r="I160" s="71" t="s">
        <v>4411</v>
      </c>
      <c r="J160" s="71" t="s">
        <v>75</v>
      </c>
      <c r="K160" s="70" t="s">
        <v>1968</v>
      </c>
      <c r="L160" s="74">
        <v>200.96</v>
      </c>
      <c r="M160" s="75">
        <v>3816.10693359375</v>
      </c>
      <c r="N160" s="75">
        <v>6402.57177734375</v>
      </c>
      <c r="O160" s="76"/>
      <c r="P160" s="77"/>
      <c r="Q160" s="77"/>
      <c r="R160" s="104"/>
      <c r="S160" s="49">
        <v>1</v>
      </c>
      <c r="T160" s="49">
        <v>0</v>
      </c>
      <c r="U160" s="50">
        <v>0</v>
      </c>
      <c r="V160" s="50">
        <v>0.161497</v>
      </c>
      <c r="W160" s="50">
        <v>0.000569</v>
      </c>
      <c r="X160" s="50">
        <v>0.003854</v>
      </c>
      <c r="Y160" s="50">
        <v>0</v>
      </c>
      <c r="Z160" s="50">
        <v>0</v>
      </c>
      <c r="AA160" s="72">
        <v>160</v>
      </c>
      <c r="AB160" s="72"/>
      <c r="AC160" s="73"/>
      <c r="AD160" s="89" t="s">
        <v>1324</v>
      </c>
      <c r="AE160" s="96" t="s">
        <v>1119</v>
      </c>
      <c r="AF160" s="89">
        <v>49</v>
      </c>
      <c r="AG160" s="89">
        <v>40</v>
      </c>
      <c r="AH160" s="89">
        <v>2943</v>
      </c>
      <c r="AI160" s="89">
        <v>6229</v>
      </c>
      <c r="AJ160" s="89"/>
      <c r="AK160" s="89" t="s">
        <v>1707</v>
      </c>
      <c r="AL160" s="89" t="s">
        <v>1798</v>
      </c>
      <c r="AM160" s="89"/>
      <c r="AN160" s="89"/>
      <c r="AO160" s="92">
        <v>44252.75481481481</v>
      </c>
      <c r="AP160" s="99" t="str">
        <f>HYPERLINK("https://pbs.twimg.com/profile_banners/1365000301917450240/1630348502")</f>
        <v>https://pbs.twimg.com/profile_banners/1365000301917450240/1630348502</v>
      </c>
      <c r="AQ160" s="89" t="b">
        <v>1</v>
      </c>
      <c r="AR160" s="89" t="b">
        <v>0</v>
      </c>
      <c r="AS160" s="89" t="b">
        <v>0</v>
      </c>
      <c r="AT160" s="89"/>
      <c r="AU160" s="89">
        <v>1</v>
      </c>
      <c r="AV160" s="89"/>
      <c r="AW160" s="89" t="b">
        <v>0</v>
      </c>
      <c r="AX160" s="89" t="s">
        <v>1811</v>
      </c>
      <c r="AY160" s="99" t="str">
        <f>HYPERLINK("https://twitter.com/gorbilahti")</f>
        <v>https://twitter.com/gorbilahti</v>
      </c>
      <c r="AZ160" s="89" t="s">
        <v>65</v>
      </c>
      <c r="BA160" s="89"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330</v>
      </c>
      <c r="B161" s="66"/>
      <c r="C161" s="66" t="s">
        <v>46</v>
      </c>
      <c r="D161" s="67"/>
      <c r="E161" s="69"/>
      <c r="F161" s="111" t="str">
        <f>HYPERLINK("https://pbs.twimg.com/profile_images/1449079757048582150/5YuLKU0i_normal.jpg")</f>
        <v>https://pbs.twimg.com/profile_images/1449079757048582150/5YuLKU0i_normal.jpg</v>
      </c>
      <c r="G161" s="66"/>
      <c r="H161" s="70" t="s">
        <v>330</v>
      </c>
      <c r="I161" s="71" t="s">
        <v>4406</v>
      </c>
      <c r="J161" s="71" t="s">
        <v>73</v>
      </c>
      <c r="K161" s="70" t="s">
        <v>1969</v>
      </c>
      <c r="L161" s="74">
        <v>1</v>
      </c>
      <c r="M161" s="75">
        <v>2520.829833984375</v>
      </c>
      <c r="N161" s="75">
        <v>426.1156921386719</v>
      </c>
      <c r="O161" s="76"/>
      <c r="P161" s="77"/>
      <c r="Q161" s="77"/>
      <c r="R161" s="104"/>
      <c r="S161" s="49">
        <v>0</v>
      </c>
      <c r="T161" s="49">
        <v>1</v>
      </c>
      <c r="U161" s="50">
        <v>0</v>
      </c>
      <c r="V161" s="50">
        <v>0.221474</v>
      </c>
      <c r="W161" s="50">
        <v>0.084107</v>
      </c>
      <c r="X161" s="50">
        <v>0.003763</v>
      </c>
      <c r="Y161" s="50">
        <v>0</v>
      </c>
      <c r="Z161" s="50">
        <v>0</v>
      </c>
      <c r="AA161" s="72">
        <v>161</v>
      </c>
      <c r="AB161" s="72"/>
      <c r="AC161" s="73"/>
      <c r="AD161" s="89" t="s">
        <v>1325</v>
      </c>
      <c r="AE161" s="96" t="s">
        <v>1523</v>
      </c>
      <c r="AF161" s="89">
        <v>4218</v>
      </c>
      <c r="AG161" s="89">
        <v>1109</v>
      </c>
      <c r="AH161" s="89">
        <v>9952</v>
      </c>
      <c r="AI161" s="89">
        <v>77388</v>
      </c>
      <c r="AJ161" s="89"/>
      <c r="AK161" s="89"/>
      <c r="AL161" s="89"/>
      <c r="AM161" s="89"/>
      <c r="AN161" s="89"/>
      <c r="AO161" s="92">
        <v>44151.3053125</v>
      </c>
      <c r="AP161" s="89"/>
      <c r="AQ161" s="89" t="b">
        <v>1</v>
      </c>
      <c r="AR161" s="89" t="b">
        <v>0</v>
      </c>
      <c r="AS161" s="89" t="b">
        <v>0</v>
      </c>
      <c r="AT161" s="89"/>
      <c r="AU161" s="89">
        <v>4</v>
      </c>
      <c r="AV161" s="89"/>
      <c r="AW161" s="89" t="b">
        <v>0</v>
      </c>
      <c r="AX161" s="89" t="s">
        <v>1811</v>
      </c>
      <c r="AY161" s="99" t="str">
        <f>HYPERLINK("https://twitter.com/sherrymarja")</f>
        <v>https://twitter.com/sherrymarja</v>
      </c>
      <c r="AZ161" s="89" t="s">
        <v>66</v>
      </c>
      <c r="BA161" s="89" t="str">
        <f>REPLACE(INDEX(GroupVertices[Group],MATCH(Vertices[[#This Row],[Vertex]],GroupVertices[Vertex],0)),1,1,"")</f>
        <v>1</v>
      </c>
      <c r="BB161" s="49">
        <v>0</v>
      </c>
      <c r="BC161" s="50">
        <v>0</v>
      </c>
      <c r="BD161" s="49">
        <v>0</v>
      </c>
      <c r="BE161" s="50">
        <v>0</v>
      </c>
      <c r="BF161" s="49">
        <v>0</v>
      </c>
      <c r="BG161" s="50">
        <v>0</v>
      </c>
      <c r="BH161" s="49">
        <v>16</v>
      </c>
      <c r="BI161" s="50">
        <v>100</v>
      </c>
      <c r="BJ161" s="49">
        <v>16</v>
      </c>
      <c r="BK161" s="49"/>
      <c r="BL161" s="49"/>
      <c r="BM161" s="49"/>
      <c r="BN161" s="49"/>
      <c r="BO161" s="49"/>
      <c r="BP161" s="49"/>
      <c r="BQ161" s="123" t="s">
        <v>4247</v>
      </c>
      <c r="BR161" s="123" t="s">
        <v>4247</v>
      </c>
      <c r="BS161" s="123" t="s">
        <v>4336</v>
      </c>
      <c r="BT161" s="123" t="s">
        <v>4336</v>
      </c>
      <c r="BU161" s="2"/>
      <c r="BV161" s="3"/>
      <c r="BW161" s="3"/>
      <c r="BX161" s="3"/>
      <c r="BY161" s="3"/>
    </row>
    <row r="162" spans="1:77" ht="15">
      <c r="A162" s="65" t="s">
        <v>331</v>
      </c>
      <c r="B162" s="66"/>
      <c r="C162" s="66" t="s">
        <v>46</v>
      </c>
      <c r="D162" s="67"/>
      <c r="E162" s="69"/>
      <c r="F162" s="111" t="str">
        <f>HYPERLINK("https://pbs.twimg.com/profile_images/848635167107403776/mtaLJg4P_normal.jpg")</f>
        <v>https://pbs.twimg.com/profile_images/848635167107403776/mtaLJg4P_normal.jpg</v>
      </c>
      <c r="G162" s="66"/>
      <c r="H162" s="70" t="s">
        <v>331</v>
      </c>
      <c r="I162" s="71" t="s">
        <v>4406</v>
      </c>
      <c r="J162" s="71" t="s">
        <v>73</v>
      </c>
      <c r="K162" s="70" t="s">
        <v>1970</v>
      </c>
      <c r="L162" s="74">
        <v>1</v>
      </c>
      <c r="M162" s="75">
        <v>3335.51318359375</v>
      </c>
      <c r="N162" s="75">
        <v>2546.537109375</v>
      </c>
      <c r="O162" s="76"/>
      <c r="P162" s="77"/>
      <c r="Q162" s="77"/>
      <c r="R162" s="104"/>
      <c r="S162" s="49">
        <v>0</v>
      </c>
      <c r="T162" s="49">
        <v>1</v>
      </c>
      <c r="U162" s="50">
        <v>0</v>
      </c>
      <c r="V162" s="50">
        <v>0.221474</v>
      </c>
      <c r="W162" s="50">
        <v>0.084107</v>
      </c>
      <c r="X162" s="50">
        <v>0.003763</v>
      </c>
      <c r="Y162" s="50">
        <v>0</v>
      </c>
      <c r="Z162" s="50">
        <v>0</v>
      </c>
      <c r="AA162" s="72">
        <v>162</v>
      </c>
      <c r="AB162" s="72"/>
      <c r="AC162" s="73"/>
      <c r="AD162" s="89" t="s">
        <v>1326</v>
      </c>
      <c r="AE162" s="96" t="s">
        <v>1524</v>
      </c>
      <c r="AF162" s="89">
        <v>171</v>
      </c>
      <c r="AG162" s="89">
        <v>171</v>
      </c>
      <c r="AH162" s="89">
        <v>58505</v>
      </c>
      <c r="AI162" s="89">
        <v>1003</v>
      </c>
      <c r="AJ162" s="89"/>
      <c r="AK162" s="89" t="s">
        <v>1708</v>
      </c>
      <c r="AL162" s="89" t="s">
        <v>1799</v>
      </c>
      <c r="AM162" s="89"/>
      <c r="AN162" s="89"/>
      <c r="AO162" s="92">
        <v>41908.845821759256</v>
      </c>
      <c r="AP162" s="99" t="str">
        <f>HYPERLINK("https://pbs.twimg.com/profile_banners/2786218341/1437521733")</f>
        <v>https://pbs.twimg.com/profile_banners/2786218341/1437521733</v>
      </c>
      <c r="AQ162" s="89" t="b">
        <v>1</v>
      </c>
      <c r="AR162" s="89" t="b">
        <v>0</v>
      </c>
      <c r="AS162" s="89" t="b">
        <v>0</v>
      </c>
      <c r="AT162" s="89"/>
      <c r="AU162" s="89">
        <v>10</v>
      </c>
      <c r="AV162" s="99" t="str">
        <f>HYPERLINK("https://abs.twimg.com/images/themes/theme1/bg.png")</f>
        <v>https://abs.twimg.com/images/themes/theme1/bg.png</v>
      </c>
      <c r="AW162" s="89" t="b">
        <v>0</v>
      </c>
      <c r="AX162" s="89" t="s">
        <v>1811</v>
      </c>
      <c r="AY162" s="99" t="str">
        <f>HYPERLINK("https://twitter.com/timoriikonen67")</f>
        <v>https://twitter.com/timoriikonen67</v>
      </c>
      <c r="AZ162" s="89" t="s">
        <v>66</v>
      </c>
      <c r="BA162" s="89" t="str">
        <f>REPLACE(INDEX(GroupVertices[Group],MATCH(Vertices[[#This Row],[Vertex]],GroupVertices[Vertex],0)),1,1,"")</f>
        <v>1</v>
      </c>
      <c r="BB162" s="49">
        <v>0</v>
      </c>
      <c r="BC162" s="50">
        <v>0</v>
      </c>
      <c r="BD162" s="49">
        <v>0</v>
      </c>
      <c r="BE162" s="50">
        <v>0</v>
      </c>
      <c r="BF162" s="49">
        <v>0</v>
      </c>
      <c r="BG162" s="50">
        <v>0</v>
      </c>
      <c r="BH162" s="49">
        <v>16</v>
      </c>
      <c r="BI162" s="50">
        <v>100</v>
      </c>
      <c r="BJ162" s="49">
        <v>16</v>
      </c>
      <c r="BK162" s="49"/>
      <c r="BL162" s="49"/>
      <c r="BM162" s="49"/>
      <c r="BN162" s="49"/>
      <c r="BO162" s="49"/>
      <c r="BP162" s="49"/>
      <c r="BQ162" s="123" t="s">
        <v>4247</v>
      </c>
      <c r="BR162" s="123" t="s">
        <v>4247</v>
      </c>
      <c r="BS162" s="123" t="s">
        <v>4336</v>
      </c>
      <c r="BT162" s="123" t="s">
        <v>4336</v>
      </c>
      <c r="BU162" s="2"/>
      <c r="BV162" s="3"/>
      <c r="BW162" s="3"/>
      <c r="BX162" s="3"/>
      <c r="BY162" s="3"/>
    </row>
    <row r="163" spans="1:77" ht="15">
      <c r="A163" s="65" t="s">
        <v>332</v>
      </c>
      <c r="B163" s="66"/>
      <c r="C163" s="66" t="s">
        <v>46</v>
      </c>
      <c r="D163" s="67"/>
      <c r="E163" s="69"/>
      <c r="F163" s="111" t="str">
        <f>HYPERLINK("https://pbs.twimg.com/profile_images/1285569134101778433/bmTCUrDE_normal.jpg")</f>
        <v>https://pbs.twimg.com/profile_images/1285569134101778433/bmTCUrDE_normal.jpg</v>
      </c>
      <c r="G163" s="66"/>
      <c r="H163" s="70" t="s">
        <v>332</v>
      </c>
      <c r="I163" s="71" t="s">
        <v>4406</v>
      </c>
      <c r="J163" s="71" t="s">
        <v>73</v>
      </c>
      <c r="K163" s="70" t="s">
        <v>1971</v>
      </c>
      <c r="L163" s="74">
        <v>1</v>
      </c>
      <c r="M163" s="75">
        <v>2283.608154296875</v>
      </c>
      <c r="N163" s="75">
        <v>4654.1494140625</v>
      </c>
      <c r="O163" s="76"/>
      <c r="P163" s="77"/>
      <c r="Q163" s="77"/>
      <c r="R163" s="104"/>
      <c r="S163" s="49">
        <v>0</v>
      </c>
      <c r="T163" s="49">
        <v>1</v>
      </c>
      <c r="U163" s="50">
        <v>0</v>
      </c>
      <c r="V163" s="50">
        <v>0.221474</v>
      </c>
      <c r="W163" s="50">
        <v>0.084107</v>
      </c>
      <c r="X163" s="50">
        <v>0.003763</v>
      </c>
      <c r="Y163" s="50">
        <v>0</v>
      </c>
      <c r="Z163" s="50">
        <v>0</v>
      </c>
      <c r="AA163" s="72">
        <v>163</v>
      </c>
      <c r="AB163" s="72"/>
      <c r="AC163" s="73"/>
      <c r="AD163" s="89" t="s">
        <v>1327</v>
      </c>
      <c r="AE163" s="96" t="s">
        <v>1525</v>
      </c>
      <c r="AF163" s="89">
        <v>67</v>
      </c>
      <c r="AG163" s="89">
        <v>262</v>
      </c>
      <c r="AH163" s="89">
        <v>30716</v>
      </c>
      <c r="AI163" s="89">
        <v>264</v>
      </c>
      <c r="AJ163" s="89"/>
      <c r="AK163" s="89" t="s">
        <v>1709</v>
      </c>
      <c r="AL163" s="89"/>
      <c r="AM163" s="89"/>
      <c r="AN163" s="89"/>
      <c r="AO163" s="92">
        <v>43505.45207175926</v>
      </c>
      <c r="AP163" s="99" t="str">
        <f>HYPERLINK("https://pbs.twimg.com/profile_banners/1094186892709507072/1577195650")</f>
        <v>https://pbs.twimg.com/profile_banners/1094186892709507072/1577195650</v>
      </c>
      <c r="AQ163" s="89" t="b">
        <v>1</v>
      </c>
      <c r="AR163" s="89" t="b">
        <v>0</v>
      </c>
      <c r="AS163" s="89" t="b">
        <v>0</v>
      </c>
      <c r="AT163" s="89"/>
      <c r="AU163" s="89">
        <v>0</v>
      </c>
      <c r="AV163" s="89"/>
      <c r="AW163" s="89" t="b">
        <v>0</v>
      </c>
      <c r="AX163" s="89" t="s">
        <v>1811</v>
      </c>
      <c r="AY163" s="99" t="str">
        <f>HYPERLINK("https://twitter.com/jussilepola")</f>
        <v>https://twitter.com/jussilepola</v>
      </c>
      <c r="AZ163" s="89" t="s">
        <v>66</v>
      </c>
      <c r="BA163" s="89" t="str">
        <f>REPLACE(INDEX(GroupVertices[Group],MATCH(Vertices[[#This Row],[Vertex]],GroupVertices[Vertex],0)),1,1,"")</f>
        <v>1</v>
      </c>
      <c r="BB163" s="49">
        <v>0</v>
      </c>
      <c r="BC163" s="50">
        <v>0</v>
      </c>
      <c r="BD163" s="49">
        <v>0</v>
      </c>
      <c r="BE163" s="50">
        <v>0</v>
      </c>
      <c r="BF163" s="49">
        <v>0</v>
      </c>
      <c r="BG163" s="50">
        <v>0</v>
      </c>
      <c r="BH163" s="49">
        <v>4</v>
      </c>
      <c r="BI163" s="50">
        <v>100</v>
      </c>
      <c r="BJ163" s="49">
        <v>4</v>
      </c>
      <c r="BK163" s="49"/>
      <c r="BL163" s="49"/>
      <c r="BM163" s="49"/>
      <c r="BN163" s="49"/>
      <c r="BO163" s="49"/>
      <c r="BP163" s="49"/>
      <c r="BQ163" s="123" t="s">
        <v>4240</v>
      </c>
      <c r="BR163" s="123" t="s">
        <v>4240</v>
      </c>
      <c r="BS163" s="123" t="s">
        <v>4360</v>
      </c>
      <c r="BT163" s="123" t="s">
        <v>4360</v>
      </c>
      <c r="BU163" s="2"/>
      <c r="BV163" s="3"/>
      <c r="BW163" s="3"/>
      <c r="BX163" s="3"/>
      <c r="BY163" s="3"/>
    </row>
    <row r="164" spans="1:77" ht="15">
      <c r="A164" s="65" t="s">
        <v>335</v>
      </c>
      <c r="B164" s="66"/>
      <c r="C164" s="66" t="s">
        <v>46</v>
      </c>
      <c r="D164" s="67"/>
      <c r="E164" s="69"/>
      <c r="F164" s="111" t="str">
        <f>HYPERLINK("https://pbs.twimg.com/profile_images/1460722809844518924/eYLfO7sC_normal.jpg")</f>
        <v>https://pbs.twimg.com/profile_images/1460722809844518924/eYLfO7sC_normal.jpg</v>
      </c>
      <c r="G164" s="66"/>
      <c r="H164" s="70" t="s">
        <v>335</v>
      </c>
      <c r="I164" s="71" t="s">
        <v>4406</v>
      </c>
      <c r="J164" s="71" t="s">
        <v>73</v>
      </c>
      <c r="K164" s="70" t="s">
        <v>1972</v>
      </c>
      <c r="L164" s="74">
        <v>1</v>
      </c>
      <c r="M164" s="75">
        <v>1517.856201171875</v>
      </c>
      <c r="N164" s="75">
        <v>2156.07080078125</v>
      </c>
      <c r="O164" s="76"/>
      <c r="P164" s="77"/>
      <c r="Q164" s="77"/>
      <c r="R164" s="104"/>
      <c r="S164" s="49">
        <v>0</v>
      </c>
      <c r="T164" s="49">
        <v>1</v>
      </c>
      <c r="U164" s="50">
        <v>0</v>
      </c>
      <c r="V164" s="50">
        <v>0.221474</v>
      </c>
      <c r="W164" s="50">
        <v>0.084107</v>
      </c>
      <c r="X164" s="50">
        <v>0.003763</v>
      </c>
      <c r="Y164" s="50">
        <v>0</v>
      </c>
      <c r="Z164" s="50">
        <v>0</v>
      </c>
      <c r="AA164" s="72">
        <v>164</v>
      </c>
      <c r="AB164" s="72"/>
      <c r="AC164" s="73"/>
      <c r="AD164" s="89" t="s">
        <v>1328</v>
      </c>
      <c r="AE164" s="96" t="s">
        <v>1526</v>
      </c>
      <c r="AF164" s="89">
        <v>58</v>
      </c>
      <c r="AG164" s="89">
        <v>30</v>
      </c>
      <c r="AH164" s="89">
        <v>285</v>
      </c>
      <c r="AI164" s="89">
        <v>1808</v>
      </c>
      <c r="AJ164" s="89"/>
      <c r="AK164" s="89" t="s">
        <v>1710</v>
      </c>
      <c r="AL164" s="89"/>
      <c r="AM164" s="89"/>
      <c r="AN164" s="89"/>
      <c r="AO164" s="92">
        <v>44479.58148148148</v>
      </c>
      <c r="AP164" s="89"/>
      <c r="AQ164" s="89" t="b">
        <v>1</v>
      </c>
      <c r="AR164" s="89" t="b">
        <v>0</v>
      </c>
      <c r="AS164" s="89" t="b">
        <v>0</v>
      </c>
      <c r="AT164" s="89"/>
      <c r="AU164" s="89">
        <v>0</v>
      </c>
      <c r="AV164" s="89"/>
      <c r="AW164" s="89" t="b">
        <v>0</v>
      </c>
      <c r="AX164" s="89" t="s">
        <v>1811</v>
      </c>
      <c r="AY164" s="99" t="str">
        <f>HYPERLINK("https://twitter.com/emilia44948661")</f>
        <v>https://twitter.com/emilia44948661</v>
      </c>
      <c r="AZ164" s="89" t="s">
        <v>66</v>
      </c>
      <c r="BA164" s="89" t="str">
        <f>REPLACE(INDEX(GroupVertices[Group],MATCH(Vertices[[#This Row],[Vertex]],GroupVertices[Vertex],0)),1,1,"")</f>
        <v>1</v>
      </c>
      <c r="BB164" s="49">
        <v>0</v>
      </c>
      <c r="BC164" s="50">
        <v>0</v>
      </c>
      <c r="BD164" s="49">
        <v>0</v>
      </c>
      <c r="BE164" s="50">
        <v>0</v>
      </c>
      <c r="BF164" s="49">
        <v>0</v>
      </c>
      <c r="BG164" s="50">
        <v>0</v>
      </c>
      <c r="BH164" s="49">
        <v>20</v>
      </c>
      <c r="BI164" s="50">
        <v>100</v>
      </c>
      <c r="BJ164" s="49">
        <v>20</v>
      </c>
      <c r="BK164" s="49"/>
      <c r="BL164" s="49"/>
      <c r="BM164" s="49"/>
      <c r="BN164" s="49"/>
      <c r="BO164" s="49"/>
      <c r="BP164" s="49"/>
      <c r="BQ164" s="123" t="s">
        <v>4248</v>
      </c>
      <c r="BR164" s="123" t="s">
        <v>4295</v>
      </c>
      <c r="BS164" s="123" t="s">
        <v>4367</v>
      </c>
      <c r="BT164" s="123" t="s">
        <v>4401</v>
      </c>
      <c r="BU164" s="2"/>
      <c r="BV164" s="3"/>
      <c r="BW164" s="3"/>
      <c r="BX164" s="3"/>
      <c r="BY164" s="3"/>
    </row>
    <row r="165" spans="1:77" ht="15">
      <c r="A165" s="65" t="s">
        <v>336</v>
      </c>
      <c r="B165" s="66"/>
      <c r="C165" s="66" t="s">
        <v>46</v>
      </c>
      <c r="D165" s="67"/>
      <c r="E165" s="69"/>
      <c r="F165" s="111" t="str">
        <f>HYPERLINK("https://pbs.twimg.com/profile_images/1187411343764262912/JiXC-xB5_normal.jpg")</f>
        <v>https://pbs.twimg.com/profile_images/1187411343764262912/JiXC-xB5_normal.jpg</v>
      </c>
      <c r="G165" s="66"/>
      <c r="H165" s="70" t="s">
        <v>336</v>
      </c>
      <c r="I165" s="71" t="s">
        <v>4415</v>
      </c>
      <c r="J165" s="71" t="s">
        <v>73</v>
      </c>
      <c r="K165" s="70" t="s">
        <v>1973</v>
      </c>
      <c r="L165" s="74">
        <v>1</v>
      </c>
      <c r="M165" s="75">
        <v>7694.650390625</v>
      </c>
      <c r="N165" s="75">
        <v>8663.658203125</v>
      </c>
      <c r="O165" s="76"/>
      <c r="P165" s="77"/>
      <c r="Q165" s="77"/>
      <c r="R165" s="104"/>
      <c r="S165" s="49">
        <v>0</v>
      </c>
      <c r="T165" s="49">
        <v>1</v>
      </c>
      <c r="U165" s="50">
        <v>0</v>
      </c>
      <c r="V165" s="50">
        <v>0.15672</v>
      </c>
      <c r="W165" s="50">
        <v>0.005332</v>
      </c>
      <c r="X165" s="50">
        <v>0.003795</v>
      </c>
      <c r="Y165" s="50">
        <v>0</v>
      </c>
      <c r="Z165" s="50">
        <v>0</v>
      </c>
      <c r="AA165" s="72">
        <v>165</v>
      </c>
      <c r="AB165" s="72"/>
      <c r="AC165" s="73"/>
      <c r="AD165" s="89" t="s">
        <v>1329</v>
      </c>
      <c r="AE165" s="96" t="s">
        <v>1527</v>
      </c>
      <c r="AF165" s="89">
        <v>4543</v>
      </c>
      <c r="AG165" s="89">
        <v>4142</v>
      </c>
      <c r="AH165" s="89">
        <v>61596</v>
      </c>
      <c r="AI165" s="89">
        <v>361263</v>
      </c>
      <c r="AJ165" s="89"/>
      <c r="AK165" s="89" t="s">
        <v>1711</v>
      </c>
      <c r="AL165" s="89"/>
      <c r="AM165" s="89"/>
      <c r="AN165" s="89"/>
      <c r="AO165" s="92">
        <v>43762.701006944444</v>
      </c>
      <c r="AP165" s="89"/>
      <c r="AQ165" s="89" t="b">
        <v>1</v>
      </c>
      <c r="AR165" s="89" t="b">
        <v>0</v>
      </c>
      <c r="AS165" s="89" t="b">
        <v>1</v>
      </c>
      <c r="AT165" s="89"/>
      <c r="AU165" s="89">
        <v>9</v>
      </c>
      <c r="AV165" s="89"/>
      <c r="AW165" s="89" t="b">
        <v>0</v>
      </c>
      <c r="AX165" s="89" t="s">
        <v>1811</v>
      </c>
      <c r="AY165" s="99" t="str">
        <f>HYPERLINK("https://twitter.com/sariheinonen5")</f>
        <v>https://twitter.com/sariheinonen5</v>
      </c>
      <c r="AZ165" s="89" t="s">
        <v>66</v>
      </c>
      <c r="BA165" s="89" t="str">
        <f>REPLACE(INDEX(GroupVertices[Group],MATCH(Vertices[[#This Row],[Vertex]],GroupVertices[Vertex],0)),1,1,"")</f>
        <v>5</v>
      </c>
      <c r="BB165" s="49">
        <v>0</v>
      </c>
      <c r="BC165" s="50">
        <v>0</v>
      </c>
      <c r="BD165" s="49">
        <v>0</v>
      </c>
      <c r="BE165" s="50">
        <v>0</v>
      </c>
      <c r="BF165" s="49">
        <v>0</v>
      </c>
      <c r="BG165" s="50">
        <v>0</v>
      </c>
      <c r="BH165" s="49">
        <v>13</v>
      </c>
      <c r="BI165" s="50">
        <v>100</v>
      </c>
      <c r="BJ165" s="49">
        <v>13</v>
      </c>
      <c r="BK165" s="49" t="s">
        <v>3913</v>
      </c>
      <c r="BL165" s="49" t="s">
        <v>3913</v>
      </c>
      <c r="BM165" s="49" t="s">
        <v>554</v>
      </c>
      <c r="BN165" s="49" t="s">
        <v>554</v>
      </c>
      <c r="BO165" s="49"/>
      <c r="BP165" s="49"/>
      <c r="BQ165" s="123" t="s">
        <v>4245</v>
      </c>
      <c r="BR165" s="123" t="s">
        <v>4245</v>
      </c>
      <c r="BS165" s="123" t="s">
        <v>4365</v>
      </c>
      <c r="BT165" s="123" t="s">
        <v>4365</v>
      </c>
      <c r="BU165" s="2"/>
      <c r="BV165" s="3"/>
      <c r="BW165" s="3"/>
      <c r="BX165" s="3"/>
      <c r="BY165" s="3"/>
    </row>
    <row r="166" spans="1:77" ht="15">
      <c r="A166" s="65" t="s">
        <v>337</v>
      </c>
      <c r="B166" s="66"/>
      <c r="C166" s="66" t="s">
        <v>46</v>
      </c>
      <c r="D166" s="67"/>
      <c r="E166" s="69"/>
      <c r="F166" s="111" t="str">
        <f>HYPERLINK("https://pbs.twimg.com/profile_images/1368560952057200641/-FVXb3Y5_normal.jpg")</f>
        <v>https://pbs.twimg.com/profile_images/1368560952057200641/-FVXb3Y5_normal.jpg</v>
      </c>
      <c r="G166" s="66"/>
      <c r="H166" s="70" t="s">
        <v>337</v>
      </c>
      <c r="I166" s="71" t="s">
        <v>4406</v>
      </c>
      <c r="J166" s="71" t="s">
        <v>73</v>
      </c>
      <c r="K166" s="70" t="s">
        <v>1974</v>
      </c>
      <c r="L166" s="74">
        <v>1</v>
      </c>
      <c r="M166" s="75">
        <v>3485.95556640625</v>
      </c>
      <c r="N166" s="75">
        <v>3620.709228515625</v>
      </c>
      <c r="O166" s="76"/>
      <c r="P166" s="77"/>
      <c r="Q166" s="77"/>
      <c r="R166" s="104"/>
      <c r="S166" s="49">
        <v>0</v>
      </c>
      <c r="T166" s="49">
        <v>1</v>
      </c>
      <c r="U166" s="50">
        <v>0</v>
      </c>
      <c r="V166" s="50">
        <v>0.221474</v>
      </c>
      <c r="W166" s="50">
        <v>0.084107</v>
      </c>
      <c r="X166" s="50">
        <v>0.003763</v>
      </c>
      <c r="Y166" s="50">
        <v>0</v>
      </c>
      <c r="Z166" s="50">
        <v>0</v>
      </c>
      <c r="AA166" s="72">
        <v>166</v>
      </c>
      <c r="AB166" s="72"/>
      <c r="AC166" s="73"/>
      <c r="AD166" s="89" t="s">
        <v>1330</v>
      </c>
      <c r="AE166" s="96" t="s">
        <v>1528</v>
      </c>
      <c r="AF166" s="89">
        <v>416</v>
      </c>
      <c r="AG166" s="89">
        <v>187</v>
      </c>
      <c r="AH166" s="89">
        <v>1980</v>
      </c>
      <c r="AI166" s="89">
        <v>5510</v>
      </c>
      <c r="AJ166" s="89"/>
      <c r="AK166" s="89" t="s">
        <v>1712</v>
      </c>
      <c r="AL166" s="89"/>
      <c r="AM166" s="89"/>
      <c r="AN166" s="89"/>
      <c r="AO166" s="92">
        <v>43675.78827546296</v>
      </c>
      <c r="AP166" s="99" t="str">
        <f>HYPERLINK("https://pbs.twimg.com/profile_banners/1155914668046802945/1615125340")</f>
        <v>https://pbs.twimg.com/profile_banners/1155914668046802945/1615125340</v>
      </c>
      <c r="AQ166" s="89" t="b">
        <v>1</v>
      </c>
      <c r="AR166" s="89" t="b">
        <v>0</v>
      </c>
      <c r="AS166" s="89" t="b">
        <v>0</v>
      </c>
      <c r="AT166" s="89"/>
      <c r="AU166" s="89">
        <v>1</v>
      </c>
      <c r="AV166" s="89"/>
      <c r="AW166" s="89" t="b">
        <v>0</v>
      </c>
      <c r="AX166" s="89" t="s">
        <v>1811</v>
      </c>
      <c r="AY166" s="99" t="str">
        <f>HYPERLINK("https://twitter.com/konttiukko")</f>
        <v>https://twitter.com/konttiukko</v>
      </c>
      <c r="AZ166" s="89" t="s">
        <v>66</v>
      </c>
      <c r="BA166" s="89" t="str">
        <f>REPLACE(INDEX(GroupVertices[Group],MATCH(Vertices[[#This Row],[Vertex]],GroupVertices[Vertex],0)),1,1,"")</f>
        <v>1</v>
      </c>
      <c r="BB166" s="49">
        <v>0</v>
      </c>
      <c r="BC166" s="50">
        <v>0</v>
      </c>
      <c r="BD166" s="49">
        <v>0</v>
      </c>
      <c r="BE166" s="50">
        <v>0</v>
      </c>
      <c r="BF166" s="49">
        <v>0</v>
      </c>
      <c r="BG166" s="50">
        <v>0</v>
      </c>
      <c r="BH166" s="49">
        <v>4</v>
      </c>
      <c r="BI166" s="50">
        <v>100</v>
      </c>
      <c r="BJ166" s="49">
        <v>4</v>
      </c>
      <c r="BK166" s="49"/>
      <c r="BL166" s="49"/>
      <c r="BM166" s="49"/>
      <c r="BN166" s="49"/>
      <c r="BO166" s="49"/>
      <c r="BP166" s="49"/>
      <c r="BQ166" s="123" t="s">
        <v>4240</v>
      </c>
      <c r="BR166" s="123" t="s">
        <v>4240</v>
      </c>
      <c r="BS166" s="123" t="s">
        <v>4360</v>
      </c>
      <c r="BT166" s="123" t="s">
        <v>4360</v>
      </c>
      <c r="BU166" s="2"/>
      <c r="BV166" s="3"/>
      <c r="BW166" s="3"/>
      <c r="BX166" s="3"/>
      <c r="BY166" s="3"/>
    </row>
    <row r="167" spans="1:77" ht="15">
      <c r="A167" s="65" t="s">
        <v>338</v>
      </c>
      <c r="B167" s="66"/>
      <c r="C167" s="66" t="s">
        <v>46</v>
      </c>
      <c r="D167" s="67"/>
      <c r="E167" s="69"/>
      <c r="F167" s="111" t="str">
        <f>HYPERLINK("https://pbs.twimg.com/profile_images/1468821430896840709/aFhhYW--_normal.jpg")</f>
        <v>https://pbs.twimg.com/profile_images/1468821430896840709/aFhhYW--_normal.jpg</v>
      </c>
      <c r="G167" s="66"/>
      <c r="H167" s="70" t="s">
        <v>338</v>
      </c>
      <c r="I167" s="71" t="s">
        <v>4406</v>
      </c>
      <c r="J167" s="71" t="s">
        <v>73</v>
      </c>
      <c r="K167" s="70" t="s">
        <v>1975</v>
      </c>
      <c r="L167" s="74">
        <v>1</v>
      </c>
      <c r="M167" s="75">
        <v>2540.09130859375</v>
      </c>
      <c r="N167" s="75">
        <v>1140.0299072265625</v>
      </c>
      <c r="O167" s="76"/>
      <c r="P167" s="77"/>
      <c r="Q167" s="77"/>
      <c r="R167" s="104"/>
      <c r="S167" s="49">
        <v>0</v>
      </c>
      <c r="T167" s="49">
        <v>1</v>
      </c>
      <c r="U167" s="50">
        <v>0</v>
      </c>
      <c r="V167" s="50">
        <v>0.221474</v>
      </c>
      <c r="W167" s="50">
        <v>0.084107</v>
      </c>
      <c r="X167" s="50">
        <v>0.003763</v>
      </c>
      <c r="Y167" s="50">
        <v>0</v>
      </c>
      <c r="Z167" s="50">
        <v>0</v>
      </c>
      <c r="AA167" s="72">
        <v>167</v>
      </c>
      <c r="AB167" s="72"/>
      <c r="AC167" s="73"/>
      <c r="AD167" s="89" t="s">
        <v>1331</v>
      </c>
      <c r="AE167" s="96" t="s">
        <v>1529</v>
      </c>
      <c r="AF167" s="89">
        <v>249</v>
      </c>
      <c r="AG167" s="89">
        <v>114</v>
      </c>
      <c r="AH167" s="89">
        <v>945</v>
      </c>
      <c r="AI167" s="89">
        <v>6488</v>
      </c>
      <c r="AJ167" s="89"/>
      <c r="AK167" s="89" t="s">
        <v>1713</v>
      </c>
      <c r="AL167" s="89"/>
      <c r="AM167" s="89"/>
      <c r="AN167" s="89"/>
      <c r="AO167" s="92">
        <v>44538.8125462963</v>
      </c>
      <c r="AP167" s="89"/>
      <c r="AQ167" s="89" t="b">
        <v>1</v>
      </c>
      <c r="AR167" s="89" t="b">
        <v>0</v>
      </c>
      <c r="AS167" s="89" t="b">
        <v>0</v>
      </c>
      <c r="AT167" s="89"/>
      <c r="AU167" s="89">
        <v>0</v>
      </c>
      <c r="AV167" s="89"/>
      <c r="AW167" s="89" t="b">
        <v>0</v>
      </c>
      <c r="AX167" s="89" t="s">
        <v>1811</v>
      </c>
      <c r="AY167" s="99" t="str">
        <f>HYPERLINK("https://twitter.com/vilikasvikkela")</f>
        <v>https://twitter.com/vilikasvikkela</v>
      </c>
      <c r="AZ167" s="89" t="s">
        <v>66</v>
      </c>
      <c r="BA167" s="89"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c r="BL167" s="49"/>
      <c r="BM167" s="49"/>
      <c r="BN167" s="49"/>
      <c r="BO167" s="49"/>
      <c r="BP167" s="49"/>
      <c r="BQ167" s="123" t="s">
        <v>4247</v>
      </c>
      <c r="BR167" s="123" t="s">
        <v>4247</v>
      </c>
      <c r="BS167" s="123" t="s">
        <v>4336</v>
      </c>
      <c r="BT167" s="123" t="s">
        <v>4336</v>
      </c>
      <c r="BU167" s="2"/>
      <c r="BV167" s="3"/>
      <c r="BW167" s="3"/>
      <c r="BX167" s="3"/>
      <c r="BY167" s="3"/>
    </row>
    <row r="168" spans="1:77" ht="15">
      <c r="A168" s="65" t="s">
        <v>339</v>
      </c>
      <c r="B168" s="66"/>
      <c r="C168" s="66" t="s">
        <v>46</v>
      </c>
      <c r="D168" s="67"/>
      <c r="E168" s="69"/>
      <c r="F168" s="111" t="str">
        <f>HYPERLINK("https://pbs.twimg.com/profile_images/1477767189285543937/Gvwll582_normal.jpg")</f>
        <v>https://pbs.twimg.com/profile_images/1477767189285543937/Gvwll582_normal.jpg</v>
      </c>
      <c r="G168" s="66"/>
      <c r="H168" s="70" t="s">
        <v>339</v>
      </c>
      <c r="I168" s="71" t="s">
        <v>4415</v>
      </c>
      <c r="J168" s="71" t="s">
        <v>73</v>
      </c>
      <c r="K168" s="70" t="s">
        <v>1976</v>
      </c>
      <c r="L168" s="74">
        <v>1</v>
      </c>
      <c r="M168" s="75">
        <v>7403.57568359375</v>
      </c>
      <c r="N168" s="75">
        <v>7425.15478515625</v>
      </c>
      <c r="O168" s="76"/>
      <c r="P168" s="77"/>
      <c r="Q168" s="77"/>
      <c r="R168" s="104"/>
      <c r="S168" s="49">
        <v>0</v>
      </c>
      <c r="T168" s="49">
        <v>1</v>
      </c>
      <c r="U168" s="50">
        <v>0</v>
      </c>
      <c r="V168" s="50">
        <v>0.15672</v>
      </c>
      <c r="W168" s="50">
        <v>0.005332</v>
      </c>
      <c r="X168" s="50">
        <v>0.003795</v>
      </c>
      <c r="Y168" s="50">
        <v>0</v>
      </c>
      <c r="Z168" s="50">
        <v>0</v>
      </c>
      <c r="AA168" s="72">
        <v>168</v>
      </c>
      <c r="AB168" s="72"/>
      <c r="AC168" s="73"/>
      <c r="AD168" s="89" t="s">
        <v>1332</v>
      </c>
      <c r="AE168" s="96" t="s">
        <v>1530</v>
      </c>
      <c r="AF168" s="89">
        <v>469</v>
      </c>
      <c r="AG168" s="89">
        <v>245</v>
      </c>
      <c r="AH168" s="89">
        <v>4411</v>
      </c>
      <c r="AI168" s="89">
        <v>14598</v>
      </c>
      <c r="AJ168" s="89"/>
      <c r="AK168" s="89" t="s">
        <v>1714</v>
      </c>
      <c r="AL168" s="89" t="s">
        <v>1800</v>
      </c>
      <c r="AM168" s="89"/>
      <c r="AN168" s="89"/>
      <c r="AO168" s="92">
        <v>43786.78391203703</v>
      </c>
      <c r="AP168" s="99" t="str">
        <f>HYPERLINK("https://pbs.twimg.com/profile_banners/1196138093339959302/1641162873")</f>
        <v>https://pbs.twimg.com/profile_banners/1196138093339959302/1641162873</v>
      </c>
      <c r="AQ168" s="89" t="b">
        <v>1</v>
      </c>
      <c r="AR168" s="89" t="b">
        <v>0</v>
      </c>
      <c r="AS168" s="89" t="b">
        <v>0</v>
      </c>
      <c r="AT168" s="89"/>
      <c r="AU168" s="89">
        <v>2</v>
      </c>
      <c r="AV168" s="89"/>
      <c r="AW168" s="89" t="b">
        <v>0</v>
      </c>
      <c r="AX168" s="89" t="s">
        <v>1811</v>
      </c>
      <c r="AY168" s="99" t="str">
        <f>HYPERLINK("https://twitter.com/putinint")</f>
        <v>https://twitter.com/putinint</v>
      </c>
      <c r="AZ168" s="89" t="s">
        <v>66</v>
      </c>
      <c r="BA168" s="89" t="str">
        <f>REPLACE(INDEX(GroupVertices[Group],MATCH(Vertices[[#This Row],[Vertex]],GroupVertices[Vertex],0)),1,1,"")</f>
        <v>5</v>
      </c>
      <c r="BB168" s="49">
        <v>0</v>
      </c>
      <c r="BC168" s="50">
        <v>0</v>
      </c>
      <c r="BD168" s="49">
        <v>0</v>
      </c>
      <c r="BE168" s="50">
        <v>0</v>
      </c>
      <c r="BF168" s="49">
        <v>0</v>
      </c>
      <c r="BG168" s="50">
        <v>0</v>
      </c>
      <c r="BH168" s="49">
        <v>13</v>
      </c>
      <c r="BI168" s="50">
        <v>100</v>
      </c>
      <c r="BJ168" s="49">
        <v>13</v>
      </c>
      <c r="BK168" s="49" t="s">
        <v>3913</v>
      </c>
      <c r="BL168" s="49" t="s">
        <v>3913</v>
      </c>
      <c r="BM168" s="49" t="s">
        <v>554</v>
      </c>
      <c r="BN168" s="49" t="s">
        <v>554</v>
      </c>
      <c r="BO168" s="49"/>
      <c r="BP168" s="49"/>
      <c r="BQ168" s="123" t="s">
        <v>4245</v>
      </c>
      <c r="BR168" s="123" t="s">
        <v>4245</v>
      </c>
      <c r="BS168" s="123" t="s">
        <v>4365</v>
      </c>
      <c r="BT168" s="123" t="s">
        <v>4365</v>
      </c>
      <c r="BU168" s="2"/>
      <c r="BV168" s="3"/>
      <c r="BW168" s="3"/>
      <c r="BX168" s="3"/>
      <c r="BY168" s="3"/>
    </row>
    <row r="169" spans="1:77" ht="15">
      <c r="A169" s="65" t="s">
        <v>340</v>
      </c>
      <c r="B169" s="66"/>
      <c r="C169" s="66" t="s">
        <v>64</v>
      </c>
      <c r="D169" s="67">
        <v>322.3102280178714</v>
      </c>
      <c r="E169" s="69"/>
      <c r="F169" s="111" t="str">
        <f>HYPERLINK("https://pbs.twimg.com/profile_images/969942784684838912/3EnaAsJx_normal.jpg")</f>
        <v>https://pbs.twimg.com/profile_images/969942784684838912/3EnaAsJx_normal.jpg</v>
      </c>
      <c r="G169" s="66"/>
      <c r="H169" s="70" t="s">
        <v>340</v>
      </c>
      <c r="I169" s="71" t="s">
        <v>4406</v>
      </c>
      <c r="J169" s="71" t="s">
        <v>73</v>
      </c>
      <c r="K169" s="70" t="s">
        <v>1977</v>
      </c>
      <c r="L169" s="74">
        <v>400.92</v>
      </c>
      <c r="M169" s="75">
        <v>621.4613647460938</v>
      </c>
      <c r="N169" s="75">
        <v>2197.89501953125</v>
      </c>
      <c r="O169" s="76"/>
      <c r="P169" s="77"/>
      <c r="Q169" s="77"/>
      <c r="R169" s="104"/>
      <c r="S169" s="49">
        <v>2</v>
      </c>
      <c r="T169" s="49">
        <v>1</v>
      </c>
      <c r="U169" s="50">
        <v>0</v>
      </c>
      <c r="V169" s="50">
        <v>0.221474</v>
      </c>
      <c r="W169" s="50">
        <v>0.096448</v>
      </c>
      <c r="X169" s="50">
        <v>0.004068</v>
      </c>
      <c r="Y169" s="50">
        <v>0</v>
      </c>
      <c r="Z169" s="50">
        <v>0</v>
      </c>
      <c r="AA169" s="72">
        <v>169</v>
      </c>
      <c r="AB169" s="72"/>
      <c r="AC169" s="73"/>
      <c r="AD169" s="89" t="s">
        <v>1333</v>
      </c>
      <c r="AE169" s="96" t="s">
        <v>1531</v>
      </c>
      <c r="AF169" s="89">
        <v>754</v>
      </c>
      <c r="AG169" s="89">
        <v>672</v>
      </c>
      <c r="AH169" s="89">
        <v>17722</v>
      </c>
      <c r="AI169" s="89">
        <v>10885</v>
      </c>
      <c r="AJ169" s="89"/>
      <c r="AK169" s="89" t="s">
        <v>1715</v>
      </c>
      <c r="AL169" s="89"/>
      <c r="AM169" s="89"/>
      <c r="AN169" s="89"/>
      <c r="AO169" s="92">
        <v>41019.10444444444</v>
      </c>
      <c r="AP169" s="99" t="str">
        <f>HYPERLINK("https://pbs.twimg.com/profile_banners/558250892/1599599365")</f>
        <v>https://pbs.twimg.com/profile_banners/558250892/1599599365</v>
      </c>
      <c r="AQ169" s="89" t="b">
        <v>0</v>
      </c>
      <c r="AR169" s="89" t="b">
        <v>0</v>
      </c>
      <c r="AS169" s="89" t="b">
        <v>1</v>
      </c>
      <c r="AT169" s="89"/>
      <c r="AU169" s="89">
        <v>15</v>
      </c>
      <c r="AV169" s="99" t="str">
        <f>HYPERLINK("https://abs.twimg.com/images/themes/theme1/bg.png")</f>
        <v>https://abs.twimg.com/images/themes/theme1/bg.png</v>
      </c>
      <c r="AW169" s="89" t="b">
        <v>0</v>
      </c>
      <c r="AX169" s="89" t="s">
        <v>1811</v>
      </c>
      <c r="AY169" s="99" t="str">
        <f>HYPERLINK("https://twitter.com/johnbuckwheat")</f>
        <v>https://twitter.com/johnbuckwheat</v>
      </c>
      <c r="AZ169" s="89" t="s">
        <v>66</v>
      </c>
      <c r="BA169" s="89" t="str">
        <f>REPLACE(INDEX(GroupVertices[Group],MATCH(Vertices[[#This Row],[Vertex]],GroupVertices[Vertex],0)),1,1,"")</f>
        <v>1</v>
      </c>
      <c r="BB169" s="49">
        <v>0</v>
      </c>
      <c r="BC169" s="50">
        <v>0</v>
      </c>
      <c r="BD169" s="49">
        <v>0</v>
      </c>
      <c r="BE169" s="50">
        <v>0</v>
      </c>
      <c r="BF169" s="49">
        <v>0</v>
      </c>
      <c r="BG169" s="50">
        <v>0</v>
      </c>
      <c r="BH169" s="49">
        <v>8</v>
      </c>
      <c r="BI169" s="50">
        <v>100</v>
      </c>
      <c r="BJ169" s="49">
        <v>8</v>
      </c>
      <c r="BK169" s="49" t="s">
        <v>3916</v>
      </c>
      <c r="BL169" s="49" t="s">
        <v>3916</v>
      </c>
      <c r="BM169" s="49" t="s">
        <v>552</v>
      </c>
      <c r="BN169" s="49" t="s">
        <v>552</v>
      </c>
      <c r="BO169" s="49" t="s">
        <v>556</v>
      </c>
      <c r="BP169" s="49" t="s">
        <v>556</v>
      </c>
      <c r="BQ169" s="123" t="s">
        <v>4252</v>
      </c>
      <c r="BR169" s="123" t="s">
        <v>4252</v>
      </c>
      <c r="BS169" s="123" t="s">
        <v>4371</v>
      </c>
      <c r="BT169" s="123" t="s">
        <v>4371</v>
      </c>
      <c r="BU169" s="2"/>
      <c r="BV169" s="3"/>
      <c r="BW169" s="3"/>
      <c r="BX169" s="3"/>
      <c r="BY169" s="3"/>
    </row>
    <row r="170" spans="1:77" ht="15">
      <c r="A170" s="65" t="s">
        <v>342</v>
      </c>
      <c r="B170" s="66"/>
      <c r="C170" s="66" t="s">
        <v>46</v>
      </c>
      <c r="D170" s="67">
        <v>10</v>
      </c>
      <c r="E170" s="69"/>
      <c r="F170" s="111" t="str">
        <f>HYPERLINK("https://pbs.twimg.com/profile_images/1119734998322618370/A8VTkPu1_normal.png")</f>
        <v>https://pbs.twimg.com/profile_images/1119734998322618370/A8VTkPu1_normal.png</v>
      </c>
      <c r="G170" s="66"/>
      <c r="H170" s="70" t="s">
        <v>342</v>
      </c>
      <c r="I170" s="71" t="s">
        <v>4410</v>
      </c>
      <c r="J170" s="71" t="s">
        <v>73</v>
      </c>
      <c r="K170" s="70" t="s">
        <v>1978</v>
      </c>
      <c r="L170" s="74">
        <v>200.96</v>
      </c>
      <c r="M170" s="75">
        <v>3618.24658203125</v>
      </c>
      <c r="N170" s="75">
        <v>1077.198486328125</v>
      </c>
      <c r="O170" s="76"/>
      <c r="P170" s="77"/>
      <c r="Q170" s="77"/>
      <c r="R170" s="104"/>
      <c r="S170" s="49">
        <v>1</v>
      </c>
      <c r="T170" s="49">
        <v>1</v>
      </c>
      <c r="U170" s="50">
        <v>0</v>
      </c>
      <c r="V170" s="50">
        <v>0</v>
      </c>
      <c r="W170" s="50">
        <v>0</v>
      </c>
      <c r="X170" s="50">
        <v>0.004329</v>
      </c>
      <c r="Y170" s="50">
        <v>0</v>
      </c>
      <c r="Z170" s="50">
        <v>0</v>
      </c>
      <c r="AA170" s="72">
        <v>170</v>
      </c>
      <c r="AB170" s="72"/>
      <c r="AC170" s="73"/>
      <c r="AD170" s="89" t="s">
        <v>1334</v>
      </c>
      <c r="AE170" s="96" t="s">
        <v>1532</v>
      </c>
      <c r="AF170" s="89">
        <v>25</v>
      </c>
      <c r="AG170" s="89">
        <v>2</v>
      </c>
      <c r="AH170" s="89">
        <v>94</v>
      </c>
      <c r="AI170" s="89">
        <v>8</v>
      </c>
      <c r="AJ170" s="89"/>
      <c r="AK170" s="89"/>
      <c r="AL170" s="89"/>
      <c r="AM170" s="89"/>
      <c r="AN170" s="89"/>
      <c r="AO170" s="92">
        <v>41889.825104166666</v>
      </c>
      <c r="AP170" s="89"/>
      <c r="AQ170" s="89" t="b">
        <v>1</v>
      </c>
      <c r="AR170" s="89" t="b">
        <v>0</v>
      </c>
      <c r="AS170" s="89" t="b">
        <v>0</v>
      </c>
      <c r="AT170" s="89"/>
      <c r="AU170" s="89">
        <v>0</v>
      </c>
      <c r="AV170" s="99" t="str">
        <f>HYPERLINK("https://abs.twimg.com/images/themes/theme1/bg.png")</f>
        <v>https://abs.twimg.com/images/themes/theme1/bg.png</v>
      </c>
      <c r="AW170" s="89" t="b">
        <v>0</v>
      </c>
      <c r="AX170" s="89" t="s">
        <v>1811</v>
      </c>
      <c r="AY170" s="99" t="str">
        <f>HYPERLINK("https://twitter.com/wildkettu")</f>
        <v>https://twitter.com/wildkettu</v>
      </c>
      <c r="AZ170" s="89" t="s">
        <v>66</v>
      </c>
      <c r="BA170" s="89" t="str">
        <f>REPLACE(INDEX(GroupVertices[Group],MATCH(Vertices[[#This Row],[Vertex]],GroupVertices[Vertex],0)),1,1,"")</f>
        <v>7</v>
      </c>
      <c r="BB170" s="49">
        <v>0</v>
      </c>
      <c r="BC170" s="50">
        <v>0</v>
      </c>
      <c r="BD170" s="49">
        <v>0</v>
      </c>
      <c r="BE170" s="50">
        <v>0</v>
      </c>
      <c r="BF170" s="49">
        <v>0</v>
      </c>
      <c r="BG170" s="50">
        <v>0</v>
      </c>
      <c r="BH170" s="49">
        <v>28</v>
      </c>
      <c r="BI170" s="50">
        <v>100</v>
      </c>
      <c r="BJ170" s="49">
        <v>28</v>
      </c>
      <c r="BK170" s="49"/>
      <c r="BL170" s="49"/>
      <c r="BM170" s="49"/>
      <c r="BN170" s="49"/>
      <c r="BO170" s="49" t="s">
        <v>569</v>
      </c>
      <c r="BP170" s="49" t="s">
        <v>569</v>
      </c>
      <c r="BQ170" s="123" t="s">
        <v>4253</v>
      </c>
      <c r="BR170" s="123" t="s">
        <v>4253</v>
      </c>
      <c r="BS170" s="123" t="s">
        <v>4372</v>
      </c>
      <c r="BT170" s="123" t="s">
        <v>4372</v>
      </c>
      <c r="BU170" s="2"/>
      <c r="BV170" s="3"/>
      <c r="BW170" s="3"/>
      <c r="BX170" s="3"/>
      <c r="BY170" s="3"/>
    </row>
    <row r="171" spans="1:77" ht="15">
      <c r="A171" s="65" t="s">
        <v>343</v>
      </c>
      <c r="B171" s="66"/>
      <c r="C171" s="66" t="s">
        <v>46</v>
      </c>
      <c r="D171" s="67"/>
      <c r="E171" s="69"/>
      <c r="F171" s="111" t="str">
        <f>HYPERLINK("https://pbs.twimg.com/profile_images/1465360290976092169/AbxkWHvy_normal.jpg")</f>
        <v>https://pbs.twimg.com/profile_images/1465360290976092169/AbxkWHvy_normal.jpg</v>
      </c>
      <c r="G171" s="66"/>
      <c r="H171" s="70" t="s">
        <v>343</v>
      </c>
      <c r="I171" s="71" t="s">
        <v>4406</v>
      </c>
      <c r="J171" s="71" t="s">
        <v>73</v>
      </c>
      <c r="K171" s="70" t="s">
        <v>1979</v>
      </c>
      <c r="L171" s="74">
        <v>1</v>
      </c>
      <c r="M171" s="75">
        <v>3061.69140625</v>
      </c>
      <c r="N171" s="75">
        <v>1326.7159423828125</v>
      </c>
      <c r="O171" s="76"/>
      <c r="P171" s="77"/>
      <c r="Q171" s="77"/>
      <c r="R171" s="104"/>
      <c r="S171" s="49">
        <v>0</v>
      </c>
      <c r="T171" s="49">
        <v>1</v>
      </c>
      <c r="U171" s="50">
        <v>0</v>
      </c>
      <c r="V171" s="50">
        <v>0.221474</v>
      </c>
      <c r="W171" s="50">
        <v>0.084107</v>
      </c>
      <c r="X171" s="50">
        <v>0.003763</v>
      </c>
      <c r="Y171" s="50">
        <v>0</v>
      </c>
      <c r="Z171" s="50">
        <v>0</v>
      </c>
      <c r="AA171" s="72">
        <v>171</v>
      </c>
      <c r="AB171" s="72"/>
      <c r="AC171" s="73"/>
      <c r="AD171" s="89" t="s">
        <v>1335</v>
      </c>
      <c r="AE171" s="96" t="s">
        <v>1533</v>
      </c>
      <c r="AF171" s="89">
        <v>205</v>
      </c>
      <c r="AG171" s="89">
        <v>203</v>
      </c>
      <c r="AH171" s="89">
        <v>636</v>
      </c>
      <c r="AI171" s="89">
        <v>9205</v>
      </c>
      <c r="AJ171" s="89"/>
      <c r="AK171" s="89"/>
      <c r="AL171" s="89" t="s">
        <v>1801</v>
      </c>
      <c r="AM171" s="89"/>
      <c r="AN171" s="89"/>
      <c r="AO171" s="92">
        <v>44529.673842592594</v>
      </c>
      <c r="AP171" s="89"/>
      <c r="AQ171" s="89" t="b">
        <v>1</v>
      </c>
      <c r="AR171" s="89" t="b">
        <v>0</v>
      </c>
      <c r="AS171" s="89" t="b">
        <v>0</v>
      </c>
      <c r="AT171" s="89"/>
      <c r="AU171" s="89">
        <v>0</v>
      </c>
      <c r="AV171" s="89"/>
      <c r="AW171" s="89" t="b">
        <v>0</v>
      </c>
      <c r="AX171" s="89" t="s">
        <v>1811</v>
      </c>
      <c r="AY171" s="99" t="str">
        <f>HYPERLINK("https://twitter.com/_mariiia_stina")</f>
        <v>https://twitter.com/_mariiia_stina</v>
      </c>
      <c r="AZ171" s="89" t="s">
        <v>66</v>
      </c>
      <c r="BA171" s="89" t="str">
        <f>REPLACE(INDEX(GroupVertices[Group],MATCH(Vertices[[#This Row],[Vertex]],GroupVertices[Vertex],0)),1,1,"")</f>
        <v>1</v>
      </c>
      <c r="BB171" s="49">
        <v>0</v>
      </c>
      <c r="BC171" s="50">
        <v>0</v>
      </c>
      <c r="BD171" s="49">
        <v>0</v>
      </c>
      <c r="BE171" s="50">
        <v>0</v>
      </c>
      <c r="BF171" s="49">
        <v>0</v>
      </c>
      <c r="BG171" s="50">
        <v>0</v>
      </c>
      <c r="BH171" s="49">
        <v>4</v>
      </c>
      <c r="BI171" s="50">
        <v>100</v>
      </c>
      <c r="BJ171" s="49">
        <v>4</v>
      </c>
      <c r="BK171" s="49"/>
      <c r="BL171" s="49"/>
      <c r="BM171" s="49"/>
      <c r="BN171" s="49"/>
      <c r="BO171" s="49"/>
      <c r="BP171" s="49"/>
      <c r="BQ171" s="123" t="s">
        <v>4240</v>
      </c>
      <c r="BR171" s="123" t="s">
        <v>4240</v>
      </c>
      <c r="BS171" s="123" t="s">
        <v>4360</v>
      </c>
      <c r="BT171" s="123" t="s">
        <v>4360</v>
      </c>
      <c r="BU171" s="2"/>
      <c r="BV171" s="3"/>
      <c r="BW171" s="3"/>
      <c r="BX171" s="3"/>
      <c r="BY171" s="3"/>
    </row>
    <row r="172" spans="1:77" ht="15">
      <c r="A172" s="65" t="s">
        <v>344</v>
      </c>
      <c r="B172" s="66"/>
      <c r="C172" s="66" t="s">
        <v>46</v>
      </c>
      <c r="D172" s="67"/>
      <c r="E172" s="69"/>
      <c r="F172" s="111" t="str">
        <f>HYPERLINK("https://pbs.twimg.com/profile_images/1478580348191756294/AlZw1jxV_normal.jpg")</f>
        <v>https://pbs.twimg.com/profile_images/1478580348191756294/AlZw1jxV_normal.jpg</v>
      </c>
      <c r="G172" s="66"/>
      <c r="H172" s="70" t="s">
        <v>344</v>
      </c>
      <c r="I172" s="71" t="s">
        <v>4406</v>
      </c>
      <c r="J172" s="71" t="s">
        <v>73</v>
      </c>
      <c r="K172" s="70" t="s">
        <v>1980</v>
      </c>
      <c r="L172" s="74">
        <v>1</v>
      </c>
      <c r="M172" s="75">
        <v>1100.10400390625</v>
      </c>
      <c r="N172" s="75">
        <v>469.22125244140625</v>
      </c>
      <c r="O172" s="76"/>
      <c r="P172" s="77"/>
      <c r="Q172" s="77"/>
      <c r="R172" s="104"/>
      <c r="S172" s="49">
        <v>0</v>
      </c>
      <c r="T172" s="49">
        <v>1</v>
      </c>
      <c r="U172" s="50">
        <v>0</v>
      </c>
      <c r="V172" s="50">
        <v>0.221474</v>
      </c>
      <c r="W172" s="50">
        <v>0.084107</v>
      </c>
      <c r="X172" s="50">
        <v>0.003763</v>
      </c>
      <c r="Y172" s="50">
        <v>0</v>
      </c>
      <c r="Z172" s="50">
        <v>0</v>
      </c>
      <c r="AA172" s="72">
        <v>172</v>
      </c>
      <c r="AB172" s="72"/>
      <c r="AC172" s="73"/>
      <c r="AD172" s="89" t="s">
        <v>1336</v>
      </c>
      <c r="AE172" s="96" t="s">
        <v>1534</v>
      </c>
      <c r="AF172" s="89">
        <v>1669</v>
      </c>
      <c r="AG172" s="89">
        <v>1747</v>
      </c>
      <c r="AH172" s="89">
        <v>94628</v>
      </c>
      <c r="AI172" s="89">
        <v>163363</v>
      </c>
      <c r="AJ172" s="89"/>
      <c r="AK172" s="89" t="s">
        <v>1716</v>
      </c>
      <c r="AL172" s="89" t="s">
        <v>1802</v>
      </c>
      <c r="AM172" s="89"/>
      <c r="AN172" s="89"/>
      <c r="AO172" s="92">
        <v>43039.46876157408</v>
      </c>
      <c r="AP172" s="99" t="str">
        <f>HYPERLINK("https://pbs.twimg.com/profile_banners/925320196432244736/1642230230")</f>
        <v>https://pbs.twimg.com/profile_banners/925320196432244736/1642230230</v>
      </c>
      <c r="AQ172" s="89" t="b">
        <v>1</v>
      </c>
      <c r="AR172" s="89" t="b">
        <v>0</v>
      </c>
      <c r="AS172" s="89" t="b">
        <v>0</v>
      </c>
      <c r="AT172" s="89"/>
      <c r="AU172" s="89">
        <v>11</v>
      </c>
      <c r="AV172" s="89"/>
      <c r="AW172" s="89" t="b">
        <v>0</v>
      </c>
      <c r="AX172" s="89" t="s">
        <v>1811</v>
      </c>
      <c r="AY172" s="99" t="str">
        <f>HYPERLINK("https://twitter.com/madetojastig")</f>
        <v>https://twitter.com/madetojastig</v>
      </c>
      <c r="AZ172" s="89" t="s">
        <v>66</v>
      </c>
      <c r="BA172" s="89" t="str">
        <f>REPLACE(INDEX(GroupVertices[Group],MATCH(Vertices[[#This Row],[Vertex]],GroupVertices[Vertex],0)),1,1,"")</f>
        <v>1</v>
      </c>
      <c r="BB172" s="49">
        <v>0</v>
      </c>
      <c r="BC172" s="50">
        <v>0</v>
      </c>
      <c r="BD172" s="49">
        <v>0</v>
      </c>
      <c r="BE172" s="50">
        <v>0</v>
      </c>
      <c r="BF172" s="49">
        <v>0</v>
      </c>
      <c r="BG172" s="50">
        <v>0</v>
      </c>
      <c r="BH172" s="49">
        <v>16</v>
      </c>
      <c r="BI172" s="50">
        <v>100</v>
      </c>
      <c r="BJ172" s="49">
        <v>16</v>
      </c>
      <c r="BK172" s="49"/>
      <c r="BL172" s="49"/>
      <c r="BM172" s="49"/>
      <c r="BN172" s="49"/>
      <c r="BO172" s="49"/>
      <c r="BP172" s="49"/>
      <c r="BQ172" s="123" t="s">
        <v>4247</v>
      </c>
      <c r="BR172" s="123" t="s">
        <v>4247</v>
      </c>
      <c r="BS172" s="123" t="s">
        <v>4336</v>
      </c>
      <c r="BT172" s="123" t="s">
        <v>4336</v>
      </c>
      <c r="BU172" s="2"/>
      <c r="BV172" s="3"/>
      <c r="BW172" s="3"/>
      <c r="BX172" s="3"/>
      <c r="BY172" s="3"/>
    </row>
    <row r="173" spans="1:77" ht="15">
      <c r="A173" s="65" t="s">
        <v>345</v>
      </c>
      <c r="B173" s="66"/>
      <c r="C173" s="66" t="s">
        <v>46</v>
      </c>
      <c r="D173" s="67"/>
      <c r="E173" s="69"/>
      <c r="F173" s="111" t="str">
        <f>HYPERLINK("https://pbs.twimg.com/profile_images/1381607773956374531/xMyIqLWA_normal.jpg")</f>
        <v>https://pbs.twimg.com/profile_images/1381607773956374531/xMyIqLWA_normal.jpg</v>
      </c>
      <c r="G173" s="66"/>
      <c r="H173" s="70" t="s">
        <v>345</v>
      </c>
      <c r="I173" s="71" t="s">
        <v>4415</v>
      </c>
      <c r="J173" s="71" t="s">
        <v>73</v>
      </c>
      <c r="K173" s="70" t="s">
        <v>1981</v>
      </c>
      <c r="L173" s="74">
        <v>1</v>
      </c>
      <c r="M173" s="75">
        <v>6634.9736328125</v>
      </c>
      <c r="N173" s="75">
        <v>8145.3505859375</v>
      </c>
      <c r="O173" s="76"/>
      <c r="P173" s="77"/>
      <c r="Q173" s="77"/>
      <c r="R173" s="104"/>
      <c r="S173" s="49">
        <v>0</v>
      </c>
      <c r="T173" s="49">
        <v>1</v>
      </c>
      <c r="U173" s="50">
        <v>0</v>
      </c>
      <c r="V173" s="50">
        <v>0.15672</v>
      </c>
      <c r="W173" s="50">
        <v>0.005332</v>
      </c>
      <c r="X173" s="50">
        <v>0.003795</v>
      </c>
      <c r="Y173" s="50">
        <v>0</v>
      </c>
      <c r="Z173" s="50">
        <v>0</v>
      </c>
      <c r="AA173" s="72">
        <v>173</v>
      </c>
      <c r="AB173" s="72"/>
      <c r="AC173" s="73"/>
      <c r="AD173" s="89" t="s">
        <v>1337</v>
      </c>
      <c r="AE173" s="96" t="s">
        <v>1535</v>
      </c>
      <c r="AF173" s="89">
        <v>1745</v>
      </c>
      <c r="AG173" s="89">
        <v>687</v>
      </c>
      <c r="AH173" s="89">
        <v>7068</v>
      </c>
      <c r="AI173" s="89">
        <v>15042</v>
      </c>
      <c r="AJ173" s="89"/>
      <c r="AK173" s="89" t="s">
        <v>1717</v>
      </c>
      <c r="AL173" s="89" t="s">
        <v>1140</v>
      </c>
      <c r="AM173" s="89"/>
      <c r="AN173" s="89"/>
      <c r="AO173" s="92">
        <v>40805.8309375</v>
      </c>
      <c r="AP173" s="99" t="str">
        <f>HYPERLINK("https://pbs.twimg.com/profile_banners/376383821/1638092956")</f>
        <v>https://pbs.twimg.com/profile_banners/376383821/1638092956</v>
      </c>
      <c r="AQ173" s="89" t="b">
        <v>0</v>
      </c>
      <c r="AR173" s="89" t="b">
        <v>0</v>
      </c>
      <c r="AS173" s="89" t="b">
        <v>1</v>
      </c>
      <c r="AT173" s="89"/>
      <c r="AU173" s="89">
        <v>1</v>
      </c>
      <c r="AV173" s="99" t="str">
        <f>HYPERLINK("https://abs.twimg.com/images/themes/theme18/bg.gif")</f>
        <v>https://abs.twimg.com/images/themes/theme18/bg.gif</v>
      </c>
      <c r="AW173" s="89" t="b">
        <v>0</v>
      </c>
      <c r="AX173" s="89" t="s">
        <v>1811</v>
      </c>
      <c r="AY173" s="99" t="str">
        <f>HYPERLINK("https://twitter.com/p_suvi")</f>
        <v>https://twitter.com/p_suvi</v>
      </c>
      <c r="AZ173" s="89" t="s">
        <v>66</v>
      </c>
      <c r="BA173" s="89" t="str">
        <f>REPLACE(INDEX(GroupVertices[Group],MATCH(Vertices[[#This Row],[Vertex]],GroupVertices[Vertex],0)),1,1,"")</f>
        <v>5</v>
      </c>
      <c r="BB173" s="49">
        <v>0</v>
      </c>
      <c r="BC173" s="50">
        <v>0</v>
      </c>
      <c r="BD173" s="49">
        <v>0</v>
      </c>
      <c r="BE173" s="50">
        <v>0</v>
      </c>
      <c r="BF173" s="49">
        <v>0</v>
      </c>
      <c r="BG173" s="50">
        <v>0</v>
      </c>
      <c r="BH173" s="49">
        <v>13</v>
      </c>
      <c r="BI173" s="50">
        <v>100</v>
      </c>
      <c r="BJ173" s="49">
        <v>13</v>
      </c>
      <c r="BK173" s="49" t="s">
        <v>3913</v>
      </c>
      <c r="BL173" s="49" t="s">
        <v>3913</v>
      </c>
      <c r="BM173" s="49" t="s">
        <v>554</v>
      </c>
      <c r="BN173" s="49" t="s">
        <v>554</v>
      </c>
      <c r="BO173" s="49"/>
      <c r="BP173" s="49"/>
      <c r="BQ173" s="123" t="s">
        <v>4245</v>
      </c>
      <c r="BR173" s="123" t="s">
        <v>4245</v>
      </c>
      <c r="BS173" s="123" t="s">
        <v>4365</v>
      </c>
      <c r="BT173" s="123" t="s">
        <v>4365</v>
      </c>
      <c r="BU173" s="2"/>
      <c r="BV173" s="3"/>
      <c r="BW173" s="3"/>
      <c r="BX173" s="3"/>
      <c r="BY173" s="3"/>
    </row>
    <row r="174" spans="1:77" ht="15">
      <c r="A174" s="65" t="s">
        <v>441</v>
      </c>
      <c r="B174" s="66"/>
      <c r="C174" s="66" t="s">
        <v>64</v>
      </c>
      <c r="D174" s="67">
        <v>322.3102280178714</v>
      </c>
      <c r="E174" s="69"/>
      <c r="F174" s="111" t="str">
        <f>HYPERLINK("https://pbs.twimg.com/profile_images/1477307466945867776/FORfYqhj_normal.jpg")</f>
        <v>https://pbs.twimg.com/profile_images/1477307466945867776/FORfYqhj_normal.jpg</v>
      </c>
      <c r="G174" s="66"/>
      <c r="H174" s="70" t="s">
        <v>441</v>
      </c>
      <c r="I174" s="71" t="s">
        <v>4415</v>
      </c>
      <c r="J174" s="71" t="s">
        <v>75</v>
      </c>
      <c r="K174" s="70" t="s">
        <v>1982</v>
      </c>
      <c r="L174" s="74">
        <v>400.92</v>
      </c>
      <c r="M174" s="75">
        <v>7925.12451171875</v>
      </c>
      <c r="N174" s="75">
        <v>6006.9912109375</v>
      </c>
      <c r="O174" s="76"/>
      <c r="P174" s="77"/>
      <c r="Q174" s="77"/>
      <c r="R174" s="104"/>
      <c r="S174" s="49">
        <v>2</v>
      </c>
      <c r="T174" s="49">
        <v>0</v>
      </c>
      <c r="U174" s="50">
        <v>0</v>
      </c>
      <c r="V174" s="50">
        <v>0.19375</v>
      </c>
      <c r="W174" s="50">
        <v>0.016173</v>
      </c>
      <c r="X174" s="50">
        <v>0.004</v>
      </c>
      <c r="Y174" s="50">
        <v>0.5</v>
      </c>
      <c r="Z174" s="50">
        <v>0</v>
      </c>
      <c r="AA174" s="72">
        <v>174</v>
      </c>
      <c r="AB174" s="72"/>
      <c r="AC174" s="73"/>
      <c r="AD174" s="89" t="s">
        <v>1338</v>
      </c>
      <c r="AE174" s="96" t="s">
        <v>1120</v>
      </c>
      <c r="AF174" s="89">
        <v>69</v>
      </c>
      <c r="AG174" s="89">
        <v>13</v>
      </c>
      <c r="AH174" s="89">
        <v>184</v>
      </c>
      <c r="AI174" s="89">
        <v>328</v>
      </c>
      <c r="AJ174" s="89"/>
      <c r="AK174" s="89" t="s">
        <v>1718</v>
      </c>
      <c r="AL174" s="89"/>
      <c r="AM174" s="89"/>
      <c r="AN174" s="89"/>
      <c r="AO174" s="92">
        <v>44562.661469907405</v>
      </c>
      <c r="AP174" s="99" t="str">
        <f>HYPERLINK("https://pbs.twimg.com/profile_banners/1477306427903463425/1642345259")</f>
        <v>https://pbs.twimg.com/profile_banners/1477306427903463425/1642345259</v>
      </c>
      <c r="AQ174" s="89" t="b">
        <v>1</v>
      </c>
      <c r="AR174" s="89" t="b">
        <v>0</v>
      </c>
      <c r="AS174" s="89" t="b">
        <v>0</v>
      </c>
      <c r="AT174" s="89"/>
      <c r="AU174" s="89">
        <v>0</v>
      </c>
      <c r="AV174" s="89"/>
      <c r="AW174" s="89" t="b">
        <v>0</v>
      </c>
      <c r="AX174" s="89" t="s">
        <v>1811</v>
      </c>
      <c r="AY174" s="99" t="str">
        <f>HYPERLINK("https://twitter.com/kuttaperkka")</f>
        <v>https://twitter.com/kuttaperkka</v>
      </c>
      <c r="AZ174" s="89" t="s">
        <v>65</v>
      </c>
      <c r="BA174" s="89"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347</v>
      </c>
      <c r="B175" s="66"/>
      <c r="C175" s="66" t="s">
        <v>46</v>
      </c>
      <c r="D175" s="67"/>
      <c r="E175" s="69"/>
      <c r="F175" s="111" t="str">
        <f>HYPERLINK("https://pbs.twimg.com/profile_images/1469267063055294466/BE6dp6mM_normal.jpg")</f>
        <v>https://pbs.twimg.com/profile_images/1469267063055294466/BE6dp6mM_normal.jpg</v>
      </c>
      <c r="G175" s="66"/>
      <c r="H175" s="70" t="s">
        <v>347</v>
      </c>
      <c r="I175" s="71" t="s">
        <v>4415</v>
      </c>
      <c r="J175" s="71" t="s">
        <v>73</v>
      </c>
      <c r="K175" s="70" t="s">
        <v>1983</v>
      </c>
      <c r="L175" s="74">
        <v>1</v>
      </c>
      <c r="M175" s="75">
        <v>7775.10498046875</v>
      </c>
      <c r="N175" s="75">
        <v>5573.2138671875</v>
      </c>
      <c r="O175" s="76"/>
      <c r="P175" s="77"/>
      <c r="Q175" s="77"/>
      <c r="R175" s="104"/>
      <c r="S175" s="49">
        <v>0</v>
      </c>
      <c r="T175" s="49">
        <v>3</v>
      </c>
      <c r="U175" s="50">
        <v>510.305361</v>
      </c>
      <c r="V175" s="50">
        <v>0.226946</v>
      </c>
      <c r="W175" s="50">
        <v>0.090739</v>
      </c>
      <c r="X175" s="50">
        <v>0.004174</v>
      </c>
      <c r="Y175" s="50">
        <v>0.16666666666666666</v>
      </c>
      <c r="Z175" s="50">
        <v>0</v>
      </c>
      <c r="AA175" s="72">
        <v>175</v>
      </c>
      <c r="AB175" s="72"/>
      <c r="AC175" s="73"/>
      <c r="AD175" s="89" t="s">
        <v>1339</v>
      </c>
      <c r="AE175" s="96" t="s">
        <v>1536</v>
      </c>
      <c r="AF175" s="89">
        <v>341</v>
      </c>
      <c r="AG175" s="89">
        <v>298</v>
      </c>
      <c r="AH175" s="89">
        <v>27815</v>
      </c>
      <c r="AI175" s="89">
        <v>62586</v>
      </c>
      <c r="AJ175" s="89"/>
      <c r="AK175" s="89"/>
      <c r="AL175" s="89"/>
      <c r="AM175" s="89"/>
      <c r="AN175" s="89"/>
      <c r="AO175" s="92">
        <v>43273.1646412037</v>
      </c>
      <c r="AP175" s="89"/>
      <c r="AQ175" s="89" t="b">
        <v>1</v>
      </c>
      <c r="AR175" s="89" t="b">
        <v>0</v>
      </c>
      <c r="AS175" s="89" t="b">
        <v>0</v>
      </c>
      <c r="AT175" s="89"/>
      <c r="AU175" s="89">
        <v>0</v>
      </c>
      <c r="AV175" s="89"/>
      <c r="AW175" s="89" t="b">
        <v>0</v>
      </c>
      <c r="AX175" s="89" t="s">
        <v>1811</v>
      </c>
      <c r="AY175" s="99" t="str">
        <f>HYPERLINK("https://twitter.com/kolarirauno")</f>
        <v>https://twitter.com/kolarirauno</v>
      </c>
      <c r="AZ175" s="89" t="s">
        <v>66</v>
      </c>
      <c r="BA175" s="89" t="str">
        <f>REPLACE(INDEX(GroupVertices[Group],MATCH(Vertices[[#This Row],[Vertex]],GroupVertices[Vertex],0)),1,1,"")</f>
        <v>5</v>
      </c>
      <c r="BB175" s="49">
        <v>0</v>
      </c>
      <c r="BC175" s="50">
        <v>0</v>
      </c>
      <c r="BD175" s="49">
        <v>0</v>
      </c>
      <c r="BE175" s="50">
        <v>0</v>
      </c>
      <c r="BF175" s="49">
        <v>0</v>
      </c>
      <c r="BG175" s="50">
        <v>0</v>
      </c>
      <c r="BH175" s="49">
        <v>29</v>
      </c>
      <c r="BI175" s="50">
        <v>100</v>
      </c>
      <c r="BJ175" s="49">
        <v>29</v>
      </c>
      <c r="BK175" s="49"/>
      <c r="BL175" s="49"/>
      <c r="BM175" s="49"/>
      <c r="BN175" s="49"/>
      <c r="BO175" s="49"/>
      <c r="BP175" s="49"/>
      <c r="BQ175" s="123" t="s">
        <v>4247</v>
      </c>
      <c r="BR175" s="123" t="s">
        <v>4294</v>
      </c>
      <c r="BS175" s="123" t="s">
        <v>4336</v>
      </c>
      <c r="BT175" s="123" t="s">
        <v>4400</v>
      </c>
      <c r="BU175" s="2"/>
      <c r="BV175" s="3"/>
      <c r="BW175" s="3"/>
      <c r="BX175" s="3"/>
      <c r="BY175" s="3"/>
    </row>
    <row r="176" spans="1:77" ht="15">
      <c r="A176" s="65" t="s">
        <v>348</v>
      </c>
      <c r="B176" s="66"/>
      <c r="C176" s="66" t="s">
        <v>46</v>
      </c>
      <c r="D176" s="67">
        <v>10</v>
      </c>
      <c r="E176" s="69"/>
      <c r="F176" s="111" t="str">
        <f>HYPERLINK("https://pbs.twimg.com/profile_images/1406255953834647553/kTY0vIRK_normal.jpg")</f>
        <v>https://pbs.twimg.com/profile_images/1406255953834647553/kTY0vIRK_normal.jpg</v>
      </c>
      <c r="G176" s="66"/>
      <c r="H176" s="70" t="s">
        <v>348</v>
      </c>
      <c r="I176" s="71" t="s">
        <v>4410</v>
      </c>
      <c r="J176" s="71" t="s">
        <v>73</v>
      </c>
      <c r="K176" s="70" t="s">
        <v>1984</v>
      </c>
      <c r="L176" s="74">
        <v>200.96</v>
      </c>
      <c r="M176" s="75">
        <v>4583.52783203125</v>
      </c>
      <c r="N176" s="75">
        <v>7723.2294921875</v>
      </c>
      <c r="O176" s="76"/>
      <c r="P176" s="77"/>
      <c r="Q176" s="77"/>
      <c r="R176" s="104"/>
      <c r="S176" s="49">
        <v>1</v>
      </c>
      <c r="T176" s="49">
        <v>1</v>
      </c>
      <c r="U176" s="50">
        <v>0</v>
      </c>
      <c r="V176" s="50">
        <v>0</v>
      </c>
      <c r="W176" s="50">
        <v>0</v>
      </c>
      <c r="X176" s="50">
        <v>0.004329</v>
      </c>
      <c r="Y176" s="50">
        <v>0</v>
      </c>
      <c r="Z176" s="50">
        <v>0</v>
      </c>
      <c r="AA176" s="72">
        <v>176</v>
      </c>
      <c r="AB176" s="72"/>
      <c r="AC176" s="73"/>
      <c r="AD176" s="89" t="s">
        <v>1340</v>
      </c>
      <c r="AE176" s="96" t="s">
        <v>1537</v>
      </c>
      <c r="AF176" s="89">
        <v>825</v>
      </c>
      <c r="AG176" s="89">
        <v>1132</v>
      </c>
      <c r="AH176" s="89">
        <v>40453</v>
      </c>
      <c r="AI176" s="89">
        <v>32419</v>
      </c>
      <c r="AJ176" s="89"/>
      <c r="AK176" s="89" t="s">
        <v>1719</v>
      </c>
      <c r="AL176" s="89" t="s">
        <v>1803</v>
      </c>
      <c r="AM176" s="89"/>
      <c r="AN176" s="89"/>
      <c r="AO176" s="92">
        <v>41855.64341435185</v>
      </c>
      <c r="AP176" s="99" t="str">
        <f>HYPERLINK("https://pbs.twimg.com/profile_banners/2706787130/1606858856")</f>
        <v>https://pbs.twimg.com/profile_banners/2706787130/1606858856</v>
      </c>
      <c r="AQ176" s="89" t="b">
        <v>0</v>
      </c>
      <c r="AR176" s="89" t="b">
        <v>0</v>
      </c>
      <c r="AS176" s="89" t="b">
        <v>0</v>
      </c>
      <c r="AT176" s="89"/>
      <c r="AU176" s="89">
        <v>3</v>
      </c>
      <c r="AV176" s="99" t="str">
        <f>HYPERLINK("https://abs.twimg.com/images/themes/theme1/bg.png")</f>
        <v>https://abs.twimg.com/images/themes/theme1/bg.png</v>
      </c>
      <c r="AW176" s="89" t="b">
        <v>0</v>
      </c>
      <c r="AX176" s="89" t="s">
        <v>1811</v>
      </c>
      <c r="AY176" s="99" t="str">
        <f>HYPERLINK("https://twitter.com/runkgren")</f>
        <v>https://twitter.com/runkgren</v>
      </c>
      <c r="AZ176" s="89" t="s">
        <v>66</v>
      </c>
      <c r="BA176" s="89" t="str">
        <f>REPLACE(INDEX(GroupVertices[Group],MATCH(Vertices[[#This Row],[Vertex]],GroupVertices[Vertex],0)),1,1,"")</f>
        <v>7</v>
      </c>
      <c r="BB176" s="49">
        <v>0</v>
      </c>
      <c r="BC176" s="50">
        <v>0</v>
      </c>
      <c r="BD176" s="49">
        <v>0</v>
      </c>
      <c r="BE176" s="50">
        <v>0</v>
      </c>
      <c r="BF176" s="49">
        <v>0</v>
      </c>
      <c r="BG176" s="50">
        <v>0</v>
      </c>
      <c r="BH176" s="49">
        <v>11</v>
      </c>
      <c r="BI176" s="50">
        <v>100</v>
      </c>
      <c r="BJ176" s="49">
        <v>11</v>
      </c>
      <c r="BK176" s="49" t="s">
        <v>3914</v>
      </c>
      <c r="BL176" s="49" t="s">
        <v>3914</v>
      </c>
      <c r="BM176" s="49" t="s">
        <v>549</v>
      </c>
      <c r="BN176" s="49" t="s">
        <v>549</v>
      </c>
      <c r="BO176" s="49"/>
      <c r="BP176" s="49"/>
      <c r="BQ176" s="123" t="s">
        <v>4254</v>
      </c>
      <c r="BR176" s="123" t="s">
        <v>4254</v>
      </c>
      <c r="BS176" s="123" t="s">
        <v>4373</v>
      </c>
      <c r="BT176" s="123" t="s">
        <v>4373</v>
      </c>
      <c r="BU176" s="2"/>
      <c r="BV176" s="3"/>
      <c r="BW176" s="3"/>
      <c r="BX176" s="3"/>
      <c r="BY176" s="3"/>
    </row>
    <row r="177" spans="1:77" ht="15">
      <c r="A177" s="65" t="s">
        <v>350</v>
      </c>
      <c r="B177" s="66"/>
      <c r="C177" s="66" t="s">
        <v>46</v>
      </c>
      <c r="D177" s="67"/>
      <c r="E177" s="69"/>
      <c r="F177" s="111" t="str">
        <f>HYPERLINK("https://pbs.twimg.com/profile_images/1304076284671258626/Aqh8vkLb_normal.jpg")</f>
        <v>https://pbs.twimg.com/profile_images/1304076284671258626/Aqh8vkLb_normal.jpg</v>
      </c>
      <c r="G177" s="66"/>
      <c r="H177" s="70" t="s">
        <v>350</v>
      </c>
      <c r="I177" s="71" t="s">
        <v>4407</v>
      </c>
      <c r="J177" s="71" t="s">
        <v>73</v>
      </c>
      <c r="K177" s="70" t="s">
        <v>1985</v>
      </c>
      <c r="L177" s="74">
        <v>1</v>
      </c>
      <c r="M177" s="75">
        <v>8871.390625</v>
      </c>
      <c r="N177" s="75">
        <v>8814.9873046875</v>
      </c>
      <c r="O177" s="76"/>
      <c r="P177" s="77"/>
      <c r="Q177" s="77"/>
      <c r="R177" s="104"/>
      <c r="S177" s="49">
        <v>0</v>
      </c>
      <c r="T177" s="49">
        <v>3</v>
      </c>
      <c r="U177" s="50">
        <v>2470.79589</v>
      </c>
      <c r="V177" s="50">
        <v>0.26697</v>
      </c>
      <c r="W177" s="50">
        <v>0.123357</v>
      </c>
      <c r="X177" s="50">
        <v>0.003946</v>
      </c>
      <c r="Y177" s="50">
        <v>0</v>
      </c>
      <c r="Z177" s="50">
        <v>0</v>
      </c>
      <c r="AA177" s="72">
        <v>177</v>
      </c>
      <c r="AB177" s="72"/>
      <c r="AC177" s="73"/>
      <c r="AD177" s="89" t="s">
        <v>1341</v>
      </c>
      <c r="AE177" s="96" t="s">
        <v>1538</v>
      </c>
      <c r="AF177" s="89">
        <v>3580</v>
      </c>
      <c r="AG177" s="89">
        <v>1270</v>
      </c>
      <c r="AH177" s="89">
        <v>82873</v>
      </c>
      <c r="AI177" s="89">
        <v>134085</v>
      </c>
      <c r="AJ177" s="89"/>
      <c r="AK177" s="89" t="s">
        <v>1720</v>
      </c>
      <c r="AL177" s="89"/>
      <c r="AM177" s="89"/>
      <c r="AN177" s="89"/>
      <c r="AO177" s="92">
        <v>44084.634884259256</v>
      </c>
      <c r="AP177" s="89"/>
      <c r="AQ177" s="89" t="b">
        <v>1</v>
      </c>
      <c r="AR177" s="89" t="b">
        <v>0</v>
      </c>
      <c r="AS177" s="89" t="b">
        <v>0</v>
      </c>
      <c r="AT177" s="89"/>
      <c r="AU177" s="89">
        <v>8</v>
      </c>
      <c r="AV177" s="89"/>
      <c r="AW177" s="89" t="b">
        <v>0</v>
      </c>
      <c r="AX177" s="89" t="s">
        <v>1811</v>
      </c>
      <c r="AY177" s="99" t="str">
        <f>HYPERLINK("https://twitter.com/takapirulainen")</f>
        <v>https://twitter.com/takapirulainen</v>
      </c>
      <c r="AZ177" s="89" t="s">
        <v>66</v>
      </c>
      <c r="BA177" s="89" t="str">
        <f>REPLACE(INDEX(GroupVertices[Group],MATCH(Vertices[[#This Row],[Vertex]],GroupVertices[Vertex],0)),1,1,"")</f>
        <v>6</v>
      </c>
      <c r="BB177" s="49">
        <v>0</v>
      </c>
      <c r="BC177" s="50">
        <v>0</v>
      </c>
      <c r="BD177" s="49">
        <v>0</v>
      </c>
      <c r="BE177" s="50">
        <v>0</v>
      </c>
      <c r="BF177" s="49">
        <v>0</v>
      </c>
      <c r="BG177" s="50">
        <v>0</v>
      </c>
      <c r="BH177" s="49">
        <v>73</v>
      </c>
      <c r="BI177" s="50">
        <v>100</v>
      </c>
      <c r="BJ177" s="49">
        <v>73</v>
      </c>
      <c r="BK177" s="49"/>
      <c r="BL177" s="49"/>
      <c r="BM177" s="49"/>
      <c r="BN177" s="49"/>
      <c r="BO177" s="49" t="s">
        <v>555</v>
      </c>
      <c r="BP177" s="49" t="s">
        <v>555</v>
      </c>
      <c r="BQ177" s="123" t="s">
        <v>4255</v>
      </c>
      <c r="BR177" s="123" t="s">
        <v>4297</v>
      </c>
      <c r="BS177" s="123" t="s">
        <v>4367</v>
      </c>
      <c r="BT177" s="123" t="s">
        <v>4401</v>
      </c>
      <c r="BU177" s="2"/>
      <c r="BV177" s="3"/>
      <c r="BW177" s="3"/>
      <c r="BX177" s="3"/>
      <c r="BY177" s="3"/>
    </row>
    <row r="178" spans="1:77" ht="15">
      <c r="A178" s="65" t="s">
        <v>351</v>
      </c>
      <c r="B178" s="66"/>
      <c r="C178" s="66" t="s">
        <v>46</v>
      </c>
      <c r="D178" s="67"/>
      <c r="E178" s="69"/>
      <c r="F178" s="111" t="str">
        <f>HYPERLINK("https://pbs.twimg.com/profile_images/1251457200570150912/0J9N8j3q_normal.jpg")</f>
        <v>https://pbs.twimg.com/profile_images/1251457200570150912/0J9N8j3q_normal.jpg</v>
      </c>
      <c r="G178" s="66"/>
      <c r="H178" s="70" t="s">
        <v>351</v>
      </c>
      <c r="I178" s="71" t="s">
        <v>4406</v>
      </c>
      <c r="J178" s="71" t="s">
        <v>73</v>
      </c>
      <c r="K178" s="70" t="s">
        <v>1986</v>
      </c>
      <c r="L178" s="74">
        <v>1</v>
      </c>
      <c r="M178" s="75">
        <v>172.5302276611328</v>
      </c>
      <c r="N178" s="75">
        <v>3351.93408203125</v>
      </c>
      <c r="O178" s="76"/>
      <c r="P178" s="77"/>
      <c r="Q178" s="77"/>
      <c r="R178" s="104"/>
      <c r="S178" s="49">
        <v>0</v>
      </c>
      <c r="T178" s="49">
        <v>1</v>
      </c>
      <c r="U178" s="50">
        <v>0</v>
      </c>
      <c r="V178" s="50">
        <v>0.221474</v>
      </c>
      <c r="W178" s="50">
        <v>0.084107</v>
      </c>
      <c r="X178" s="50">
        <v>0.003763</v>
      </c>
      <c r="Y178" s="50">
        <v>0</v>
      </c>
      <c r="Z178" s="50">
        <v>0</v>
      </c>
      <c r="AA178" s="72">
        <v>178</v>
      </c>
      <c r="AB178" s="72"/>
      <c r="AC178" s="73"/>
      <c r="AD178" s="89" t="s">
        <v>1342</v>
      </c>
      <c r="AE178" s="96" t="s">
        <v>1539</v>
      </c>
      <c r="AF178" s="89">
        <v>343</v>
      </c>
      <c r="AG178" s="89">
        <v>357</v>
      </c>
      <c r="AH178" s="89">
        <v>56205</v>
      </c>
      <c r="AI178" s="89">
        <v>101500</v>
      </c>
      <c r="AJ178" s="89"/>
      <c r="AK178" s="89" t="s">
        <v>1721</v>
      </c>
      <c r="AL178" s="89"/>
      <c r="AM178" s="89"/>
      <c r="AN178" s="89"/>
      <c r="AO178" s="92">
        <v>42707.65121527778</v>
      </c>
      <c r="AP178" s="89"/>
      <c r="AQ178" s="89" t="b">
        <v>1</v>
      </c>
      <c r="AR178" s="89" t="b">
        <v>0</v>
      </c>
      <c r="AS178" s="89" t="b">
        <v>0</v>
      </c>
      <c r="AT178" s="89"/>
      <c r="AU178" s="89">
        <v>0</v>
      </c>
      <c r="AV178" s="89"/>
      <c r="AW178" s="89" t="b">
        <v>0</v>
      </c>
      <c r="AX178" s="89" t="s">
        <v>1811</v>
      </c>
      <c r="AY178" s="99" t="str">
        <f>HYPERLINK("https://twitter.com/markkulaitinen3")</f>
        <v>https://twitter.com/markkulaitinen3</v>
      </c>
      <c r="AZ178" s="89" t="s">
        <v>66</v>
      </c>
      <c r="BA178" s="89" t="str">
        <f>REPLACE(INDEX(GroupVertices[Group],MATCH(Vertices[[#This Row],[Vertex]],GroupVertices[Vertex],0)),1,1,"")</f>
        <v>1</v>
      </c>
      <c r="BB178" s="49">
        <v>0</v>
      </c>
      <c r="BC178" s="50">
        <v>0</v>
      </c>
      <c r="BD178" s="49">
        <v>0</v>
      </c>
      <c r="BE178" s="50">
        <v>0</v>
      </c>
      <c r="BF178" s="49">
        <v>0</v>
      </c>
      <c r="BG178" s="50">
        <v>0</v>
      </c>
      <c r="BH178" s="49">
        <v>16</v>
      </c>
      <c r="BI178" s="50">
        <v>100</v>
      </c>
      <c r="BJ178" s="49">
        <v>16</v>
      </c>
      <c r="BK178" s="49"/>
      <c r="BL178" s="49"/>
      <c r="BM178" s="49"/>
      <c r="BN178" s="49"/>
      <c r="BO178" s="49"/>
      <c r="BP178" s="49"/>
      <c r="BQ178" s="123" t="s">
        <v>4247</v>
      </c>
      <c r="BR178" s="123" t="s">
        <v>4247</v>
      </c>
      <c r="BS178" s="123" t="s">
        <v>4336</v>
      </c>
      <c r="BT178" s="123" t="s">
        <v>4336</v>
      </c>
      <c r="BU178" s="2"/>
      <c r="BV178" s="3"/>
      <c r="BW178" s="3"/>
      <c r="BX178" s="3"/>
      <c r="BY178" s="3"/>
    </row>
    <row r="179" spans="1:77" ht="15">
      <c r="A179" s="65" t="s">
        <v>352</v>
      </c>
      <c r="B179" s="66"/>
      <c r="C179" s="66" t="s">
        <v>46</v>
      </c>
      <c r="D179" s="67"/>
      <c r="E179" s="69"/>
      <c r="F179" s="111" t="str">
        <f>HYPERLINK("https://pbs.twimg.com/profile_images/1162399021962604547/ZLBD-2mu_normal.jpg")</f>
        <v>https://pbs.twimg.com/profile_images/1162399021962604547/ZLBD-2mu_normal.jpg</v>
      </c>
      <c r="G179" s="66"/>
      <c r="H179" s="70" t="s">
        <v>352</v>
      </c>
      <c r="I179" s="71" t="s">
        <v>4406</v>
      </c>
      <c r="J179" s="71" t="s">
        <v>73</v>
      </c>
      <c r="K179" s="70" t="s">
        <v>1987</v>
      </c>
      <c r="L179" s="74">
        <v>1</v>
      </c>
      <c r="M179" s="75">
        <v>132.96531677246094</v>
      </c>
      <c r="N179" s="75">
        <v>2075.904052734375</v>
      </c>
      <c r="O179" s="76"/>
      <c r="P179" s="77"/>
      <c r="Q179" s="77"/>
      <c r="R179" s="104"/>
      <c r="S179" s="49">
        <v>0</v>
      </c>
      <c r="T179" s="49">
        <v>1</v>
      </c>
      <c r="U179" s="50">
        <v>0</v>
      </c>
      <c r="V179" s="50">
        <v>0.221474</v>
      </c>
      <c r="W179" s="50">
        <v>0.084107</v>
      </c>
      <c r="X179" s="50">
        <v>0.003763</v>
      </c>
      <c r="Y179" s="50">
        <v>0</v>
      </c>
      <c r="Z179" s="50">
        <v>0</v>
      </c>
      <c r="AA179" s="72">
        <v>179</v>
      </c>
      <c r="AB179" s="72"/>
      <c r="AC179" s="73"/>
      <c r="AD179" s="89" t="s">
        <v>1343</v>
      </c>
      <c r="AE179" s="96" t="s">
        <v>1540</v>
      </c>
      <c r="AF179" s="89">
        <v>270</v>
      </c>
      <c r="AG179" s="89">
        <v>303</v>
      </c>
      <c r="AH179" s="89">
        <v>25858</v>
      </c>
      <c r="AI179" s="89">
        <v>94414</v>
      </c>
      <c r="AJ179" s="89"/>
      <c r="AK179" s="89" t="s">
        <v>1722</v>
      </c>
      <c r="AL179" s="89"/>
      <c r="AM179" s="89"/>
      <c r="AN179" s="89"/>
      <c r="AO179" s="92">
        <v>43693.67864583333</v>
      </c>
      <c r="AP179" s="89"/>
      <c r="AQ179" s="89" t="b">
        <v>1</v>
      </c>
      <c r="AR179" s="89" t="b">
        <v>0</v>
      </c>
      <c r="AS179" s="89" t="b">
        <v>0</v>
      </c>
      <c r="AT179" s="89"/>
      <c r="AU179" s="89">
        <v>0</v>
      </c>
      <c r="AV179" s="89"/>
      <c r="AW179" s="89" t="b">
        <v>0</v>
      </c>
      <c r="AX179" s="89" t="s">
        <v>1811</v>
      </c>
      <c r="AY179" s="99" t="str">
        <f>HYPERLINK("https://twitter.com/puntti2")</f>
        <v>https://twitter.com/puntti2</v>
      </c>
      <c r="AZ179" s="89" t="s">
        <v>66</v>
      </c>
      <c r="BA179" s="89" t="str">
        <f>REPLACE(INDEX(GroupVertices[Group],MATCH(Vertices[[#This Row],[Vertex]],GroupVertices[Vertex],0)),1,1,"")</f>
        <v>1</v>
      </c>
      <c r="BB179" s="49">
        <v>0</v>
      </c>
      <c r="BC179" s="50">
        <v>0</v>
      </c>
      <c r="BD179" s="49">
        <v>0</v>
      </c>
      <c r="BE179" s="50">
        <v>0</v>
      </c>
      <c r="BF179" s="49">
        <v>0</v>
      </c>
      <c r="BG179" s="50">
        <v>0</v>
      </c>
      <c r="BH179" s="49">
        <v>4</v>
      </c>
      <c r="BI179" s="50">
        <v>100</v>
      </c>
      <c r="BJ179" s="49">
        <v>4</v>
      </c>
      <c r="BK179" s="49"/>
      <c r="BL179" s="49"/>
      <c r="BM179" s="49"/>
      <c r="BN179" s="49"/>
      <c r="BO179" s="49"/>
      <c r="BP179" s="49"/>
      <c r="BQ179" s="123" t="s">
        <v>4240</v>
      </c>
      <c r="BR179" s="123" t="s">
        <v>4240</v>
      </c>
      <c r="BS179" s="123" t="s">
        <v>4360</v>
      </c>
      <c r="BT179" s="123" t="s">
        <v>4360</v>
      </c>
      <c r="BU179" s="2"/>
      <c r="BV179" s="3"/>
      <c r="BW179" s="3"/>
      <c r="BX179" s="3"/>
      <c r="BY179" s="3"/>
    </row>
    <row r="180" spans="1:77" ht="15">
      <c r="A180" s="65" t="s">
        <v>353</v>
      </c>
      <c r="B180" s="66"/>
      <c r="C180" s="66" t="s">
        <v>46</v>
      </c>
      <c r="D180" s="67"/>
      <c r="E180" s="69"/>
      <c r="F180" s="111" t="str">
        <f>HYPERLINK("https://pbs.twimg.com/profile_images/647489598994673664/lFKSTMdl_normal.jpg")</f>
        <v>https://pbs.twimg.com/profile_images/647489598994673664/lFKSTMdl_normal.jpg</v>
      </c>
      <c r="G180" s="66"/>
      <c r="H180" s="70" t="s">
        <v>353</v>
      </c>
      <c r="I180" s="71" t="s">
        <v>4420</v>
      </c>
      <c r="J180" s="71" t="s">
        <v>73</v>
      </c>
      <c r="K180" s="70" t="s">
        <v>1988</v>
      </c>
      <c r="L180" s="74">
        <v>1</v>
      </c>
      <c r="M180" s="75">
        <v>8084.2978515625</v>
      </c>
      <c r="N180" s="75">
        <v>1522.0960693359375</v>
      </c>
      <c r="O180" s="76"/>
      <c r="P180" s="77"/>
      <c r="Q180" s="77"/>
      <c r="R180" s="104"/>
      <c r="S180" s="49">
        <v>0</v>
      </c>
      <c r="T180" s="49">
        <v>1</v>
      </c>
      <c r="U180" s="50">
        <v>0</v>
      </c>
      <c r="V180" s="50">
        <v>0.005797</v>
      </c>
      <c r="W180" s="50">
        <v>0</v>
      </c>
      <c r="X180" s="50">
        <v>0.003935</v>
      </c>
      <c r="Y180" s="50">
        <v>0</v>
      </c>
      <c r="Z180" s="50">
        <v>0</v>
      </c>
      <c r="AA180" s="72">
        <v>180</v>
      </c>
      <c r="AB180" s="72"/>
      <c r="AC180" s="73"/>
      <c r="AD180" s="89" t="s">
        <v>1344</v>
      </c>
      <c r="AE180" s="96" t="s">
        <v>1541</v>
      </c>
      <c r="AF180" s="89">
        <v>2163</v>
      </c>
      <c r="AG180" s="89">
        <v>727</v>
      </c>
      <c r="AH180" s="89">
        <v>47316</v>
      </c>
      <c r="AI180" s="89">
        <v>47889</v>
      </c>
      <c r="AJ180" s="89"/>
      <c r="AK180" s="89" t="s">
        <v>1723</v>
      </c>
      <c r="AL180" s="89"/>
      <c r="AM180" s="89"/>
      <c r="AN180" s="89"/>
      <c r="AO180" s="92">
        <v>42272.8009375</v>
      </c>
      <c r="AP180" s="99" t="str">
        <f>HYPERLINK("https://pbs.twimg.com/profile_banners/3774033743/1446106478")</f>
        <v>https://pbs.twimg.com/profile_banners/3774033743/1446106478</v>
      </c>
      <c r="AQ180" s="89" t="b">
        <v>1</v>
      </c>
      <c r="AR180" s="89" t="b">
        <v>0</v>
      </c>
      <c r="AS180" s="89" t="b">
        <v>0</v>
      </c>
      <c r="AT180" s="89"/>
      <c r="AU180" s="89">
        <v>6</v>
      </c>
      <c r="AV180" s="99" t="str">
        <f>HYPERLINK("https://abs.twimg.com/images/themes/theme1/bg.png")</f>
        <v>https://abs.twimg.com/images/themes/theme1/bg.png</v>
      </c>
      <c r="AW180" s="89" t="b">
        <v>0</v>
      </c>
      <c r="AX180" s="89" t="s">
        <v>1811</v>
      </c>
      <c r="AY180" s="99" t="str">
        <f>HYPERLINK("https://twitter.com/raivoroosna")</f>
        <v>https://twitter.com/raivoroosna</v>
      </c>
      <c r="AZ180" s="89" t="s">
        <v>66</v>
      </c>
      <c r="BA180" s="89" t="str">
        <f>REPLACE(INDEX(GroupVertices[Group],MATCH(Vertices[[#This Row],[Vertex]],GroupVertices[Vertex],0)),1,1,"")</f>
        <v>11</v>
      </c>
      <c r="BB180" s="49">
        <v>0</v>
      </c>
      <c r="BC180" s="50">
        <v>0</v>
      </c>
      <c r="BD180" s="49">
        <v>0</v>
      </c>
      <c r="BE180" s="50">
        <v>0</v>
      </c>
      <c r="BF180" s="49">
        <v>0</v>
      </c>
      <c r="BG180" s="50">
        <v>0</v>
      </c>
      <c r="BH180" s="49">
        <v>33</v>
      </c>
      <c r="BI180" s="50">
        <v>100</v>
      </c>
      <c r="BJ180" s="49">
        <v>33</v>
      </c>
      <c r="BK180" s="49" t="s">
        <v>3914</v>
      </c>
      <c r="BL180" s="49" t="s">
        <v>3914</v>
      </c>
      <c r="BM180" s="49" t="s">
        <v>549</v>
      </c>
      <c r="BN180" s="49" t="s">
        <v>549</v>
      </c>
      <c r="BO180" s="49"/>
      <c r="BP180" s="49"/>
      <c r="BQ180" s="123" t="s">
        <v>4256</v>
      </c>
      <c r="BR180" s="123" t="s">
        <v>4256</v>
      </c>
      <c r="BS180" s="123" t="s">
        <v>4374</v>
      </c>
      <c r="BT180" s="123" t="s">
        <v>4374</v>
      </c>
      <c r="BU180" s="2"/>
      <c r="BV180" s="3"/>
      <c r="BW180" s="3"/>
      <c r="BX180" s="3"/>
      <c r="BY180" s="3"/>
    </row>
    <row r="181" spans="1:77" ht="15">
      <c r="A181" s="65" t="s">
        <v>356</v>
      </c>
      <c r="B181" s="66"/>
      <c r="C181" s="66" t="s">
        <v>64</v>
      </c>
      <c r="D181" s="67">
        <v>505</v>
      </c>
      <c r="E181" s="69"/>
      <c r="F181" s="111" t="str">
        <f>HYPERLINK("https://pbs.twimg.com/profile_images/1432994832289513472/lp4o16hm_normal.jpg")</f>
        <v>https://pbs.twimg.com/profile_images/1432994832289513472/lp4o16hm_normal.jpg</v>
      </c>
      <c r="G181" s="66"/>
      <c r="H181" s="70" t="s">
        <v>356</v>
      </c>
      <c r="I181" s="71" t="s">
        <v>4420</v>
      </c>
      <c r="J181" s="71" t="s">
        <v>73</v>
      </c>
      <c r="K181" s="70" t="s">
        <v>1989</v>
      </c>
      <c r="L181" s="74">
        <v>600.88</v>
      </c>
      <c r="M181" s="75">
        <v>8084.2978515625</v>
      </c>
      <c r="N181" s="75">
        <v>491.75408935546875</v>
      </c>
      <c r="O181" s="76"/>
      <c r="P181" s="77"/>
      <c r="Q181" s="77"/>
      <c r="R181" s="104"/>
      <c r="S181" s="49">
        <v>3</v>
      </c>
      <c r="T181" s="49">
        <v>1</v>
      </c>
      <c r="U181" s="50">
        <v>2</v>
      </c>
      <c r="V181" s="50">
        <v>0.008696</v>
      </c>
      <c r="W181" s="50">
        <v>0</v>
      </c>
      <c r="X181" s="50">
        <v>0.005116</v>
      </c>
      <c r="Y181" s="50">
        <v>0</v>
      </c>
      <c r="Z181" s="50">
        <v>0</v>
      </c>
      <c r="AA181" s="72">
        <v>181</v>
      </c>
      <c r="AB181" s="72"/>
      <c r="AC181" s="73"/>
      <c r="AD181" s="89" t="s">
        <v>1345</v>
      </c>
      <c r="AE181" s="96" t="s">
        <v>1542</v>
      </c>
      <c r="AF181" s="89">
        <v>446</v>
      </c>
      <c r="AG181" s="89">
        <v>8078</v>
      </c>
      <c r="AH181" s="89">
        <v>33548</v>
      </c>
      <c r="AI181" s="89">
        <v>52871</v>
      </c>
      <c r="AJ181" s="89"/>
      <c r="AK181" s="89" t="s">
        <v>1724</v>
      </c>
      <c r="AL181" s="89" t="s">
        <v>1140</v>
      </c>
      <c r="AM181" s="99" t="str">
        <f>HYPERLINK("https://t.co/wn3phAcfK8")</f>
        <v>https://t.co/wn3phAcfK8</v>
      </c>
      <c r="AN181" s="89"/>
      <c r="AO181" s="92">
        <v>40021.84230324074</v>
      </c>
      <c r="AP181" s="99" t="str">
        <f>HYPERLINK("https://pbs.twimg.com/profile_banners/60696848/1630487681")</f>
        <v>https://pbs.twimg.com/profile_banners/60696848/1630487681</v>
      </c>
      <c r="AQ181" s="89" t="b">
        <v>0</v>
      </c>
      <c r="AR181" s="89" t="b">
        <v>0</v>
      </c>
      <c r="AS181" s="89" t="b">
        <v>1</v>
      </c>
      <c r="AT181" s="89"/>
      <c r="AU181" s="89">
        <v>39</v>
      </c>
      <c r="AV181" s="99" t="str">
        <f>HYPERLINK("https://abs.twimg.com/images/themes/theme9/bg.gif")</f>
        <v>https://abs.twimg.com/images/themes/theme9/bg.gif</v>
      </c>
      <c r="AW181" s="89" t="b">
        <v>0</v>
      </c>
      <c r="AX181" s="89" t="s">
        <v>1811</v>
      </c>
      <c r="AY181" s="99" t="str">
        <f>HYPERLINK("https://twitter.com/keronen")</f>
        <v>https://twitter.com/keronen</v>
      </c>
      <c r="AZ181" s="89" t="s">
        <v>66</v>
      </c>
      <c r="BA181" s="89" t="str">
        <f>REPLACE(INDEX(GroupVertices[Group],MATCH(Vertices[[#This Row],[Vertex]],GroupVertices[Vertex],0)),1,1,"")</f>
        <v>11</v>
      </c>
      <c r="BB181" s="49">
        <v>0</v>
      </c>
      <c r="BC181" s="50">
        <v>0</v>
      </c>
      <c r="BD181" s="49">
        <v>0</v>
      </c>
      <c r="BE181" s="50">
        <v>0</v>
      </c>
      <c r="BF181" s="49">
        <v>0</v>
      </c>
      <c r="BG181" s="50">
        <v>0</v>
      </c>
      <c r="BH181" s="49">
        <v>33</v>
      </c>
      <c r="BI181" s="50">
        <v>100</v>
      </c>
      <c r="BJ181" s="49">
        <v>33</v>
      </c>
      <c r="BK181" s="49" t="s">
        <v>3914</v>
      </c>
      <c r="BL181" s="49" t="s">
        <v>3914</v>
      </c>
      <c r="BM181" s="49" t="s">
        <v>549</v>
      </c>
      <c r="BN181" s="49" t="s">
        <v>549</v>
      </c>
      <c r="BO181" s="49"/>
      <c r="BP181" s="49"/>
      <c r="BQ181" s="123" t="s">
        <v>4256</v>
      </c>
      <c r="BR181" s="123" t="s">
        <v>4256</v>
      </c>
      <c r="BS181" s="123" t="s">
        <v>4374</v>
      </c>
      <c r="BT181" s="123" t="s">
        <v>4374</v>
      </c>
      <c r="BU181" s="2"/>
      <c r="BV181" s="3"/>
      <c r="BW181" s="3"/>
      <c r="BX181" s="3"/>
      <c r="BY181" s="3"/>
    </row>
    <row r="182" spans="1:77" ht="15">
      <c r="A182" s="65" t="s">
        <v>354</v>
      </c>
      <c r="B182" s="66"/>
      <c r="C182" s="66" t="s">
        <v>46</v>
      </c>
      <c r="D182" s="67"/>
      <c r="E182" s="69"/>
      <c r="F182" s="111" t="str">
        <f>HYPERLINK("https://pbs.twimg.com/profile_images/1091597651689308161/_qm58uie_normal.jpg")</f>
        <v>https://pbs.twimg.com/profile_images/1091597651689308161/_qm58uie_normal.jpg</v>
      </c>
      <c r="G182" s="66"/>
      <c r="H182" s="70" t="s">
        <v>354</v>
      </c>
      <c r="I182" s="71" t="s">
        <v>4421</v>
      </c>
      <c r="J182" s="71" t="s">
        <v>73</v>
      </c>
      <c r="K182" s="70" t="s">
        <v>1990</v>
      </c>
      <c r="L182" s="74">
        <v>1</v>
      </c>
      <c r="M182" s="75">
        <v>8084.2978515625</v>
      </c>
      <c r="N182" s="75">
        <v>3301.777587890625</v>
      </c>
      <c r="O182" s="76"/>
      <c r="P182" s="77"/>
      <c r="Q182" s="77"/>
      <c r="R182" s="104"/>
      <c r="S182" s="49">
        <v>0</v>
      </c>
      <c r="T182" s="49">
        <v>1</v>
      </c>
      <c r="U182" s="50">
        <v>0</v>
      </c>
      <c r="V182" s="50">
        <v>0.005797</v>
      </c>
      <c r="W182" s="50">
        <v>0</v>
      </c>
      <c r="X182" s="50">
        <v>0.004047</v>
      </c>
      <c r="Y182" s="50">
        <v>0</v>
      </c>
      <c r="Z182" s="50">
        <v>0</v>
      </c>
      <c r="AA182" s="72">
        <v>182</v>
      </c>
      <c r="AB182" s="72"/>
      <c r="AC182" s="73"/>
      <c r="AD182" s="89" t="s">
        <v>1346</v>
      </c>
      <c r="AE182" s="96" t="s">
        <v>1543</v>
      </c>
      <c r="AF182" s="89">
        <v>828</v>
      </c>
      <c r="AG182" s="89">
        <v>575</v>
      </c>
      <c r="AH182" s="89">
        <v>26402</v>
      </c>
      <c r="AI182" s="89">
        <v>48022</v>
      </c>
      <c r="AJ182" s="89"/>
      <c r="AK182" s="89"/>
      <c r="AL182" s="89"/>
      <c r="AM182" s="89"/>
      <c r="AN182" s="89"/>
      <c r="AO182" s="92">
        <v>42510.50643518518</v>
      </c>
      <c r="AP182" s="99" t="str">
        <f>HYPERLINK("https://pbs.twimg.com/profile_banners/733630669067292672/1553056501")</f>
        <v>https://pbs.twimg.com/profile_banners/733630669067292672/1553056501</v>
      </c>
      <c r="AQ182" s="89" t="b">
        <v>1</v>
      </c>
      <c r="AR182" s="89" t="b">
        <v>0</v>
      </c>
      <c r="AS182" s="89" t="b">
        <v>0</v>
      </c>
      <c r="AT182" s="89"/>
      <c r="AU182" s="89">
        <v>3</v>
      </c>
      <c r="AV182" s="89"/>
      <c r="AW182" s="89" t="b">
        <v>0</v>
      </c>
      <c r="AX182" s="89" t="s">
        <v>1811</v>
      </c>
      <c r="AY182" s="99" t="str">
        <f>HYPERLINK("https://twitter.com/tksyrjanen")</f>
        <v>https://twitter.com/tksyrjanen</v>
      </c>
      <c r="AZ182" s="89" t="s">
        <v>66</v>
      </c>
      <c r="BA182" s="89" t="str">
        <f>REPLACE(INDEX(GroupVertices[Group],MATCH(Vertices[[#This Row],[Vertex]],GroupVertices[Vertex],0)),1,1,"")</f>
        <v>10</v>
      </c>
      <c r="BB182" s="49">
        <v>0</v>
      </c>
      <c r="BC182" s="50">
        <v>0</v>
      </c>
      <c r="BD182" s="49">
        <v>0</v>
      </c>
      <c r="BE182" s="50">
        <v>0</v>
      </c>
      <c r="BF182" s="49">
        <v>0</v>
      </c>
      <c r="BG182" s="50">
        <v>0</v>
      </c>
      <c r="BH182" s="49">
        <v>34</v>
      </c>
      <c r="BI182" s="50">
        <v>100</v>
      </c>
      <c r="BJ182" s="49">
        <v>34</v>
      </c>
      <c r="BK182" s="49"/>
      <c r="BL182" s="49"/>
      <c r="BM182" s="49"/>
      <c r="BN182" s="49"/>
      <c r="BO182" s="49"/>
      <c r="BP182" s="49"/>
      <c r="BQ182" s="123" t="s">
        <v>4257</v>
      </c>
      <c r="BR182" s="123" t="s">
        <v>4257</v>
      </c>
      <c r="BS182" s="123" t="s">
        <v>4375</v>
      </c>
      <c r="BT182" s="123" t="s">
        <v>4375</v>
      </c>
      <c r="BU182" s="2"/>
      <c r="BV182" s="3"/>
      <c r="BW182" s="3"/>
      <c r="BX182" s="3"/>
      <c r="BY182" s="3"/>
    </row>
    <row r="183" spans="1:77" ht="15">
      <c r="A183" s="65" t="s">
        <v>364</v>
      </c>
      <c r="B183" s="66"/>
      <c r="C183" s="66" t="s">
        <v>46</v>
      </c>
      <c r="D183" s="67">
        <v>10</v>
      </c>
      <c r="E183" s="69"/>
      <c r="F183" s="111" t="str">
        <f>HYPERLINK("https://pbs.twimg.com/profile_images/1451420844228587520/WoxEmxO-_normal.jpg")</f>
        <v>https://pbs.twimg.com/profile_images/1451420844228587520/WoxEmxO-_normal.jpg</v>
      </c>
      <c r="G183" s="66"/>
      <c r="H183" s="70" t="s">
        <v>364</v>
      </c>
      <c r="I183" s="71" t="s">
        <v>4421</v>
      </c>
      <c r="J183" s="71" t="s">
        <v>73</v>
      </c>
      <c r="K183" s="70" t="s">
        <v>1991</v>
      </c>
      <c r="L183" s="74">
        <v>200.96</v>
      </c>
      <c r="M183" s="75">
        <v>8084.2978515625</v>
      </c>
      <c r="N183" s="75">
        <v>2786.6064453125</v>
      </c>
      <c r="O183" s="76"/>
      <c r="P183" s="77"/>
      <c r="Q183" s="77"/>
      <c r="R183" s="104"/>
      <c r="S183" s="49">
        <v>1</v>
      </c>
      <c r="T183" s="49">
        <v>1</v>
      </c>
      <c r="U183" s="50">
        <v>2</v>
      </c>
      <c r="V183" s="50">
        <v>0.008696</v>
      </c>
      <c r="W183" s="50">
        <v>0</v>
      </c>
      <c r="X183" s="50">
        <v>0.004894</v>
      </c>
      <c r="Y183" s="50">
        <v>0</v>
      </c>
      <c r="Z183" s="50">
        <v>0</v>
      </c>
      <c r="AA183" s="72">
        <v>183</v>
      </c>
      <c r="AB183" s="72"/>
      <c r="AC183" s="73"/>
      <c r="AD183" s="89" t="s">
        <v>1347</v>
      </c>
      <c r="AE183" s="96" t="s">
        <v>1121</v>
      </c>
      <c r="AF183" s="89">
        <v>451</v>
      </c>
      <c r="AG183" s="89">
        <v>2337</v>
      </c>
      <c r="AH183" s="89">
        <v>41291</v>
      </c>
      <c r="AI183" s="89">
        <v>34530</v>
      </c>
      <c r="AJ183" s="89"/>
      <c r="AK183" s="89" t="s">
        <v>1725</v>
      </c>
      <c r="AL183" s="89" t="s">
        <v>1804</v>
      </c>
      <c r="AM183" s="99" t="str">
        <f>HYPERLINK("https://t.co/196PQdQlSH")</f>
        <v>https://t.co/196PQdQlSH</v>
      </c>
      <c r="AN183" s="89"/>
      <c r="AO183" s="92">
        <v>42681.79472222222</v>
      </c>
      <c r="AP183" s="99" t="str">
        <f>HYPERLINK("https://pbs.twimg.com/profile_banners/795703466207432704/1636015671")</f>
        <v>https://pbs.twimg.com/profile_banners/795703466207432704/1636015671</v>
      </c>
      <c r="AQ183" s="89" t="b">
        <v>0</v>
      </c>
      <c r="AR183" s="89" t="b">
        <v>0</v>
      </c>
      <c r="AS183" s="89" t="b">
        <v>1</v>
      </c>
      <c r="AT183" s="89"/>
      <c r="AU183" s="89">
        <v>9</v>
      </c>
      <c r="AV183" s="99" t="str">
        <f>HYPERLINK("https://abs.twimg.com/images/themes/theme1/bg.png")</f>
        <v>https://abs.twimg.com/images/themes/theme1/bg.png</v>
      </c>
      <c r="AW183" s="89" t="b">
        <v>0</v>
      </c>
      <c r="AX183" s="89" t="s">
        <v>1811</v>
      </c>
      <c r="AY183" s="99" t="str">
        <f>HYPERLINK("https://twitter.com/akikivirinta")</f>
        <v>https://twitter.com/akikivirinta</v>
      </c>
      <c r="AZ183" s="89" t="s">
        <v>66</v>
      </c>
      <c r="BA183" s="89" t="str">
        <f>REPLACE(INDEX(GroupVertices[Group],MATCH(Vertices[[#This Row],[Vertex]],GroupVertices[Vertex],0)),1,1,"")</f>
        <v>10</v>
      </c>
      <c r="BB183" s="49">
        <v>0</v>
      </c>
      <c r="BC183" s="50">
        <v>0</v>
      </c>
      <c r="BD183" s="49">
        <v>0</v>
      </c>
      <c r="BE183" s="50">
        <v>0</v>
      </c>
      <c r="BF183" s="49">
        <v>0</v>
      </c>
      <c r="BG183" s="50">
        <v>0</v>
      </c>
      <c r="BH183" s="49">
        <v>32</v>
      </c>
      <c r="BI183" s="50">
        <v>100</v>
      </c>
      <c r="BJ183" s="49">
        <v>32</v>
      </c>
      <c r="BK183" s="49"/>
      <c r="BL183" s="49"/>
      <c r="BM183" s="49"/>
      <c r="BN183" s="49"/>
      <c r="BO183" s="49"/>
      <c r="BP183" s="49"/>
      <c r="BQ183" s="123" t="s">
        <v>4258</v>
      </c>
      <c r="BR183" s="123" t="s">
        <v>4258</v>
      </c>
      <c r="BS183" s="123" t="s">
        <v>4376</v>
      </c>
      <c r="BT183" s="123" t="s">
        <v>4376</v>
      </c>
      <c r="BU183" s="2"/>
      <c r="BV183" s="3"/>
      <c r="BW183" s="3"/>
      <c r="BX183" s="3"/>
      <c r="BY183" s="3"/>
    </row>
    <row r="184" spans="1:77" ht="15">
      <c r="A184" s="65" t="s">
        <v>355</v>
      </c>
      <c r="B184" s="66"/>
      <c r="C184" s="66" t="s">
        <v>46</v>
      </c>
      <c r="D184" s="67"/>
      <c r="E184" s="69"/>
      <c r="F184" s="111" t="str">
        <f>HYPERLINK("https://pbs.twimg.com/profile_images/1445725170417553412/NOF2iLcp_normal.jpg")</f>
        <v>https://pbs.twimg.com/profile_images/1445725170417553412/NOF2iLcp_normal.jpg</v>
      </c>
      <c r="G184" s="66"/>
      <c r="H184" s="70" t="s">
        <v>355</v>
      </c>
      <c r="I184" s="71" t="s">
        <v>4406</v>
      </c>
      <c r="J184" s="71" t="s">
        <v>73</v>
      </c>
      <c r="K184" s="70" t="s">
        <v>1992</v>
      </c>
      <c r="L184" s="74">
        <v>1</v>
      </c>
      <c r="M184" s="75">
        <v>2163.670166015625</v>
      </c>
      <c r="N184" s="75">
        <v>2049.177001953125</v>
      </c>
      <c r="O184" s="76"/>
      <c r="P184" s="77"/>
      <c r="Q184" s="77"/>
      <c r="R184" s="104"/>
      <c r="S184" s="49">
        <v>0</v>
      </c>
      <c r="T184" s="49">
        <v>1</v>
      </c>
      <c r="U184" s="50">
        <v>0</v>
      </c>
      <c r="V184" s="50">
        <v>0.221474</v>
      </c>
      <c r="W184" s="50">
        <v>0.084107</v>
      </c>
      <c r="X184" s="50">
        <v>0.003763</v>
      </c>
      <c r="Y184" s="50">
        <v>0</v>
      </c>
      <c r="Z184" s="50">
        <v>0</v>
      </c>
      <c r="AA184" s="72">
        <v>184</v>
      </c>
      <c r="AB184" s="72"/>
      <c r="AC184" s="73"/>
      <c r="AD184" s="89" t="s">
        <v>1348</v>
      </c>
      <c r="AE184" s="96" t="s">
        <v>1544</v>
      </c>
      <c r="AF184" s="89">
        <v>778</v>
      </c>
      <c r="AG184" s="89">
        <v>446</v>
      </c>
      <c r="AH184" s="89">
        <v>46164</v>
      </c>
      <c r="AI184" s="89">
        <v>91713</v>
      </c>
      <c r="AJ184" s="89"/>
      <c r="AK184" s="89" t="s">
        <v>1726</v>
      </c>
      <c r="AL184" s="89"/>
      <c r="AM184" s="89"/>
      <c r="AN184" s="89"/>
      <c r="AO184" s="92">
        <v>43346.44045138889</v>
      </c>
      <c r="AP184" s="99" t="str">
        <f>HYPERLINK("https://pbs.twimg.com/profile_banners/1036563014005268480/1641549989")</f>
        <v>https://pbs.twimg.com/profile_banners/1036563014005268480/1641549989</v>
      </c>
      <c r="AQ184" s="89" t="b">
        <v>1</v>
      </c>
      <c r="AR184" s="89" t="b">
        <v>0</v>
      </c>
      <c r="AS184" s="89" t="b">
        <v>0</v>
      </c>
      <c r="AT184" s="89"/>
      <c r="AU184" s="89">
        <v>1</v>
      </c>
      <c r="AV184" s="89"/>
      <c r="AW184" s="89" t="b">
        <v>0</v>
      </c>
      <c r="AX184" s="89" t="s">
        <v>1811</v>
      </c>
      <c r="AY184" s="99" t="str">
        <f>HYPERLINK("https://twitter.com/hpolkki")</f>
        <v>https://twitter.com/hpolkki</v>
      </c>
      <c r="AZ184" s="89" t="s">
        <v>66</v>
      </c>
      <c r="BA184" s="89" t="str">
        <f>REPLACE(INDEX(GroupVertices[Group],MATCH(Vertices[[#This Row],[Vertex]],GroupVertices[Vertex],0)),1,1,"")</f>
        <v>1</v>
      </c>
      <c r="BB184" s="49">
        <v>0</v>
      </c>
      <c r="BC184" s="50">
        <v>0</v>
      </c>
      <c r="BD184" s="49">
        <v>0</v>
      </c>
      <c r="BE184" s="50">
        <v>0</v>
      </c>
      <c r="BF184" s="49">
        <v>0</v>
      </c>
      <c r="BG184" s="50">
        <v>0</v>
      </c>
      <c r="BH184" s="49">
        <v>20</v>
      </c>
      <c r="BI184" s="50">
        <v>100</v>
      </c>
      <c r="BJ184" s="49">
        <v>20</v>
      </c>
      <c r="BK184" s="49"/>
      <c r="BL184" s="49"/>
      <c r="BM184" s="49"/>
      <c r="BN184" s="49"/>
      <c r="BO184" s="49"/>
      <c r="BP184" s="49"/>
      <c r="BQ184" s="123" t="s">
        <v>4248</v>
      </c>
      <c r="BR184" s="123" t="s">
        <v>4295</v>
      </c>
      <c r="BS184" s="123" t="s">
        <v>4367</v>
      </c>
      <c r="BT184" s="123" t="s">
        <v>4401</v>
      </c>
      <c r="BU184" s="2"/>
      <c r="BV184" s="3"/>
      <c r="BW184" s="3"/>
      <c r="BX184" s="3"/>
      <c r="BY184" s="3"/>
    </row>
    <row r="185" spans="1:77" ht="15">
      <c r="A185" s="65" t="s">
        <v>357</v>
      </c>
      <c r="B185" s="66"/>
      <c r="C185" s="66" t="s">
        <v>46</v>
      </c>
      <c r="D185" s="67"/>
      <c r="E185" s="69"/>
      <c r="F185" s="111" t="str">
        <f>HYPERLINK("https://pbs.twimg.com/profile_images/1462473745440854021/f39vlCp7_normal.jpg")</f>
        <v>https://pbs.twimg.com/profile_images/1462473745440854021/f39vlCp7_normal.jpg</v>
      </c>
      <c r="G185" s="66"/>
      <c r="H185" s="70" t="s">
        <v>357</v>
      </c>
      <c r="I185" s="71" t="s">
        <v>4420</v>
      </c>
      <c r="J185" s="71" t="s">
        <v>73</v>
      </c>
      <c r="K185" s="70" t="s">
        <v>1993</v>
      </c>
      <c r="L185" s="74">
        <v>1</v>
      </c>
      <c r="M185" s="75">
        <v>8084.2978515625</v>
      </c>
      <c r="N185" s="75">
        <v>1006.925048828125</v>
      </c>
      <c r="O185" s="76"/>
      <c r="P185" s="77"/>
      <c r="Q185" s="77"/>
      <c r="R185" s="104"/>
      <c r="S185" s="49">
        <v>0</v>
      </c>
      <c r="T185" s="49">
        <v>1</v>
      </c>
      <c r="U185" s="50">
        <v>0</v>
      </c>
      <c r="V185" s="50">
        <v>0.005797</v>
      </c>
      <c r="W185" s="50">
        <v>0</v>
      </c>
      <c r="X185" s="50">
        <v>0.003935</v>
      </c>
      <c r="Y185" s="50">
        <v>0</v>
      </c>
      <c r="Z185" s="50">
        <v>0</v>
      </c>
      <c r="AA185" s="72">
        <v>185</v>
      </c>
      <c r="AB185" s="72"/>
      <c r="AC185" s="73"/>
      <c r="AD185" s="89" t="s">
        <v>1349</v>
      </c>
      <c r="AE185" s="96" t="s">
        <v>1545</v>
      </c>
      <c r="AF185" s="89">
        <v>302</v>
      </c>
      <c r="AG185" s="89">
        <v>121</v>
      </c>
      <c r="AH185" s="89">
        <v>3351</v>
      </c>
      <c r="AI185" s="89">
        <v>6765</v>
      </c>
      <c r="AJ185" s="89"/>
      <c r="AK185" s="89" t="s">
        <v>1727</v>
      </c>
      <c r="AL185" s="89" t="s">
        <v>1140</v>
      </c>
      <c r="AM185" s="99" t="str">
        <f>HYPERLINK("https://t.co/i9MIo6LMc1")</f>
        <v>https://t.co/i9MIo6LMc1</v>
      </c>
      <c r="AN185" s="89"/>
      <c r="AO185" s="92">
        <v>40540.4681712963</v>
      </c>
      <c r="AP185" s="99" t="str">
        <f>HYPERLINK("https://pbs.twimg.com/profile_banners/231387124/1637515888")</f>
        <v>https://pbs.twimg.com/profile_banners/231387124/1637515888</v>
      </c>
      <c r="AQ185" s="89" t="b">
        <v>0</v>
      </c>
      <c r="AR185" s="89" t="b">
        <v>0</v>
      </c>
      <c r="AS185" s="89" t="b">
        <v>0</v>
      </c>
      <c r="AT185" s="89"/>
      <c r="AU185" s="89">
        <v>0</v>
      </c>
      <c r="AV185" s="99" t="str">
        <f>HYPERLINK("https://abs.twimg.com/images/themes/theme1/bg.png")</f>
        <v>https://abs.twimg.com/images/themes/theme1/bg.png</v>
      </c>
      <c r="AW185" s="89" t="b">
        <v>0</v>
      </c>
      <c r="AX185" s="89" t="s">
        <v>1811</v>
      </c>
      <c r="AY185" s="99" t="str">
        <f>HYPERLINK("https://twitter.com/karihirvi")</f>
        <v>https://twitter.com/karihirvi</v>
      </c>
      <c r="AZ185" s="89" t="s">
        <v>66</v>
      </c>
      <c r="BA185" s="89" t="str">
        <f>REPLACE(INDEX(GroupVertices[Group],MATCH(Vertices[[#This Row],[Vertex]],GroupVertices[Vertex],0)),1,1,"")</f>
        <v>11</v>
      </c>
      <c r="BB185" s="49">
        <v>0</v>
      </c>
      <c r="BC185" s="50">
        <v>0</v>
      </c>
      <c r="BD185" s="49">
        <v>0</v>
      </c>
      <c r="BE185" s="50">
        <v>0</v>
      </c>
      <c r="BF185" s="49">
        <v>0</v>
      </c>
      <c r="BG185" s="50">
        <v>0</v>
      </c>
      <c r="BH185" s="49">
        <v>33</v>
      </c>
      <c r="BI185" s="50">
        <v>100</v>
      </c>
      <c r="BJ185" s="49">
        <v>33</v>
      </c>
      <c r="BK185" s="49" t="s">
        <v>3914</v>
      </c>
      <c r="BL185" s="49" t="s">
        <v>3914</v>
      </c>
      <c r="BM185" s="49" t="s">
        <v>549</v>
      </c>
      <c r="BN185" s="49" t="s">
        <v>549</v>
      </c>
      <c r="BO185" s="49"/>
      <c r="BP185" s="49"/>
      <c r="BQ185" s="123" t="s">
        <v>4256</v>
      </c>
      <c r="BR185" s="123" t="s">
        <v>4256</v>
      </c>
      <c r="BS185" s="123" t="s">
        <v>4374</v>
      </c>
      <c r="BT185" s="123" t="s">
        <v>4374</v>
      </c>
      <c r="BU185" s="2"/>
      <c r="BV185" s="3"/>
      <c r="BW185" s="3"/>
      <c r="BX185" s="3"/>
      <c r="BY185" s="3"/>
    </row>
    <row r="186" spans="1:77" ht="15">
      <c r="A186" s="65" t="s">
        <v>358</v>
      </c>
      <c r="B186" s="66"/>
      <c r="C186" s="66" t="s">
        <v>46</v>
      </c>
      <c r="D186" s="67"/>
      <c r="E186" s="69"/>
      <c r="F186" s="111" t="str">
        <f>HYPERLINK("https://pbs.twimg.com/profile_images/956860707638824961/YoJFNXU2_normal.jpg")</f>
        <v>https://pbs.twimg.com/profile_images/956860707638824961/YoJFNXU2_normal.jpg</v>
      </c>
      <c r="G186" s="66"/>
      <c r="H186" s="70" t="s">
        <v>358</v>
      </c>
      <c r="I186" s="71" t="s">
        <v>4406</v>
      </c>
      <c r="J186" s="71" t="s">
        <v>73</v>
      </c>
      <c r="K186" s="70" t="s">
        <v>1994</v>
      </c>
      <c r="L186" s="74">
        <v>1</v>
      </c>
      <c r="M186" s="75">
        <v>2345.189697265625</v>
      </c>
      <c r="N186" s="75">
        <v>4012.648681640625</v>
      </c>
      <c r="O186" s="76"/>
      <c r="P186" s="77"/>
      <c r="Q186" s="77"/>
      <c r="R186" s="104"/>
      <c r="S186" s="49">
        <v>0</v>
      </c>
      <c r="T186" s="49">
        <v>1</v>
      </c>
      <c r="U186" s="50">
        <v>0</v>
      </c>
      <c r="V186" s="50">
        <v>0.221474</v>
      </c>
      <c r="W186" s="50">
        <v>0.084107</v>
      </c>
      <c r="X186" s="50">
        <v>0.003763</v>
      </c>
      <c r="Y186" s="50">
        <v>0</v>
      </c>
      <c r="Z186" s="50">
        <v>0</v>
      </c>
      <c r="AA186" s="72">
        <v>186</v>
      </c>
      <c r="AB186" s="72"/>
      <c r="AC186" s="73"/>
      <c r="AD186" s="89" t="s">
        <v>1350</v>
      </c>
      <c r="AE186" s="96" t="s">
        <v>1546</v>
      </c>
      <c r="AF186" s="89">
        <v>265</v>
      </c>
      <c r="AG186" s="89">
        <v>468</v>
      </c>
      <c r="AH186" s="89">
        <v>53875</v>
      </c>
      <c r="AI186" s="89">
        <v>33518</v>
      </c>
      <c r="AJ186" s="89"/>
      <c r="AK186" s="89" t="s">
        <v>1728</v>
      </c>
      <c r="AL186" s="89" t="s">
        <v>1805</v>
      </c>
      <c r="AM186" s="99" t="str">
        <f>HYPERLINK("https://t.co/Q22v2gwVi8")</f>
        <v>https://t.co/Q22v2gwVi8</v>
      </c>
      <c r="AN186" s="89"/>
      <c r="AO186" s="92">
        <v>42981.47547453704</v>
      </c>
      <c r="AP186" s="99" t="str">
        <f>HYPERLINK("https://pbs.twimg.com/profile_banners/904304135360708610/1516968411")</f>
        <v>https://pbs.twimg.com/profile_banners/904304135360708610/1516968411</v>
      </c>
      <c r="AQ186" s="89" t="b">
        <v>0</v>
      </c>
      <c r="AR186" s="89" t="b">
        <v>0</v>
      </c>
      <c r="AS186" s="89" t="b">
        <v>0</v>
      </c>
      <c r="AT186" s="89"/>
      <c r="AU186" s="89">
        <v>7</v>
      </c>
      <c r="AV186" s="99" t="str">
        <f>HYPERLINK("https://abs.twimg.com/images/themes/theme1/bg.png")</f>
        <v>https://abs.twimg.com/images/themes/theme1/bg.png</v>
      </c>
      <c r="AW186" s="89" t="b">
        <v>0</v>
      </c>
      <c r="AX186" s="89" t="s">
        <v>1811</v>
      </c>
      <c r="AY186" s="99" t="str">
        <f>HYPERLINK("https://twitter.com/anttiviinanen")</f>
        <v>https://twitter.com/anttiviinanen</v>
      </c>
      <c r="AZ186" s="89" t="s">
        <v>66</v>
      </c>
      <c r="BA186" s="89" t="str">
        <f>REPLACE(INDEX(GroupVertices[Group],MATCH(Vertices[[#This Row],[Vertex]],GroupVertices[Vertex],0)),1,1,"")</f>
        <v>1</v>
      </c>
      <c r="BB186" s="49">
        <v>0</v>
      </c>
      <c r="BC186" s="50">
        <v>0</v>
      </c>
      <c r="BD186" s="49">
        <v>0</v>
      </c>
      <c r="BE186" s="50">
        <v>0</v>
      </c>
      <c r="BF186" s="49">
        <v>0</v>
      </c>
      <c r="BG186" s="50">
        <v>0</v>
      </c>
      <c r="BH186" s="49">
        <v>4</v>
      </c>
      <c r="BI186" s="50">
        <v>100</v>
      </c>
      <c r="BJ186" s="49">
        <v>4</v>
      </c>
      <c r="BK186" s="49"/>
      <c r="BL186" s="49"/>
      <c r="BM186" s="49"/>
      <c r="BN186" s="49"/>
      <c r="BO186" s="49"/>
      <c r="BP186" s="49"/>
      <c r="BQ186" s="123" t="s">
        <v>4240</v>
      </c>
      <c r="BR186" s="123" t="s">
        <v>4240</v>
      </c>
      <c r="BS186" s="123" t="s">
        <v>4360</v>
      </c>
      <c r="BT186" s="123" t="s">
        <v>4360</v>
      </c>
      <c r="BU186" s="2"/>
      <c r="BV186" s="3"/>
      <c r="BW186" s="3"/>
      <c r="BX186" s="3"/>
      <c r="BY186" s="3"/>
    </row>
    <row r="187" spans="1:77" ht="15">
      <c r="A187" s="65" t="s">
        <v>359</v>
      </c>
      <c r="B187" s="66"/>
      <c r="C187" s="66" t="s">
        <v>46</v>
      </c>
      <c r="D187" s="67"/>
      <c r="E187" s="69"/>
      <c r="F187" s="111" t="str">
        <f>HYPERLINK("https://pbs.twimg.com/profile_images/1370932130042290187/G46NdvET_normal.jpg")</f>
        <v>https://pbs.twimg.com/profile_images/1370932130042290187/G46NdvET_normal.jpg</v>
      </c>
      <c r="G187" s="66"/>
      <c r="H187" s="70" t="s">
        <v>359</v>
      </c>
      <c r="I187" s="71" t="s">
        <v>4417</v>
      </c>
      <c r="J187" s="71" t="s">
        <v>73</v>
      </c>
      <c r="K187" s="70" t="s">
        <v>1995</v>
      </c>
      <c r="L187" s="74">
        <v>1</v>
      </c>
      <c r="M187" s="75">
        <v>5902.43017578125</v>
      </c>
      <c r="N187" s="75">
        <v>2442.129638671875</v>
      </c>
      <c r="O187" s="76"/>
      <c r="P187" s="77"/>
      <c r="Q187" s="77"/>
      <c r="R187" s="104"/>
      <c r="S187" s="49">
        <v>0</v>
      </c>
      <c r="T187" s="49">
        <v>1</v>
      </c>
      <c r="U187" s="50">
        <v>0</v>
      </c>
      <c r="V187" s="50">
        <v>0.200811</v>
      </c>
      <c r="W187" s="50">
        <v>0.021431</v>
      </c>
      <c r="X187" s="50">
        <v>0.003767</v>
      </c>
      <c r="Y187" s="50">
        <v>0</v>
      </c>
      <c r="Z187" s="50">
        <v>0</v>
      </c>
      <c r="AA187" s="72">
        <v>187</v>
      </c>
      <c r="AB187" s="72"/>
      <c r="AC187" s="73"/>
      <c r="AD187" s="89" t="s">
        <v>1268</v>
      </c>
      <c r="AE187" s="96" t="s">
        <v>1547</v>
      </c>
      <c r="AF187" s="89">
        <v>10</v>
      </c>
      <c r="AG187" s="89">
        <v>2</v>
      </c>
      <c r="AH187" s="89">
        <v>12</v>
      </c>
      <c r="AI187" s="89">
        <v>13</v>
      </c>
      <c r="AJ187" s="89"/>
      <c r="AK187" s="89" t="s">
        <v>1729</v>
      </c>
      <c r="AL187" s="89" t="s">
        <v>1806</v>
      </c>
      <c r="AM187" s="89"/>
      <c r="AN187" s="89"/>
      <c r="AO187" s="92">
        <v>44269.02521990741</v>
      </c>
      <c r="AP187" s="89"/>
      <c r="AQ187" s="89" t="b">
        <v>1</v>
      </c>
      <c r="AR187" s="89" t="b">
        <v>0</v>
      </c>
      <c r="AS187" s="89" t="b">
        <v>0</v>
      </c>
      <c r="AT187" s="89"/>
      <c r="AU187" s="89">
        <v>0</v>
      </c>
      <c r="AV187" s="89"/>
      <c r="AW187" s="89" t="b">
        <v>0</v>
      </c>
      <c r="AX187" s="89" t="s">
        <v>1811</v>
      </c>
      <c r="AY187" s="99" t="str">
        <f>HYPERLINK("https://twitter.com/mikkopohjanhei1")</f>
        <v>https://twitter.com/mikkopohjanhei1</v>
      </c>
      <c r="AZ187" s="89" t="s">
        <v>66</v>
      </c>
      <c r="BA187" s="89" t="str">
        <f>REPLACE(INDEX(GroupVertices[Group],MATCH(Vertices[[#This Row],[Vertex]],GroupVertices[Vertex],0)),1,1,"")</f>
        <v>4</v>
      </c>
      <c r="BB187" s="49">
        <v>0</v>
      </c>
      <c r="BC187" s="50">
        <v>0</v>
      </c>
      <c r="BD187" s="49">
        <v>0</v>
      </c>
      <c r="BE187" s="50">
        <v>0</v>
      </c>
      <c r="BF187" s="49">
        <v>0</v>
      </c>
      <c r="BG187" s="50">
        <v>0</v>
      </c>
      <c r="BH187" s="49">
        <v>30</v>
      </c>
      <c r="BI187" s="50">
        <v>100</v>
      </c>
      <c r="BJ187" s="49">
        <v>30</v>
      </c>
      <c r="BK187" s="49"/>
      <c r="BL187" s="49"/>
      <c r="BM187" s="49"/>
      <c r="BN187" s="49"/>
      <c r="BO187" s="49" t="s">
        <v>556</v>
      </c>
      <c r="BP187" s="49" t="s">
        <v>556</v>
      </c>
      <c r="BQ187" s="123" t="s">
        <v>4259</v>
      </c>
      <c r="BR187" s="123" t="s">
        <v>4259</v>
      </c>
      <c r="BS187" s="123" t="s">
        <v>4377</v>
      </c>
      <c r="BT187" s="123" t="s">
        <v>4377</v>
      </c>
      <c r="BU187" s="2"/>
      <c r="BV187" s="3"/>
      <c r="BW187" s="3"/>
      <c r="BX187" s="3"/>
      <c r="BY187" s="3"/>
    </row>
    <row r="188" spans="1:77" ht="15">
      <c r="A188" s="65" t="s">
        <v>403</v>
      </c>
      <c r="B188" s="66"/>
      <c r="C188" s="66" t="s">
        <v>64</v>
      </c>
      <c r="D188" s="67">
        <v>1000</v>
      </c>
      <c r="E188" s="69"/>
      <c r="F188" s="111" t="str">
        <f>HYPERLINK("https://pbs.twimg.com/profile_images/1461811194264756232/6gz9OD5U_normal.jpg")</f>
        <v>https://pbs.twimg.com/profile_images/1461811194264756232/6gz9OD5U_normal.jpg</v>
      </c>
      <c r="G188" s="66"/>
      <c r="H188" s="70" t="s">
        <v>403</v>
      </c>
      <c r="I188" s="71" t="s">
        <v>4417</v>
      </c>
      <c r="J188" s="71" t="s">
        <v>73</v>
      </c>
      <c r="K188" s="70" t="s">
        <v>1996</v>
      </c>
      <c r="L188" s="74">
        <v>5999.8</v>
      </c>
      <c r="M188" s="75">
        <v>5114.27587890625</v>
      </c>
      <c r="N188" s="75">
        <v>1735.20458984375</v>
      </c>
      <c r="O188" s="76"/>
      <c r="P188" s="77"/>
      <c r="Q188" s="77"/>
      <c r="R188" s="104"/>
      <c r="S188" s="49">
        <v>30</v>
      </c>
      <c r="T188" s="49">
        <v>1</v>
      </c>
      <c r="U188" s="50">
        <v>8478.932381</v>
      </c>
      <c r="V188" s="50">
        <v>0.270641</v>
      </c>
      <c r="W188" s="50">
        <v>0.167486</v>
      </c>
      <c r="X188" s="50">
        <v>0.017451</v>
      </c>
      <c r="Y188" s="50">
        <v>0</v>
      </c>
      <c r="Z188" s="50">
        <v>0</v>
      </c>
      <c r="AA188" s="72">
        <v>188</v>
      </c>
      <c r="AB188" s="72"/>
      <c r="AC188" s="73"/>
      <c r="AD188" s="89" t="s">
        <v>1351</v>
      </c>
      <c r="AE188" s="96" t="s">
        <v>1122</v>
      </c>
      <c r="AF188" s="89">
        <v>298</v>
      </c>
      <c r="AG188" s="89">
        <v>249</v>
      </c>
      <c r="AH188" s="89">
        <v>828</v>
      </c>
      <c r="AI188" s="89">
        <v>5829</v>
      </c>
      <c r="AJ188" s="89"/>
      <c r="AK188" s="89" t="s">
        <v>1730</v>
      </c>
      <c r="AL188" s="89" t="s">
        <v>1771</v>
      </c>
      <c r="AM188" s="99" t="str">
        <f>HYPERLINK("https://t.co/NYUbJjOM5E")</f>
        <v>https://t.co/NYUbJjOM5E</v>
      </c>
      <c r="AN188" s="89"/>
      <c r="AO188" s="92">
        <v>44479.70888888889</v>
      </c>
      <c r="AP188" s="99" t="str">
        <f>HYPERLINK("https://pbs.twimg.com/profile_banners/1447245604837548042/1637358517")</f>
        <v>https://pbs.twimg.com/profile_banners/1447245604837548042/1637358517</v>
      </c>
      <c r="AQ188" s="89" t="b">
        <v>1</v>
      </c>
      <c r="AR188" s="89" t="b">
        <v>0</v>
      </c>
      <c r="AS188" s="89" t="b">
        <v>1</v>
      </c>
      <c r="AT188" s="89"/>
      <c r="AU188" s="89">
        <v>1</v>
      </c>
      <c r="AV188" s="89"/>
      <c r="AW188" s="89" t="b">
        <v>0</v>
      </c>
      <c r="AX188" s="89" t="s">
        <v>1811</v>
      </c>
      <c r="AY188" s="99" t="str">
        <f>HYPERLINK("https://twitter.com/tuija_niskanen")</f>
        <v>https://twitter.com/tuija_niskanen</v>
      </c>
      <c r="AZ188" s="89" t="s">
        <v>66</v>
      </c>
      <c r="BA188" s="89" t="str">
        <f>REPLACE(INDEX(GroupVertices[Group],MATCH(Vertices[[#This Row],[Vertex]],GroupVertices[Vertex],0)),1,1,"")</f>
        <v>4</v>
      </c>
      <c r="BB188" s="49">
        <v>0</v>
      </c>
      <c r="BC188" s="50">
        <v>0</v>
      </c>
      <c r="BD188" s="49">
        <v>0</v>
      </c>
      <c r="BE188" s="50">
        <v>0</v>
      </c>
      <c r="BF188" s="49">
        <v>0</v>
      </c>
      <c r="BG188" s="50">
        <v>0</v>
      </c>
      <c r="BH188" s="49">
        <v>51</v>
      </c>
      <c r="BI188" s="50">
        <v>100</v>
      </c>
      <c r="BJ188" s="49">
        <v>51</v>
      </c>
      <c r="BK188" s="49" t="s">
        <v>3915</v>
      </c>
      <c r="BL188" s="49" t="s">
        <v>3915</v>
      </c>
      <c r="BM188" s="49" t="s">
        <v>549</v>
      </c>
      <c r="BN188" s="49" t="s">
        <v>549</v>
      </c>
      <c r="BO188" s="49" t="s">
        <v>4178</v>
      </c>
      <c r="BP188" s="49" t="s">
        <v>4181</v>
      </c>
      <c r="BQ188" s="123" t="s">
        <v>4260</v>
      </c>
      <c r="BR188" s="123" t="s">
        <v>4298</v>
      </c>
      <c r="BS188" s="123" t="s">
        <v>4353</v>
      </c>
      <c r="BT188" s="123" t="s">
        <v>4353</v>
      </c>
      <c r="BU188" s="2"/>
      <c r="BV188" s="3"/>
      <c r="BW188" s="3"/>
      <c r="BX188" s="3"/>
      <c r="BY188" s="3"/>
    </row>
    <row r="189" spans="1:77" ht="15">
      <c r="A189" s="65" t="s">
        <v>360</v>
      </c>
      <c r="B189" s="66"/>
      <c r="C189" s="66" t="s">
        <v>46</v>
      </c>
      <c r="D189" s="67"/>
      <c r="E189" s="69"/>
      <c r="F189" s="111" t="str">
        <f>HYPERLINK("https://pbs.twimg.com/profile_images/1483041717880295425/9icG0DYF_normal.jpg")</f>
        <v>https://pbs.twimg.com/profile_images/1483041717880295425/9icG0DYF_normal.jpg</v>
      </c>
      <c r="G189" s="66"/>
      <c r="H189" s="70" t="s">
        <v>360</v>
      </c>
      <c r="I189" s="71" t="s">
        <v>4406</v>
      </c>
      <c r="J189" s="71" t="s">
        <v>73</v>
      </c>
      <c r="K189" s="70" t="s">
        <v>1997</v>
      </c>
      <c r="L189" s="74">
        <v>1</v>
      </c>
      <c r="M189" s="75">
        <v>1620.644287109375</v>
      </c>
      <c r="N189" s="75">
        <v>723.6466674804688</v>
      </c>
      <c r="O189" s="76"/>
      <c r="P189" s="77"/>
      <c r="Q189" s="77"/>
      <c r="R189" s="104"/>
      <c r="S189" s="49">
        <v>0</v>
      </c>
      <c r="T189" s="49">
        <v>1</v>
      </c>
      <c r="U189" s="50">
        <v>0</v>
      </c>
      <c r="V189" s="50">
        <v>0.221474</v>
      </c>
      <c r="W189" s="50">
        <v>0.084107</v>
      </c>
      <c r="X189" s="50">
        <v>0.003763</v>
      </c>
      <c r="Y189" s="50">
        <v>0</v>
      </c>
      <c r="Z189" s="50">
        <v>0</v>
      </c>
      <c r="AA189" s="72">
        <v>189</v>
      </c>
      <c r="AB189" s="72"/>
      <c r="AC189" s="73"/>
      <c r="AD189" s="89" t="s">
        <v>1352</v>
      </c>
      <c r="AE189" s="96" t="s">
        <v>1548</v>
      </c>
      <c r="AF189" s="89">
        <v>155</v>
      </c>
      <c r="AG189" s="89">
        <v>280</v>
      </c>
      <c r="AH189" s="89">
        <v>31276</v>
      </c>
      <c r="AI189" s="89">
        <v>130115</v>
      </c>
      <c r="AJ189" s="89"/>
      <c r="AK189" s="89" t="s">
        <v>1731</v>
      </c>
      <c r="AL189" s="89"/>
      <c r="AM189" s="89"/>
      <c r="AN189" s="89"/>
      <c r="AO189" s="92">
        <v>42763.64508101852</v>
      </c>
      <c r="AP189" s="89"/>
      <c r="AQ189" s="89" t="b">
        <v>0</v>
      </c>
      <c r="AR189" s="89" t="b">
        <v>0</v>
      </c>
      <c r="AS189" s="89" t="b">
        <v>0</v>
      </c>
      <c r="AT189" s="89"/>
      <c r="AU189" s="89">
        <v>9</v>
      </c>
      <c r="AV189" s="99" t="str">
        <f>HYPERLINK("https://abs.twimg.com/images/themes/theme1/bg.png")</f>
        <v>https://abs.twimg.com/images/themes/theme1/bg.png</v>
      </c>
      <c r="AW189" s="89" t="b">
        <v>0</v>
      </c>
      <c r="AX189" s="89" t="s">
        <v>1811</v>
      </c>
      <c r="AY189" s="99" t="str">
        <f>HYPERLINK("https://twitter.com/useyour_____")</f>
        <v>https://twitter.com/useyour_____</v>
      </c>
      <c r="AZ189" s="89" t="s">
        <v>66</v>
      </c>
      <c r="BA189" s="89" t="str">
        <f>REPLACE(INDEX(GroupVertices[Group],MATCH(Vertices[[#This Row],[Vertex]],GroupVertices[Vertex],0)),1,1,"")</f>
        <v>1</v>
      </c>
      <c r="BB189" s="49">
        <v>0</v>
      </c>
      <c r="BC189" s="50">
        <v>0</v>
      </c>
      <c r="BD189" s="49">
        <v>0</v>
      </c>
      <c r="BE189" s="50">
        <v>0</v>
      </c>
      <c r="BF189" s="49">
        <v>0</v>
      </c>
      <c r="BG189" s="50">
        <v>0</v>
      </c>
      <c r="BH189" s="49">
        <v>16</v>
      </c>
      <c r="BI189" s="50">
        <v>100</v>
      </c>
      <c r="BJ189" s="49">
        <v>16</v>
      </c>
      <c r="BK189" s="49"/>
      <c r="BL189" s="49"/>
      <c r="BM189" s="49"/>
      <c r="BN189" s="49"/>
      <c r="BO189" s="49"/>
      <c r="BP189" s="49"/>
      <c r="BQ189" s="123" t="s">
        <v>4247</v>
      </c>
      <c r="BR189" s="123" t="s">
        <v>4247</v>
      </c>
      <c r="BS189" s="123" t="s">
        <v>4336</v>
      </c>
      <c r="BT189" s="123" t="s">
        <v>4336</v>
      </c>
      <c r="BU189" s="2"/>
      <c r="BV189" s="3"/>
      <c r="BW189" s="3"/>
      <c r="BX189" s="3"/>
      <c r="BY189" s="3"/>
    </row>
    <row r="190" spans="1:77" ht="15">
      <c r="A190" s="65" t="s">
        <v>361</v>
      </c>
      <c r="B190" s="66"/>
      <c r="C190" s="66" t="s">
        <v>46</v>
      </c>
      <c r="D190" s="67"/>
      <c r="E190" s="69"/>
      <c r="F190" s="111" t="str">
        <f>HYPERLINK("https://pbs.twimg.com/profile_images/1481262741159559174/eVNzE5nF_normal.jpg")</f>
        <v>https://pbs.twimg.com/profile_images/1481262741159559174/eVNzE5nF_normal.jpg</v>
      </c>
      <c r="G190" s="66"/>
      <c r="H190" s="70" t="s">
        <v>361</v>
      </c>
      <c r="I190" s="71" t="s">
        <v>4417</v>
      </c>
      <c r="J190" s="71" t="s">
        <v>73</v>
      </c>
      <c r="K190" s="70" t="s">
        <v>1998</v>
      </c>
      <c r="L190" s="74">
        <v>1</v>
      </c>
      <c r="M190" s="75">
        <v>4635.947265625</v>
      </c>
      <c r="N190" s="75">
        <v>1107.7559814453125</v>
      </c>
      <c r="O190" s="76"/>
      <c r="P190" s="77"/>
      <c r="Q190" s="77"/>
      <c r="R190" s="104"/>
      <c r="S190" s="49">
        <v>0</v>
      </c>
      <c r="T190" s="49">
        <v>1</v>
      </c>
      <c r="U190" s="50">
        <v>0</v>
      </c>
      <c r="V190" s="50">
        <v>0.200811</v>
      </c>
      <c r="W190" s="50">
        <v>0.021431</v>
      </c>
      <c r="X190" s="50">
        <v>0.003767</v>
      </c>
      <c r="Y190" s="50">
        <v>0</v>
      </c>
      <c r="Z190" s="50">
        <v>0</v>
      </c>
      <c r="AA190" s="72">
        <v>190</v>
      </c>
      <c r="AB190" s="72"/>
      <c r="AC190" s="73"/>
      <c r="AD190" s="89" t="s">
        <v>1353</v>
      </c>
      <c r="AE190" s="96" t="s">
        <v>1549</v>
      </c>
      <c r="AF190" s="89">
        <v>332</v>
      </c>
      <c r="AG190" s="89">
        <v>296</v>
      </c>
      <c r="AH190" s="89">
        <v>1413</v>
      </c>
      <c r="AI190" s="89">
        <v>20600</v>
      </c>
      <c r="AJ190" s="89"/>
      <c r="AK190" s="89" t="s">
        <v>1732</v>
      </c>
      <c r="AL190" s="89"/>
      <c r="AM190" s="89"/>
      <c r="AN190" s="89"/>
      <c r="AO190" s="92">
        <v>39951.66490740741</v>
      </c>
      <c r="AP190" s="89"/>
      <c r="AQ190" s="89" t="b">
        <v>1</v>
      </c>
      <c r="AR190" s="89" t="b">
        <v>0</v>
      </c>
      <c r="AS190" s="89" t="b">
        <v>0</v>
      </c>
      <c r="AT190" s="89"/>
      <c r="AU190" s="89">
        <v>0</v>
      </c>
      <c r="AV190" s="99" t="str">
        <f>HYPERLINK("https://abs.twimg.com/images/themes/theme1/bg.png")</f>
        <v>https://abs.twimg.com/images/themes/theme1/bg.png</v>
      </c>
      <c r="AW190" s="89" t="b">
        <v>0</v>
      </c>
      <c r="AX190" s="89" t="s">
        <v>1811</v>
      </c>
      <c r="AY190" s="99" t="str">
        <f>HYPERLINK("https://twitter.com/lifflander")</f>
        <v>https://twitter.com/lifflander</v>
      </c>
      <c r="AZ190" s="89" t="s">
        <v>66</v>
      </c>
      <c r="BA190" s="89" t="str">
        <f>REPLACE(INDEX(GroupVertices[Group],MATCH(Vertices[[#This Row],[Vertex]],GroupVertices[Vertex],0)),1,1,"")</f>
        <v>4</v>
      </c>
      <c r="BB190" s="49">
        <v>0</v>
      </c>
      <c r="BC190" s="50">
        <v>0</v>
      </c>
      <c r="BD190" s="49">
        <v>0</v>
      </c>
      <c r="BE190" s="50">
        <v>0</v>
      </c>
      <c r="BF190" s="49">
        <v>0</v>
      </c>
      <c r="BG190" s="50">
        <v>0</v>
      </c>
      <c r="BH190" s="49">
        <v>24</v>
      </c>
      <c r="BI190" s="50">
        <v>100</v>
      </c>
      <c r="BJ190" s="49">
        <v>24</v>
      </c>
      <c r="BK190" s="49"/>
      <c r="BL190" s="49"/>
      <c r="BM190" s="49"/>
      <c r="BN190" s="49"/>
      <c r="BO190" s="49" t="s">
        <v>570</v>
      </c>
      <c r="BP190" s="49" t="s">
        <v>570</v>
      </c>
      <c r="BQ190" s="123" t="s">
        <v>4261</v>
      </c>
      <c r="BR190" s="123" t="s">
        <v>4261</v>
      </c>
      <c r="BS190" s="123" t="s">
        <v>4353</v>
      </c>
      <c r="BT190" s="123" t="s">
        <v>4353</v>
      </c>
      <c r="BU190" s="2"/>
      <c r="BV190" s="3"/>
      <c r="BW190" s="3"/>
      <c r="BX190" s="3"/>
      <c r="BY190" s="3"/>
    </row>
    <row r="191" spans="1:77" ht="15">
      <c r="A191" s="65" t="s">
        <v>362</v>
      </c>
      <c r="B191" s="66"/>
      <c r="C191" s="66" t="s">
        <v>46</v>
      </c>
      <c r="D191" s="67"/>
      <c r="E191" s="69"/>
      <c r="F191" s="111" t="str">
        <f>HYPERLINK("https://pbs.twimg.com/profile_images/1462132308828426245/xCytlZ4u_normal.jpg")</f>
        <v>https://pbs.twimg.com/profile_images/1462132308828426245/xCytlZ4u_normal.jpg</v>
      </c>
      <c r="G191" s="66"/>
      <c r="H191" s="70" t="s">
        <v>362</v>
      </c>
      <c r="I191" s="71" t="s">
        <v>4417</v>
      </c>
      <c r="J191" s="71" t="s">
        <v>73</v>
      </c>
      <c r="K191" s="70" t="s">
        <v>1999</v>
      </c>
      <c r="L191" s="74">
        <v>1</v>
      </c>
      <c r="M191" s="75">
        <v>4849.28466796875</v>
      </c>
      <c r="N191" s="75">
        <v>3018.343994140625</v>
      </c>
      <c r="O191" s="76"/>
      <c r="P191" s="77"/>
      <c r="Q191" s="77"/>
      <c r="R191" s="104"/>
      <c r="S191" s="49">
        <v>0</v>
      </c>
      <c r="T191" s="49">
        <v>1</v>
      </c>
      <c r="U191" s="50">
        <v>0</v>
      </c>
      <c r="V191" s="50">
        <v>0.200811</v>
      </c>
      <c r="W191" s="50">
        <v>0.021431</v>
      </c>
      <c r="X191" s="50">
        <v>0.003767</v>
      </c>
      <c r="Y191" s="50">
        <v>0</v>
      </c>
      <c r="Z191" s="50">
        <v>0</v>
      </c>
      <c r="AA191" s="72">
        <v>191</v>
      </c>
      <c r="AB191" s="72"/>
      <c r="AC191" s="73"/>
      <c r="AD191" s="89" t="s">
        <v>1354</v>
      </c>
      <c r="AE191" s="96" t="s">
        <v>1550</v>
      </c>
      <c r="AF191" s="89">
        <v>324</v>
      </c>
      <c r="AG191" s="89">
        <v>210</v>
      </c>
      <c r="AH191" s="89">
        <v>1237</v>
      </c>
      <c r="AI191" s="89">
        <v>8340</v>
      </c>
      <c r="AJ191" s="89"/>
      <c r="AK191" s="89" t="s">
        <v>1733</v>
      </c>
      <c r="AL191" s="89"/>
      <c r="AM191" s="89"/>
      <c r="AN191" s="89"/>
      <c r="AO191" s="92">
        <v>44520.78613425926</v>
      </c>
      <c r="AP191" s="89"/>
      <c r="AQ191" s="89" t="b">
        <v>1</v>
      </c>
      <c r="AR191" s="89" t="b">
        <v>0</v>
      </c>
      <c r="AS191" s="89" t="b">
        <v>0</v>
      </c>
      <c r="AT191" s="89"/>
      <c r="AU191" s="89">
        <v>0</v>
      </c>
      <c r="AV191" s="89"/>
      <c r="AW191" s="89" t="b">
        <v>0</v>
      </c>
      <c r="AX191" s="89" t="s">
        <v>1811</v>
      </c>
      <c r="AY191" s="99" t="str">
        <f>HYPERLINK("https://twitter.com/niinuliinuli")</f>
        <v>https://twitter.com/niinuliinuli</v>
      </c>
      <c r="AZ191" s="89" t="s">
        <v>66</v>
      </c>
      <c r="BA191" s="89" t="str">
        <f>REPLACE(INDEX(GroupVertices[Group],MATCH(Vertices[[#This Row],[Vertex]],GroupVertices[Vertex],0)),1,1,"")</f>
        <v>4</v>
      </c>
      <c r="BB191" s="49">
        <v>0</v>
      </c>
      <c r="BC191" s="50">
        <v>0</v>
      </c>
      <c r="BD191" s="49">
        <v>0</v>
      </c>
      <c r="BE191" s="50">
        <v>0</v>
      </c>
      <c r="BF191" s="49">
        <v>0</v>
      </c>
      <c r="BG191" s="50">
        <v>0</v>
      </c>
      <c r="BH191" s="49">
        <v>24</v>
      </c>
      <c r="BI191" s="50">
        <v>100</v>
      </c>
      <c r="BJ191" s="49">
        <v>24</v>
      </c>
      <c r="BK191" s="49"/>
      <c r="BL191" s="49"/>
      <c r="BM191" s="49"/>
      <c r="BN191" s="49"/>
      <c r="BO191" s="49" t="s">
        <v>570</v>
      </c>
      <c r="BP191" s="49" t="s">
        <v>570</v>
      </c>
      <c r="BQ191" s="123" t="s">
        <v>4261</v>
      </c>
      <c r="BR191" s="123" t="s">
        <v>4261</v>
      </c>
      <c r="BS191" s="123" t="s">
        <v>4353</v>
      </c>
      <c r="BT191" s="123" t="s">
        <v>4353</v>
      </c>
      <c r="BU191" s="2"/>
      <c r="BV191" s="3"/>
      <c r="BW191" s="3"/>
      <c r="BX191" s="3"/>
      <c r="BY191" s="3"/>
    </row>
    <row r="192" spans="1:77" ht="15">
      <c r="A192" s="65" t="s">
        <v>363</v>
      </c>
      <c r="B192" s="66"/>
      <c r="C192" s="66" t="s">
        <v>46</v>
      </c>
      <c r="D192" s="67"/>
      <c r="E192" s="69"/>
      <c r="F192" s="111" t="str">
        <f>HYPERLINK("https://pbs.twimg.com/profile_images/1428046149257138179/Wc0VGgyW_normal.jpg")</f>
        <v>https://pbs.twimg.com/profile_images/1428046149257138179/Wc0VGgyW_normal.jpg</v>
      </c>
      <c r="G192" s="66"/>
      <c r="H192" s="70" t="s">
        <v>363</v>
      </c>
      <c r="I192" s="71" t="s">
        <v>4417</v>
      </c>
      <c r="J192" s="71" t="s">
        <v>73</v>
      </c>
      <c r="K192" s="70" t="s">
        <v>2000</v>
      </c>
      <c r="L192" s="74">
        <v>1</v>
      </c>
      <c r="M192" s="75">
        <v>4341.26611328125</v>
      </c>
      <c r="N192" s="75">
        <v>3257.21044921875</v>
      </c>
      <c r="O192" s="76"/>
      <c r="P192" s="77"/>
      <c r="Q192" s="77"/>
      <c r="R192" s="104"/>
      <c r="S192" s="49">
        <v>0</v>
      </c>
      <c r="T192" s="49">
        <v>4</v>
      </c>
      <c r="U192" s="50">
        <v>6391.271772</v>
      </c>
      <c r="V192" s="50">
        <v>0.279993</v>
      </c>
      <c r="W192" s="50">
        <v>0.111452</v>
      </c>
      <c r="X192" s="50">
        <v>0.004501</v>
      </c>
      <c r="Y192" s="50">
        <v>0</v>
      </c>
      <c r="Z192" s="50">
        <v>0</v>
      </c>
      <c r="AA192" s="72">
        <v>192</v>
      </c>
      <c r="AB192" s="72"/>
      <c r="AC192" s="73"/>
      <c r="AD192" s="89" t="s">
        <v>1355</v>
      </c>
      <c r="AE192" s="96" t="s">
        <v>1551</v>
      </c>
      <c r="AF192" s="89">
        <v>302</v>
      </c>
      <c r="AG192" s="89">
        <v>892</v>
      </c>
      <c r="AH192" s="89">
        <v>21877</v>
      </c>
      <c r="AI192" s="89">
        <v>85394</v>
      </c>
      <c r="AJ192" s="89"/>
      <c r="AK192" s="89" t="s">
        <v>1734</v>
      </c>
      <c r="AL192" s="89"/>
      <c r="AM192" s="89"/>
      <c r="AN192" s="89"/>
      <c r="AO192" s="92">
        <v>41829.5415625</v>
      </c>
      <c r="AP192" s="89"/>
      <c r="AQ192" s="89" t="b">
        <v>1</v>
      </c>
      <c r="AR192" s="89" t="b">
        <v>0</v>
      </c>
      <c r="AS192" s="89" t="b">
        <v>0</v>
      </c>
      <c r="AT192" s="89"/>
      <c r="AU192" s="89">
        <v>8</v>
      </c>
      <c r="AV192" s="99" t="str">
        <f>HYPERLINK("https://abs.twimg.com/images/themes/theme1/bg.png")</f>
        <v>https://abs.twimg.com/images/themes/theme1/bg.png</v>
      </c>
      <c r="AW192" s="89" t="b">
        <v>0</v>
      </c>
      <c r="AX192" s="89" t="s">
        <v>1811</v>
      </c>
      <c r="AY192" s="99" t="str">
        <f>HYPERLINK("https://twitter.com/_tilastonikkari")</f>
        <v>https://twitter.com/_tilastonikkari</v>
      </c>
      <c r="AZ192" s="89" t="s">
        <v>66</v>
      </c>
      <c r="BA192" s="89" t="str">
        <f>REPLACE(INDEX(GroupVertices[Group],MATCH(Vertices[[#This Row],[Vertex]],GroupVertices[Vertex],0)),1,1,"")</f>
        <v>4</v>
      </c>
      <c r="BB192" s="49">
        <v>0</v>
      </c>
      <c r="BC192" s="50">
        <v>0</v>
      </c>
      <c r="BD192" s="49">
        <v>0</v>
      </c>
      <c r="BE192" s="50">
        <v>0</v>
      </c>
      <c r="BF192" s="49">
        <v>0</v>
      </c>
      <c r="BG192" s="50">
        <v>0</v>
      </c>
      <c r="BH192" s="49">
        <v>45</v>
      </c>
      <c r="BI192" s="50">
        <v>100</v>
      </c>
      <c r="BJ192" s="49">
        <v>45</v>
      </c>
      <c r="BK192" s="49"/>
      <c r="BL192" s="49"/>
      <c r="BM192" s="49"/>
      <c r="BN192" s="49"/>
      <c r="BO192" s="49" t="s">
        <v>570</v>
      </c>
      <c r="BP192" s="49" t="s">
        <v>570</v>
      </c>
      <c r="BQ192" s="123" t="s">
        <v>4262</v>
      </c>
      <c r="BR192" s="123" t="s">
        <v>4299</v>
      </c>
      <c r="BS192" s="123" t="s">
        <v>4378</v>
      </c>
      <c r="BT192" s="123" t="s">
        <v>4378</v>
      </c>
      <c r="BU192" s="2"/>
      <c r="BV192" s="3"/>
      <c r="BW192" s="3"/>
      <c r="BX192" s="3"/>
      <c r="BY192" s="3"/>
    </row>
    <row r="193" spans="1:77" ht="15">
      <c r="A193" s="65" t="s">
        <v>442</v>
      </c>
      <c r="B193" s="66"/>
      <c r="C193" s="66" t="s">
        <v>46</v>
      </c>
      <c r="D193" s="67">
        <v>10</v>
      </c>
      <c r="E193" s="69"/>
      <c r="F193" s="111" t="str">
        <f>HYPERLINK("https://pbs.twimg.com/profile_images/1427506509920055318/nOz5ABeT_normal.jpg")</f>
        <v>https://pbs.twimg.com/profile_images/1427506509920055318/nOz5ABeT_normal.jpg</v>
      </c>
      <c r="G193" s="66"/>
      <c r="H193" s="70" t="s">
        <v>442</v>
      </c>
      <c r="I193" s="71" t="s">
        <v>4417</v>
      </c>
      <c r="J193" s="71" t="s">
        <v>75</v>
      </c>
      <c r="K193" s="70" t="s">
        <v>2001</v>
      </c>
      <c r="L193" s="74">
        <v>200.96</v>
      </c>
      <c r="M193" s="75">
        <v>3816.1064453125</v>
      </c>
      <c r="N193" s="75">
        <v>4246.0849609375</v>
      </c>
      <c r="O193" s="76"/>
      <c r="P193" s="77"/>
      <c r="Q193" s="77"/>
      <c r="R193" s="104"/>
      <c r="S193" s="49">
        <v>1</v>
      </c>
      <c r="T193" s="49">
        <v>0</v>
      </c>
      <c r="U193" s="50">
        <v>0</v>
      </c>
      <c r="V193" s="50">
        <v>0.205914</v>
      </c>
      <c r="W193" s="50">
        <v>0.014261</v>
      </c>
      <c r="X193" s="50">
        <v>0.003848</v>
      </c>
      <c r="Y193" s="50">
        <v>0</v>
      </c>
      <c r="Z193" s="50">
        <v>0</v>
      </c>
      <c r="AA193" s="72">
        <v>193</v>
      </c>
      <c r="AB193" s="72"/>
      <c r="AC193" s="73"/>
      <c r="AD193" s="89" t="s">
        <v>1356</v>
      </c>
      <c r="AE193" s="96" t="s">
        <v>1552</v>
      </c>
      <c r="AF193" s="89">
        <v>2440</v>
      </c>
      <c r="AG193" s="89">
        <v>8493</v>
      </c>
      <c r="AH193" s="89">
        <v>23730</v>
      </c>
      <c r="AI193" s="89">
        <v>21861</v>
      </c>
      <c r="AJ193" s="89"/>
      <c r="AK193" s="89" t="s">
        <v>1735</v>
      </c>
      <c r="AL193" s="89" t="s">
        <v>1771</v>
      </c>
      <c r="AM193" s="99" t="str">
        <f>HYPERLINK("https://t.co/doKl36i8tf")</f>
        <v>https://t.co/doKl36i8tf</v>
      </c>
      <c r="AN193" s="89"/>
      <c r="AO193" s="92">
        <v>41549.464224537034</v>
      </c>
      <c r="AP193" s="99" t="str">
        <f>HYPERLINK("https://pbs.twimg.com/profile_banners/1926539942/1583754638")</f>
        <v>https://pbs.twimg.com/profile_banners/1926539942/1583754638</v>
      </c>
      <c r="AQ193" s="89" t="b">
        <v>1</v>
      </c>
      <c r="AR193" s="89" t="b">
        <v>0</v>
      </c>
      <c r="AS193" s="89" t="b">
        <v>1</v>
      </c>
      <c r="AT193" s="89"/>
      <c r="AU193" s="89">
        <v>146</v>
      </c>
      <c r="AV193" s="99" t="str">
        <f>HYPERLINK("https://abs.twimg.com/images/themes/theme1/bg.png")</f>
        <v>https://abs.twimg.com/images/themes/theme1/bg.png</v>
      </c>
      <c r="AW193" s="89" t="b">
        <v>1</v>
      </c>
      <c r="AX193" s="89" t="s">
        <v>1811</v>
      </c>
      <c r="AY193" s="99" t="str">
        <f>HYPERLINK("https://twitter.com/villecantell")</f>
        <v>https://twitter.com/villecantell</v>
      </c>
      <c r="AZ193" s="89" t="s">
        <v>65</v>
      </c>
      <c r="BA193" s="89"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443</v>
      </c>
      <c r="B194" s="66"/>
      <c r="C194" s="66" t="s">
        <v>46</v>
      </c>
      <c r="D194" s="67">
        <v>10</v>
      </c>
      <c r="E194" s="69"/>
      <c r="F194" s="111" t="str">
        <f>HYPERLINK("https://pbs.twimg.com/profile_images/1428067558025048064/4Z58BJyn_normal.jpg")</f>
        <v>https://pbs.twimg.com/profile_images/1428067558025048064/4Z58BJyn_normal.jpg</v>
      </c>
      <c r="G194" s="66"/>
      <c r="H194" s="70" t="s">
        <v>443</v>
      </c>
      <c r="I194" s="71" t="s">
        <v>4421</v>
      </c>
      <c r="J194" s="71" t="s">
        <v>75</v>
      </c>
      <c r="K194" s="70" t="s">
        <v>2002</v>
      </c>
      <c r="L194" s="74">
        <v>200.96</v>
      </c>
      <c r="M194" s="75">
        <v>8084.2978515625</v>
      </c>
      <c r="N194" s="75">
        <v>2271.435546875</v>
      </c>
      <c r="O194" s="76"/>
      <c r="P194" s="77"/>
      <c r="Q194" s="77"/>
      <c r="R194" s="104"/>
      <c r="S194" s="49">
        <v>1</v>
      </c>
      <c r="T194" s="49">
        <v>0</v>
      </c>
      <c r="U194" s="50">
        <v>0</v>
      </c>
      <c r="V194" s="50">
        <v>0.005797</v>
      </c>
      <c r="W194" s="50">
        <v>0</v>
      </c>
      <c r="X194" s="50">
        <v>0.004047</v>
      </c>
      <c r="Y194" s="50">
        <v>0</v>
      </c>
      <c r="Z194" s="50">
        <v>0</v>
      </c>
      <c r="AA194" s="72">
        <v>194</v>
      </c>
      <c r="AB194" s="72"/>
      <c r="AC194" s="73"/>
      <c r="AD194" s="89" t="s">
        <v>1357</v>
      </c>
      <c r="AE194" s="96" t="s">
        <v>1123</v>
      </c>
      <c r="AF194" s="89">
        <v>996</v>
      </c>
      <c r="AG194" s="89">
        <v>1540</v>
      </c>
      <c r="AH194" s="89">
        <v>8817</v>
      </c>
      <c r="AI194" s="89">
        <v>16591</v>
      </c>
      <c r="AJ194" s="89"/>
      <c r="AK194" s="89" t="s">
        <v>1736</v>
      </c>
      <c r="AL194" s="89"/>
      <c r="AM194" s="89"/>
      <c r="AN194" s="89"/>
      <c r="AO194" s="92">
        <v>41412.484375</v>
      </c>
      <c r="AP194" s="99" t="str">
        <f>HYPERLINK("https://pbs.twimg.com/profile_banners/1438135656/1628419826")</f>
        <v>https://pbs.twimg.com/profile_banners/1438135656/1628419826</v>
      </c>
      <c r="AQ194" s="89" t="b">
        <v>1</v>
      </c>
      <c r="AR194" s="89" t="b">
        <v>0</v>
      </c>
      <c r="AS194" s="89" t="b">
        <v>0</v>
      </c>
      <c r="AT194" s="89"/>
      <c r="AU194" s="89">
        <v>3</v>
      </c>
      <c r="AV194" s="99" t="str">
        <f>HYPERLINK("https://abs.twimg.com/images/themes/theme1/bg.png")</f>
        <v>https://abs.twimg.com/images/themes/theme1/bg.png</v>
      </c>
      <c r="AW194" s="89" t="b">
        <v>0</v>
      </c>
      <c r="AX194" s="89" t="s">
        <v>1811</v>
      </c>
      <c r="AY194" s="99" t="str">
        <f>HYPERLINK("https://twitter.com/rautakansleri_")</f>
        <v>https://twitter.com/rautakansleri_</v>
      </c>
      <c r="AZ194" s="89" t="s">
        <v>65</v>
      </c>
      <c r="BA194" s="89" t="str">
        <f>REPLACE(INDEX(GroupVertices[Group],MATCH(Vertices[[#This Row],[Vertex]],GroupVertices[Vertex],0)),1,1,"")</f>
        <v>10</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365</v>
      </c>
      <c r="B195" s="66"/>
      <c r="C195" s="66" t="s">
        <v>46</v>
      </c>
      <c r="D195" s="67"/>
      <c r="E195" s="69"/>
      <c r="F195" s="111" t="str">
        <f>HYPERLINK("https://pbs.twimg.com/profile_images/1429552399799160839/eLqdu9Ro_normal.jpg")</f>
        <v>https://pbs.twimg.com/profile_images/1429552399799160839/eLqdu9Ro_normal.jpg</v>
      </c>
      <c r="G195" s="66"/>
      <c r="H195" s="70" t="s">
        <v>365</v>
      </c>
      <c r="I195" s="71" t="s">
        <v>4417</v>
      </c>
      <c r="J195" s="71" t="s">
        <v>73</v>
      </c>
      <c r="K195" s="70" t="s">
        <v>2003</v>
      </c>
      <c r="L195" s="74">
        <v>1</v>
      </c>
      <c r="M195" s="75">
        <v>5017.8984375</v>
      </c>
      <c r="N195" s="75">
        <v>777.0977783203125</v>
      </c>
      <c r="O195" s="76"/>
      <c r="P195" s="77"/>
      <c r="Q195" s="77"/>
      <c r="R195" s="104"/>
      <c r="S195" s="49">
        <v>0</v>
      </c>
      <c r="T195" s="49">
        <v>1</v>
      </c>
      <c r="U195" s="50">
        <v>0</v>
      </c>
      <c r="V195" s="50">
        <v>0.200811</v>
      </c>
      <c r="W195" s="50">
        <v>0.021431</v>
      </c>
      <c r="X195" s="50">
        <v>0.003767</v>
      </c>
      <c r="Y195" s="50">
        <v>0</v>
      </c>
      <c r="Z195" s="50">
        <v>0</v>
      </c>
      <c r="AA195" s="72">
        <v>195</v>
      </c>
      <c r="AB195" s="72"/>
      <c r="AC195" s="73"/>
      <c r="AD195" s="89" t="s">
        <v>1358</v>
      </c>
      <c r="AE195" s="96" t="s">
        <v>1553</v>
      </c>
      <c r="AF195" s="89">
        <v>206</v>
      </c>
      <c r="AG195" s="89">
        <v>181</v>
      </c>
      <c r="AH195" s="89">
        <v>406</v>
      </c>
      <c r="AI195" s="89">
        <v>3971</v>
      </c>
      <c r="AJ195" s="89"/>
      <c r="AK195" s="89" t="s">
        <v>1737</v>
      </c>
      <c r="AL195" s="89"/>
      <c r="AM195" s="89"/>
      <c r="AN195" s="89"/>
      <c r="AO195" s="92">
        <v>44019.6247337963</v>
      </c>
      <c r="AP195" s="99" t="str">
        <f>HYPERLINK("https://pbs.twimg.com/profile_banners/1280516752368074753/1635083256")</f>
        <v>https://pbs.twimg.com/profile_banners/1280516752368074753/1635083256</v>
      </c>
      <c r="AQ195" s="89" t="b">
        <v>1</v>
      </c>
      <c r="AR195" s="89" t="b">
        <v>0</v>
      </c>
      <c r="AS195" s="89" t="b">
        <v>0</v>
      </c>
      <c r="AT195" s="89"/>
      <c r="AU195" s="89">
        <v>0</v>
      </c>
      <c r="AV195" s="89"/>
      <c r="AW195" s="89" t="b">
        <v>0</v>
      </c>
      <c r="AX195" s="89" t="s">
        <v>1811</v>
      </c>
      <c r="AY195" s="99" t="str">
        <f>HYPERLINK("https://twitter.com/armokivi")</f>
        <v>https://twitter.com/armokivi</v>
      </c>
      <c r="AZ195" s="89" t="s">
        <v>66</v>
      </c>
      <c r="BA195" s="89" t="str">
        <f>REPLACE(INDEX(GroupVertices[Group],MATCH(Vertices[[#This Row],[Vertex]],GroupVertices[Vertex],0)),1,1,"")</f>
        <v>4</v>
      </c>
      <c r="BB195" s="49">
        <v>0</v>
      </c>
      <c r="BC195" s="50">
        <v>0</v>
      </c>
      <c r="BD195" s="49">
        <v>0</v>
      </c>
      <c r="BE195" s="50">
        <v>0</v>
      </c>
      <c r="BF195" s="49">
        <v>0</v>
      </c>
      <c r="BG195" s="50">
        <v>0</v>
      </c>
      <c r="BH195" s="49">
        <v>24</v>
      </c>
      <c r="BI195" s="50">
        <v>100</v>
      </c>
      <c r="BJ195" s="49">
        <v>24</v>
      </c>
      <c r="BK195" s="49"/>
      <c r="BL195" s="49"/>
      <c r="BM195" s="49"/>
      <c r="BN195" s="49"/>
      <c r="BO195" s="49" t="s">
        <v>570</v>
      </c>
      <c r="BP195" s="49" t="s">
        <v>570</v>
      </c>
      <c r="BQ195" s="123" t="s">
        <v>4261</v>
      </c>
      <c r="BR195" s="123" t="s">
        <v>4261</v>
      </c>
      <c r="BS195" s="123" t="s">
        <v>4353</v>
      </c>
      <c r="BT195" s="123" t="s">
        <v>4353</v>
      </c>
      <c r="BU195" s="2"/>
      <c r="BV195" s="3"/>
      <c r="BW195" s="3"/>
      <c r="BX195" s="3"/>
      <c r="BY195" s="3"/>
    </row>
    <row r="196" spans="1:77" ht="15">
      <c r="A196" s="65" t="s">
        <v>366</v>
      </c>
      <c r="B196" s="66"/>
      <c r="C196" s="66" t="s">
        <v>46</v>
      </c>
      <c r="D196" s="67"/>
      <c r="E196" s="69"/>
      <c r="F196" s="111" t="str">
        <f>HYPERLINK("https://pbs.twimg.com/profile_images/1449458188156379138/HPAk-gpN_normal.jpg")</f>
        <v>https://pbs.twimg.com/profile_images/1449458188156379138/HPAk-gpN_normal.jpg</v>
      </c>
      <c r="G196" s="66"/>
      <c r="H196" s="70" t="s">
        <v>366</v>
      </c>
      <c r="I196" s="71" t="s">
        <v>4417</v>
      </c>
      <c r="J196" s="71" t="s">
        <v>73</v>
      </c>
      <c r="K196" s="70" t="s">
        <v>2004</v>
      </c>
      <c r="L196" s="74">
        <v>1</v>
      </c>
      <c r="M196" s="75">
        <v>5698.12158203125</v>
      </c>
      <c r="N196" s="75">
        <v>1948.566162109375</v>
      </c>
      <c r="O196" s="76"/>
      <c r="P196" s="77"/>
      <c r="Q196" s="77"/>
      <c r="R196" s="104"/>
      <c r="S196" s="49">
        <v>0</v>
      </c>
      <c r="T196" s="49">
        <v>3</v>
      </c>
      <c r="U196" s="50">
        <v>3198.941414</v>
      </c>
      <c r="V196" s="50">
        <v>0.284621</v>
      </c>
      <c r="W196" s="50">
        <v>0.137391</v>
      </c>
      <c r="X196" s="50">
        <v>0.00393</v>
      </c>
      <c r="Y196" s="50">
        <v>0</v>
      </c>
      <c r="Z196" s="50">
        <v>0</v>
      </c>
      <c r="AA196" s="72">
        <v>196</v>
      </c>
      <c r="AB196" s="72"/>
      <c r="AC196" s="73"/>
      <c r="AD196" s="89" t="s">
        <v>1359</v>
      </c>
      <c r="AE196" s="96" t="s">
        <v>1554</v>
      </c>
      <c r="AF196" s="89">
        <v>2866</v>
      </c>
      <c r="AG196" s="89">
        <v>2049</v>
      </c>
      <c r="AH196" s="89">
        <v>12131</v>
      </c>
      <c r="AI196" s="89">
        <v>19309</v>
      </c>
      <c r="AJ196" s="89"/>
      <c r="AK196" s="89" t="s">
        <v>1738</v>
      </c>
      <c r="AL196" s="89" t="s">
        <v>1140</v>
      </c>
      <c r="AM196" s="89"/>
      <c r="AN196" s="89"/>
      <c r="AO196" s="92">
        <v>44192.6469212963</v>
      </c>
      <c r="AP196" s="99" t="str">
        <f>HYPERLINK("https://pbs.twimg.com/profile_banners/1343217806075195397/1610275299")</f>
        <v>https://pbs.twimg.com/profile_banners/1343217806075195397/1610275299</v>
      </c>
      <c r="AQ196" s="89" t="b">
        <v>1</v>
      </c>
      <c r="AR196" s="89" t="b">
        <v>0</v>
      </c>
      <c r="AS196" s="89" t="b">
        <v>0</v>
      </c>
      <c r="AT196" s="89"/>
      <c r="AU196" s="89">
        <v>3</v>
      </c>
      <c r="AV196" s="89"/>
      <c r="AW196" s="89" t="b">
        <v>0</v>
      </c>
      <c r="AX196" s="89" t="s">
        <v>1811</v>
      </c>
      <c r="AY196" s="99" t="str">
        <f>HYPERLINK("https://twitter.com/paulie880")</f>
        <v>https://twitter.com/paulie880</v>
      </c>
      <c r="AZ196" s="89" t="s">
        <v>66</v>
      </c>
      <c r="BA196" s="89" t="str">
        <f>REPLACE(INDEX(GroupVertices[Group],MATCH(Vertices[[#This Row],[Vertex]],GroupVertices[Vertex],0)),1,1,"")</f>
        <v>4</v>
      </c>
      <c r="BB196" s="49">
        <v>0</v>
      </c>
      <c r="BC196" s="50">
        <v>0</v>
      </c>
      <c r="BD196" s="49">
        <v>0</v>
      </c>
      <c r="BE196" s="50">
        <v>0</v>
      </c>
      <c r="BF196" s="49">
        <v>0</v>
      </c>
      <c r="BG196" s="50">
        <v>0</v>
      </c>
      <c r="BH196" s="49">
        <v>64</v>
      </c>
      <c r="BI196" s="50">
        <v>100</v>
      </c>
      <c r="BJ196" s="49">
        <v>64</v>
      </c>
      <c r="BK196" s="49"/>
      <c r="BL196" s="49"/>
      <c r="BM196" s="49"/>
      <c r="BN196" s="49"/>
      <c r="BO196" s="49" t="s">
        <v>570</v>
      </c>
      <c r="BP196" s="49" t="s">
        <v>570</v>
      </c>
      <c r="BQ196" s="123" t="s">
        <v>4263</v>
      </c>
      <c r="BR196" s="123" t="s">
        <v>4300</v>
      </c>
      <c r="BS196" s="123" t="s">
        <v>4379</v>
      </c>
      <c r="BT196" s="123" t="s">
        <v>4353</v>
      </c>
      <c r="BU196" s="2"/>
      <c r="BV196" s="3"/>
      <c r="BW196" s="3"/>
      <c r="BX196" s="3"/>
      <c r="BY196" s="3"/>
    </row>
    <row r="197" spans="1:77" ht="15">
      <c r="A197" s="65" t="s">
        <v>367</v>
      </c>
      <c r="B197" s="66"/>
      <c r="C197" s="66" t="s">
        <v>46</v>
      </c>
      <c r="D197" s="67"/>
      <c r="E197" s="69"/>
      <c r="F197" s="111" t="str">
        <f>HYPERLINK("https://pbs.twimg.com/profile_images/1441546332267692041/6-yZd1-e_normal.jpg")</f>
        <v>https://pbs.twimg.com/profile_images/1441546332267692041/6-yZd1-e_normal.jpg</v>
      </c>
      <c r="G197" s="66"/>
      <c r="H197" s="70" t="s">
        <v>367</v>
      </c>
      <c r="I197" s="71" t="s">
        <v>4417</v>
      </c>
      <c r="J197" s="71" t="s">
        <v>73</v>
      </c>
      <c r="K197" s="70" t="s">
        <v>2005</v>
      </c>
      <c r="L197" s="74">
        <v>1</v>
      </c>
      <c r="M197" s="75">
        <v>4544.09326171875</v>
      </c>
      <c r="N197" s="75">
        <v>528.47802734375</v>
      </c>
      <c r="O197" s="76"/>
      <c r="P197" s="77"/>
      <c r="Q197" s="77"/>
      <c r="R197" s="104"/>
      <c r="S197" s="49">
        <v>0</v>
      </c>
      <c r="T197" s="49">
        <v>1</v>
      </c>
      <c r="U197" s="50">
        <v>0</v>
      </c>
      <c r="V197" s="50">
        <v>0.200811</v>
      </c>
      <c r="W197" s="50">
        <v>0.021431</v>
      </c>
      <c r="X197" s="50">
        <v>0.003767</v>
      </c>
      <c r="Y197" s="50">
        <v>0</v>
      </c>
      <c r="Z197" s="50">
        <v>0</v>
      </c>
      <c r="AA197" s="72">
        <v>197</v>
      </c>
      <c r="AB197" s="72"/>
      <c r="AC197" s="73"/>
      <c r="AD197" s="89" t="s">
        <v>1360</v>
      </c>
      <c r="AE197" s="96" t="s">
        <v>1555</v>
      </c>
      <c r="AF197" s="89">
        <v>494</v>
      </c>
      <c r="AG197" s="89">
        <v>278</v>
      </c>
      <c r="AH197" s="89">
        <v>4356</v>
      </c>
      <c r="AI197" s="89">
        <v>13940</v>
      </c>
      <c r="AJ197" s="89"/>
      <c r="AK197" s="89"/>
      <c r="AL197" s="89"/>
      <c r="AM197" s="89"/>
      <c r="AN197" s="89"/>
      <c r="AO197" s="92">
        <v>44463.98150462963</v>
      </c>
      <c r="AP197" s="99" t="str">
        <f>HYPERLINK("https://pbs.twimg.com/profile_banners/1441546207235493888/1637574767")</f>
        <v>https://pbs.twimg.com/profile_banners/1441546207235493888/1637574767</v>
      </c>
      <c r="AQ197" s="89" t="b">
        <v>1</v>
      </c>
      <c r="AR197" s="89" t="b">
        <v>0</v>
      </c>
      <c r="AS197" s="89" t="b">
        <v>0</v>
      </c>
      <c r="AT197" s="89"/>
      <c r="AU197" s="89">
        <v>0</v>
      </c>
      <c r="AV197" s="89"/>
      <c r="AW197" s="89" t="b">
        <v>0</v>
      </c>
      <c r="AX197" s="89" t="s">
        <v>1811</v>
      </c>
      <c r="AY197" s="99" t="str">
        <f>HYPERLINK("https://twitter.com/safirella2")</f>
        <v>https://twitter.com/safirella2</v>
      </c>
      <c r="AZ197" s="89" t="s">
        <v>66</v>
      </c>
      <c r="BA197" s="89" t="str">
        <f>REPLACE(INDEX(GroupVertices[Group],MATCH(Vertices[[#This Row],[Vertex]],GroupVertices[Vertex],0)),1,1,"")</f>
        <v>4</v>
      </c>
      <c r="BB197" s="49">
        <v>0</v>
      </c>
      <c r="BC197" s="50">
        <v>0</v>
      </c>
      <c r="BD197" s="49">
        <v>0</v>
      </c>
      <c r="BE197" s="50">
        <v>0</v>
      </c>
      <c r="BF197" s="49">
        <v>0</v>
      </c>
      <c r="BG197" s="50">
        <v>0</v>
      </c>
      <c r="BH197" s="49">
        <v>24</v>
      </c>
      <c r="BI197" s="50">
        <v>100</v>
      </c>
      <c r="BJ197" s="49">
        <v>24</v>
      </c>
      <c r="BK197" s="49"/>
      <c r="BL197" s="49"/>
      <c r="BM197" s="49"/>
      <c r="BN197" s="49"/>
      <c r="BO197" s="49" t="s">
        <v>570</v>
      </c>
      <c r="BP197" s="49" t="s">
        <v>570</v>
      </c>
      <c r="BQ197" s="123" t="s">
        <v>4261</v>
      </c>
      <c r="BR197" s="123" t="s">
        <v>4261</v>
      </c>
      <c r="BS197" s="123" t="s">
        <v>4353</v>
      </c>
      <c r="BT197" s="123" t="s">
        <v>4353</v>
      </c>
      <c r="BU197" s="2"/>
      <c r="BV197" s="3"/>
      <c r="BW197" s="3"/>
      <c r="BX197" s="3"/>
      <c r="BY197" s="3"/>
    </row>
    <row r="198" spans="1:77" ht="15">
      <c r="A198" s="65" t="s">
        <v>368</v>
      </c>
      <c r="B198" s="66"/>
      <c r="C198" s="66" t="s">
        <v>46</v>
      </c>
      <c r="D198" s="67"/>
      <c r="E198" s="69"/>
      <c r="F198" s="111" t="str">
        <f>HYPERLINK("https://abs.twimg.com/sticky/default_profile_images/default_profile_normal.png")</f>
        <v>https://abs.twimg.com/sticky/default_profile_images/default_profile_normal.png</v>
      </c>
      <c r="G198" s="66"/>
      <c r="H198" s="70" t="s">
        <v>368</v>
      </c>
      <c r="I198" s="71" t="s">
        <v>4417</v>
      </c>
      <c r="J198" s="71" t="s">
        <v>73</v>
      </c>
      <c r="K198" s="70" t="s">
        <v>2006</v>
      </c>
      <c r="L198" s="74">
        <v>1</v>
      </c>
      <c r="M198" s="75">
        <v>4508.70166015625</v>
      </c>
      <c r="N198" s="75">
        <v>1778.00927734375</v>
      </c>
      <c r="O198" s="76"/>
      <c r="P198" s="77"/>
      <c r="Q198" s="77"/>
      <c r="R198" s="104"/>
      <c r="S198" s="49">
        <v>0</v>
      </c>
      <c r="T198" s="49">
        <v>1</v>
      </c>
      <c r="U198" s="50">
        <v>0</v>
      </c>
      <c r="V198" s="50">
        <v>0.200811</v>
      </c>
      <c r="W198" s="50">
        <v>0.021431</v>
      </c>
      <c r="X198" s="50">
        <v>0.003767</v>
      </c>
      <c r="Y198" s="50">
        <v>0</v>
      </c>
      <c r="Z198" s="50">
        <v>0</v>
      </c>
      <c r="AA198" s="72">
        <v>198</v>
      </c>
      <c r="AB198" s="72"/>
      <c r="AC198" s="73"/>
      <c r="AD198" s="89" t="s">
        <v>1361</v>
      </c>
      <c r="AE198" s="96" t="s">
        <v>1556</v>
      </c>
      <c r="AF198" s="89">
        <v>367</v>
      </c>
      <c r="AG198" s="89">
        <v>189</v>
      </c>
      <c r="AH198" s="89">
        <v>7675</v>
      </c>
      <c r="AI198" s="89">
        <v>59793</v>
      </c>
      <c r="AJ198" s="89"/>
      <c r="AK198" s="89"/>
      <c r="AL198" s="89"/>
      <c r="AM198" s="89"/>
      <c r="AN198" s="89"/>
      <c r="AO198" s="92">
        <v>43909.40207175926</v>
      </c>
      <c r="AP198" s="89"/>
      <c r="AQ198" s="89" t="b">
        <v>1</v>
      </c>
      <c r="AR198" s="89" t="b">
        <v>1</v>
      </c>
      <c r="AS198" s="89" t="b">
        <v>0</v>
      </c>
      <c r="AT198" s="89"/>
      <c r="AU198" s="89">
        <v>0</v>
      </c>
      <c r="AV198" s="89"/>
      <c r="AW198" s="89" t="b">
        <v>0</v>
      </c>
      <c r="AX198" s="89" t="s">
        <v>1811</v>
      </c>
      <c r="AY198" s="99" t="str">
        <f>HYPERLINK("https://twitter.com/markus_pitkanen")</f>
        <v>https://twitter.com/markus_pitkanen</v>
      </c>
      <c r="AZ198" s="89" t="s">
        <v>66</v>
      </c>
      <c r="BA198" s="89" t="str">
        <f>REPLACE(INDEX(GroupVertices[Group],MATCH(Vertices[[#This Row],[Vertex]],GroupVertices[Vertex],0)),1,1,"")</f>
        <v>4</v>
      </c>
      <c r="BB198" s="49">
        <v>0</v>
      </c>
      <c r="BC198" s="50">
        <v>0</v>
      </c>
      <c r="BD198" s="49">
        <v>0</v>
      </c>
      <c r="BE198" s="50">
        <v>0</v>
      </c>
      <c r="BF198" s="49">
        <v>0</v>
      </c>
      <c r="BG198" s="50">
        <v>0</v>
      </c>
      <c r="BH198" s="49">
        <v>24</v>
      </c>
      <c r="BI198" s="50">
        <v>100</v>
      </c>
      <c r="BJ198" s="49">
        <v>24</v>
      </c>
      <c r="BK198" s="49"/>
      <c r="BL198" s="49"/>
      <c r="BM198" s="49"/>
      <c r="BN198" s="49"/>
      <c r="BO198" s="49" t="s">
        <v>570</v>
      </c>
      <c r="BP198" s="49" t="s">
        <v>570</v>
      </c>
      <c r="BQ198" s="123" t="s">
        <v>4261</v>
      </c>
      <c r="BR198" s="123" t="s">
        <v>4261</v>
      </c>
      <c r="BS198" s="123" t="s">
        <v>4353</v>
      </c>
      <c r="BT198" s="123" t="s">
        <v>4353</v>
      </c>
      <c r="BU198" s="2"/>
      <c r="BV198" s="3"/>
      <c r="BW198" s="3"/>
      <c r="BX198" s="3"/>
      <c r="BY198" s="3"/>
    </row>
    <row r="199" spans="1:77" ht="15">
      <c r="A199" s="65" t="s">
        <v>370</v>
      </c>
      <c r="B199" s="66"/>
      <c r="C199" s="66" t="s">
        <v>46</v>
      </c>
      <c r="D199" s="67"/>
      <c r="E199" s="69"/>
      <c r="F199" s="111" t="str">
        <f>HYPERLINK("https://abs.twimg.com/sticky/default_profile_images/default_profile_normal.png")</f>
        <v>https://abs.twimg.com/sticky/default_profile_images/default_profile_normal.png</v>
      </c>
      <c r="G199" s="66"/>
      <c r="H199" s="70" t="s">
        <v>370</v>
      </c>
      <c r="I199" s="71" t="s">
        <v>4415</v>
      </c>
      <c r="J199" s="71" t="s">
        <v>73</v>
      </c>
      <c r="K199" s="70" t="s">
        <v>2007</v>
      </c>
      <c r="L199" s="74">
        <v>1</v>
      </c>
      <c r="M199" s="75">
        <v>6713.74658203125</v>
      </c>
      <c r="N199" s="75">
        <v>9001.7041015625</v>
      </c>
      <c r="O199" s="76"/>
      <c r="P199" s="77"/>
      <c r="Q199" s="77"/>
      <c r="R199" s="104"/>
      <c r="S199" s="49">
        <v>0</v>
      </c>
      <c r="T199" s="49">
        <v>2</v>
      </c>
      <c r="U199" s="50">
        <v>287.436134</v>
      </c>
      <c r="V199" s="50">
        <v>0.205914</v>
      </c>
      <c r="W199" s="50">
        <v>0.026763</v>
      </c>
      <c r="X199" s="50">
        <v>0.003882</v>
      </c>
      <c r="Y199" s="50">
        <v>0</v>
      </c>
      <c r="Z199" s="50">
        <v>0</v>
      </c>
      <c r="AA199" s="72">
        <v>199</v>
      </c>
      <c r="AB199" s="72"/>
      <c r="AC199" s="73"/>
      <c r="AD199" s="89" t="s">
        <v>1362</v>
      </c>
      <c r="AE199" s="96" t="s">
        <v>1557</v>
      </c>
      <c r="AF199" s="89">
        <v>614</v>
      </c>
      <c r="AG199" s="89">
        <v>187</v>
      </c>
      <c r="AH199" s="89">
        <v>5205</v>
      </c>
      <c r="AI199" s="89">
        <v>16813</v>
      </c>
      <c r="AJ199" s="89"/>
      <c r="AK199" s="89"/>
      <c r="AL199" s="89"/>
      <c r="AM199" s="89"/>
      <c r="AN199" s="89"/>
      <c r="AO199" s="92">
        <v>39909.191099537034</v>
      </c>
      <c r="AP199" s="89"/>
      <c r="AQ199" s="89" t="b">
        <v>1</v>
      </c>
      <c r="AR199" s="89" t="b">
        <v>1</v>
      </c>
      <c r="AS199" s="89" t="b">
        <v>0</v>
      </c>
      <c r="AT199" s="89"/>
      <c r="AU199" s="89">
        <v>2</v>
      </c>
      <c r="AV199" s="99" t="str">
        <f>HYPERLINK("https://abs.twimg.com/images/themes/theme1/bg.png")</f>
        <v>https://abs.twimg.com/images/themes/theme1/bg.png</v>
      </c>
      <c r="AW199" s="89" t="b">
        <v>0</v>
      </c>
      <c r="AX199" s="89" t="s">
        <v>1811</v>
      </c>
      <c r="AY199" s="99" t="str">
        <f>HYPERLINK("https://twitter.com/maucca")</f>
        <v>https://twitter.com/maucca</v>
      </c>
      <c r="AZ199" s="89" t="s">
        <v>66</v>
      </c>
      <c r="BA199" s="89" t="str">
        <f>REPLACE(INDEX(GroupVertices[Group],MATCH(Vertices[[#This Row],[Vertex]],GroupVertices[Vertex],0)),1,1,"")</f>
        <v>5</v>
      </c>
      <c r="BB199" s="49">
        <v>0</v>
      </c>
      <c r="BC199" s="50">
        <v>0</v>
      </c>
      <c r="BD199" s="49">
        <v>0</v>
      </c>
      <c r="BE199" s="50">
        <v>0</v>
      </c>
      <c r="BF199" s="49">
        <v>0</v>
      </c>
      <c r="BG199" s="50">
        <v>0</v>
      </c>
      <c r="BH199" s="49">
        <v>37</v>
      </c>
      <c r="BI199" s="50">
        <v>100</v>
      </c>
      <c r="BJ199" s="49">
        <v>37</v>
      </c>
      <c r="BK199" s="49" t="s">
        <v>3913</v>
      </c>
      <c r="BL199" s="49" t="s">
        <v>3913</v>
      </c>
      <c r="BM199" s="49" t="s">
        <v>554</v>
      </c>
      <c r="BN199" s="49" t="s">
        <v>554</v>
      </c>
      <c r="BO199" s="49" t="s">
        <v>570</v>
      </c>
      <c r="BP199" s="49" t="s">
        <v>570</v>
      </c>
      <c r="BQ199" s="123" t="s">
        <v>4261</v>
      </c>
      <c r="BR199" s="123" t="s">
        <v>4261</v>
      </c>
      <c r="BS199" s="123" t="s">
        <v>4353</v>
      </c>
      <c r="BT199" s="123" t="s">
        <v>4353</v>
      </c>
      <c r="BU199" s="2"/>
      <c r="BV199" s="3"/>
      <c r="BW199" s="3"/>
      <c r="BX199" s="3"/>
      <c r="BY199" s="3"/>
    </row>
    <row r="200" spans="1:77" ht="15">
      <c r="A200" s="65" t="s">
        <v>371</v>
      </c>
      <c r="B200" s="66"/>
      <c r="C200" s="66" t="s">
        <v>46</v>
      </c>
      <c r="D200" s="67">
        <v>10</v>
      </c>
      <c r="E200" s="69"/>
      <c r="F200" s="111" t="str">
        <f>HYPERLINK("https://pbs.twimg.com/profile_images/1304126962458415112/JsUCli57_normal.jpg")</f>
        <v>https://pbs.twimg.com/profile_images/1304126962458415112/JsUCli57_normal.jpg</v>
      </c>
      <c r="G200" s="66"/>
      <c r="H200" s="70" t="s">
        <v>371</v>
      </c>
      <c r="I200" s="71" t="s">
        <v>4410</v>
      </c>
      <c r="J200" s="71" t="s">
        <v>73</v>
      </c>
      <c r="K200" s="70" t="s">
        <v>2008</v>
      </c>
      <c r="L200" s="74">
        <v>200.96</v>
      </c>
      <c r="M200" s="75">
        <v>9181.6533203125</v>
      </c>
      <c r="N200" s="75">
        <v>1351.1175537109375</v>
      </c>
      <c r="O200" s="76"/>
      <c r="P200" s="77"/>
      <c r="Q200" s="77"/>
      <c r="R200" s="104"/>
      <c r="S200" s="49">
        <v>1</v>
      </c>
      <c r="T200" s="49">
        <v>1</v>
      </c>
      <c r="U200" s="50">
        <v>0</v>
      </c>
      <c r="V200" s="50">
        <v>0</v>
      </c>
      <c r="W200" s="50">
        <v>0</v>
      </c>
      <c r="X200" s="50">
        <v>0.004329</v>
      </c>
      <c r="Y200" s="50">
        <v>0</v>
      </c>
      <c r="Z200" s="50">
        <v>0</v>
      </c>
      <c r="AA200" s="72">
        <v>200</v>
      </c>
      <c r="AB200" s="72"/>
      <c r="AC200" s="73"/>
      <c r="AD200" s="89" t="s">
        <v>1363</v>
      </c>
      <c r="AE200" s="96" t="s">
        <v>1558</v>
      </c>
      <c r="AF200" s="89">
        <v>2627</v>
      </c>
      <c r="AG200" s="89">
        <v>1722</v>
      </c>
      <c r="AH200" s="89">
        <v>36517</v>
      </c>
      <c r="AI200" s="89">
        <v>105078</v>
      </c>
      <c r="AJ200" s="89"/>
      <c r="AK200" s="89" t="s">
        <v>1739</v>
      </c>
      <c r="AL200" s="89" t="s">
        <v>1807</v>
      </c>
      <c r="AM200" s="89"/>
      <c r="AN200" s="89"/>
      <c r="AO200" s="92">
        <v>43268.739965277775</v>
      </c>
      <c r="AP200" s="99" t="str">
        <f>HYPERLINK("https://pbs.twimg.com/profile_banners/1008405298422468608/1529323086")</f>
        <v>https://pbs.twimg.com/profile_banners/1008405298422468608/1529323086</v>
      </c>
      <c r="AQ200" s="89" t="b">
        <v>1</v>
      </c>
      <c r="AR200" s="89" t="b">
        <v>0</v>
      </c>
      <c r="AS200" s="89" t="b">
        <v>1</v>
      </c>
      <c r="AT200" s="89"/>
      <c r="AU200" s="89">
        <v>2</v>
      </c>
      <c r="AV200" s="89"/>
      <c r="AW200" s="89" t="b">
        <v>0</v>
      </c>
      <c r="AX200" s="89" t="s">
        <v>1811</v>
      </c>
      <c r="AY200" s="99" t="str">
        <f>HYPERLINK("https://twitter.com/taskinen_reijo")</f>
        <v>https://twitter.com/taskinen_reijo</v>
      </c>
      <c r="AZ200" s="89" t="s">
        <v>66</v>
      </c>
      <c r="BA200" s="89" t="str">
        <f>REPLACE(INDEX(GroupVertices[Group],MATCH(Vertices[[#This Row],[Vertex]],GroupVertices[Vertex],0)),1,1,"")</f>
        <v>7</v>
      </c>
      <c r="BB200" s="49">
        <v>0</v>
      </c>
      <c r="BC200" s="50">
        <v>0</v>
      </c>
      <c r="BD200" s="49">
        <v>0</v>
      </c>
      <c r="BE200" s="50">
        <v>0</v>
      </c>
      <c r="BF200" s="49">
        <v>0</v>
      </c>
      <c r="BG200" s="50">
        <v>0</v>
      </c>
      <c r="BH200" s="49">
        <v>15</v>
      </c>
      <c r="BI200" s="50">
        <v>100</v>
      </c>
      <c r="BJ200" s="49">
        <v>15</v>
      </c>
      <c r="BK200" s="49"/>
      <c r="BL200" s="49"/>
      <c r="BM200" s="49"/>
      <c r="BN200" s="49"/>
      <c r="BO200" s="49"/>
      <c r="BP200" s="49"/>
      <c r="BQ200" s="123" t="s">
        <v>4264</v>
      </c>
      <c r="BR200" s="123" t="s">
        <v>4264</v>
      </c>
      <c r="BS200" s="123" t="s">
        <v>4380</v>
      </c>
      <c r="BT200" s="123" t="s">
        <v>4380</v>
      </c>
      <c r="BU200" s="2"/>
      <c r="BV200" s="3"/>
      <c r="BW200" s="3"/>
      <c r="BX200" s="3"/>
      <c r="BY200" s="3"/>
    </row>
    <row r="201" spans="1:77" ht="15">
      <c r="A201" s="65" t="s">
        <v>372</v>
      </c>
      <c r="B201" s="66"/>
      <c r="C201" s="66" t="s">
        <v>46</v>
      </c>
      <c r="D201" s="67"/>
      <c r="E201" s="69"/>
      <c r="F201" s="111" t="str">
        <f>HYPERLINK("https://pbs.twimg.com/profile_images/1278423534986039297/1h_7GKoB_normal.jpg")</f>
        <v>https://pbs.twimg.com/profile_images/1278423534986039297/1h_7GKoB_normal.jpg</v>
      </c>
      <c r="G201" s="66"/>
      <c r="H201" s="70" t="s">
        <v>372</v>
      </c>
      <c r="I201" s="71" t="s">
        <v>4417</v>
      </c>
      <c r="J201" s="71" t="s">
        <v>73</v>
      </c>
      <c r="K201" s="70" t="s">
        <v>2009</v>
      </c>
      <c r="L201" s="74">
        <v>1</v>
      </c>
      <c r="M201" s="75">
        <v>5618.82568359375</v>
      </c>
      <c r="N201" s="75">
        <v>2752.92626953125</v>
      </c>
      <c r="O201" s="76"/>
      <c r="P201" s="77"/>
      <c r="Q201" s="77"/>
      <c r="R201" s="104"/>
      <c r="S201" s="49">
        <v>0</v>
      </c>
      <c r="T201" s="49">
        <v>1</v>
      </c>
      <c r="U201" s="50">
        <v>0</v>
      </c>
      <c r="V201" s="50">
        <v>0.200811</v>
      </c>
      <c r="W201" s="50">
        <v>0.021431</v>
      </c>
      <c r="X201" s="50">
        <v>0.003767</v>
      </c>
      <c r="Y201" s="50">
        <v>0</v>
      </c>
      <c r="Z201" s="50">
        <v>0</v>
      </c>
      <c r="AA201" s="72">
        <v>201</v>
      </c>
      <c r="AB201" s="72"/>
      <c r="AC201" s="73"/>
      <c r="AD201" s="89" t="s">
        <v>1364</v>
      </c>
      <c r="AE201" s="96" t="s">
        <v>1559</v>
      </c>
      <c r="AF201" s="89">
        <v>1380</v>
      </c>
      <c r="AG201" s="89">
        <v>1716</v>
      </c>
      <c r="AH201" s="89">
        <v>83393</v>
      </c>
      <c r="AI201" s="89">
        <v>140777</v>
      </c>
      <c r="AJ201" s="89"/>
      <c r="AK201" s="89"/>
      <c r="AL201" s="89"/>
      <c r="AM201" s="89"/>
      <c r="AN201" s="89"/>
      <c r="AO201" s="92">
        <v>44012.61614583333</v>
      </c>
      <c r="AP201" s="99" t="str">
        <f>HYPERLINK("https://pbs.twimg.com/profile_banners/1277976484225757186/1607821786")</f>
        <v>https://pbs.twimg.com/profile_banners/1277976484225757186/1607821786</v>
      </c>
      <c r="AQ201" s="89" t="b">
        <v>1</v>
      </c>
      <c r="AR201" s="89" t="b">
        <v>0</v>
      </c>
      <c r="AS201" s="89" t="b">
        <v>0</v>
      </c>
      <c r="AT201" s="89"/>
      <c r="AU201" s="89">
        <v>4</v>
      </c>
      <c r="AV201" s="89"/>
      <c r="AW201" s="89" t="b">
        <v>0</v>
      </c>
      <c r="AX201" s="89" t="s">
        <v>1811</v>
      </c>
      <c r="AY201" s="99" t="str">
        <f>HYPERLINK("https://twitter.com/marioargenta")</f>
        <v>https://twitter.com/marioargenta</v>
      </c>
      <c r="AZ201" s="89" t="s">
        <v>66</v>
      </c>
      <c r="BA201" s="89" t="str">
        <f>REPLACE(INDEX(GroupVertices[Group],MATCH(Vertices[[#This Row],[Vertex]],GroupVertices[Vertex],0)),1,1,"")</f>
        <v>4</v>
      </c>
      <c r="BB201" s="49">
        <v>0</v>
      </c>
      <c r="BC201" s="50">
        <v>0</v>
      </c>
      <c r="BD201" s="49">
        <v>0</v>
      </c>
      <c r="BE201" s="50">
        <v>0</v>
      </c>
      <c r="BF201" s="49">
        <v>0</v>
      </c>
      <c r="BG201" s="50">
        <v>0</v>
      </c>
      <c r="BH201" s="49">
        <v>24</v>
      </c>
      <c r="BI201" s="50">
        <v>100</v>
      </c>
      <c r="BJ201" s="49">
        <v>24</v>
      </c>
      <c r="BK201" s="49"/>
      <c r="BL201" s="49"/>
      <c r="BM201" s="49"/>
      <c r="BN201" s="49"/>
      <c r="BO201" s="49" t="s">
        <v>570</v>
      </c>
      <c r="BP201" s="49" t="s">
        <v>570</v>
      </c>
      <c r="BQ201" s="123" t="s">
        <v>4261</v>
      </c>
      <c r="BR201" s="123" t="s">
        <v>4261</v>
      </c>
      <c r="BS201" s="123" t="s">
        <v>4353</v>
      </c>
      <c r="BT201" s="123" t="s">
        <v>4353</v>
      </c>
      <c r="BU201" s="2"/>
      <c r="BV201" s="3"/>
      <c r="BW201" s="3"/>
      <c r="BX201" s="3"/>
      <c r="BY201" s="3"/>
    </row>
    <row r="202" spans="1:77" ht="15">
      <c r="A202" s="65" t="s">
        <v>373</v>
      </c>
      <c r="B202" s="66"/>
      <c r="C202" s="66" t="s">
        <v>46</v>
      </c>
      <c r="D202" s="67"/>
      <c r="E202" s="69"/>
      <c r="F202" s="111" t="str">
        <f>HYPERLINK("https://pbs.twimg.com/profile_images/1333342028609040393/f7e9-vsd_normal.jpg")</f>
        <v>https://pbs.twimg.com/profile_images/1333342028609040393/f7e9-vsd_normal.jpg</v>
      </c>
      <c r="G202" s="66"/>
      <c r="H202" s="70" t="s">
        <v>373</v>
      </c>
      <c r="I202" s="71" t="s">
        <v>4417</v>
      </c>
      <c r="J202" s="71" t="s">
        <v>73</v>
      </c>
      <c r="K202" s="70" t="s">
        <v>2010</v>
      </c>
      <c r="L202" s="74">
        <v>1</v>
      </c>
      <c r="M202" s="75">
        <v>5978.62255859375</v>
      </c>
      <c r="N202" s="75">
        <v>936.6058959960938</v>
      </c>
      <c r="O202" s="76"/>
      <c r="P202" s="77"/>
      <c r="Q202" s="77"/>
      <c r="R202" s="104"/>
      <c r="S202" s="49">
        <v>0</v>
      </c>
      <c r="T202" s="49">
        <v>1</v>
      </c>
      <c r="U202" s="50">
        <v>0</v>
      </c>
      <c r="V202" s="50">
        <v>0.200811</v>
      </c>
      <c r="W202" s="50">
        <v>0.021431</v>
      </c>
      <c r="X202" s="50">
        <v>0.003767</v>
      </c>
      <c r="Y202" s="50">
        <v>0</v>
      </c>
      <c r="Z202" s="50">
        <v>0</v>
      </c>
      <c r="AA202" s="72">
        <v>202</v>
      </c>
      <c r="AB202" s="72"/>
      <c r="AC202" s="73"/>
      <c r="AD202" s="89" t="s">
        <v>1365</v>
      </c>
      <c r="AE202" s="96" t="s">
        <v>1560</v>
      </c>
      <c r="AF202" s="89">
        <v>340</v>
      </c>
      <c r="AG202" s="89">
        <v>109</v>
      </c>
      <c r="AH202" s="89">
        <v>2493</v>
      </c>
      <c r="AI202" s="89">
        <v>7290</v>
      </c>
      <c r="AJ202" s="89"/>
      <c r="AK202" s="89" t="s">
        <v>1740</v>
      </c>
      <c r="AL202" s="89" t="s">
        <v>1772</v>
      </c>
      <c r="AM202" s="99" t="str">
        <f>HYPERLINK("https://t.co/tyrewND4Fq")</f>
        <v>https://t.co/tyrewND4Fq</v>
      </c>
      <c r="AN202" s="89"/>
      <c r="AO202" s="92">
        <v>42407.830729166664</v>
      </c>
      <c r="AP202" s="89"/>
      <c r="AQ202" s="89" t="b">
        <v>1</v>
      </c>
      <c r="AR202" s="89" t="b">
        <v>0</v>
      </c>
      <c r="AS202" s="89" t="b">
        <v>0</v>
      </c>
      <c r="AT202" s="89"/>
      <c r="AU202" s="89">
        <v>0</v>
      </c>
      <c r="AV202" s="89"/>
      <c r="AW202" s="89" t="b">
        <v>0</v>
      </c>
      <c r="AX202" s="89" t="s">
        <v>1811</v>
      </c>
      <c r="AY202" s="99" t="str">
        <f>HYPERLINK("https://twitter.com/samueldavidkin")</f>
        <v>https://twitter.com/samueldavidkin</v>
      </c>
      <c r="AZ202" s="89" t="s">
        <v>66</v>
      </c>
      <c r="BA202" s="89" t="str">
        <f>REPLACE(INDEX(GroupVertices[Group],MATCH(Vertices[[#This Row],[Vertex]],GroupVertices[Vertex],0)),1,1,"")</f>
        <v>4</v>
      </c>
      <c r="BB202" s="49">
        <v>0</v>
      </c>
      <c r="BC202" s="50">
        <v>0</v>
      </c>
      <c r="BD202" s="49">
        <v>0</v>
      </c>
      <c r="BE202" s="50">
        <v>0</v>
      </c>
      <c r="BF202" s="49">
        <v>0</v>
      </c>
      <c r="BG202" s="50">
        <v>0</v>
      </c>
      <c r="BH202" s="49">
        <v>24</v>
      </c>
      <c r="BI202" s="50">
        <v>100</v>
      </c>
      <c r="BJ202" s="49">
        <v>24</v>
      </c>
      <c r="BK202" s="49"/>
      <c r="BL202" s="49"/>
      <c r="BM202" s="49"/>
      <c r="BN202" s="49"/>
      <c r="BO202" s="49" t="s">
        <v>570</v>
      </c>
      <c r="BP202" s="49" t="s">
        <v>570</v>
      </c>
      <c r="BQ202" s="123" t="s">
        <v>4261</v>
      </c>
      <c r="BR202" s="123" t="s">
        <v>4261</v>
      </c>
      <c r="BS202" s="123" t="s">
        <v>4353</v>
      </c>
      <c r="BT202" s="123" t="s">
        <v>4353</v>
      </c>
      <c r="BU202" s="2"/>
      <c r="BV202" s="3"/>
      <c r="BW202" s="3"/>
      <c r="BX202" s="3"/>
      <c r="BY202" s="3"/>
    </row>
    <row r="203" spans="1:77" ht="15">
      <c r="A203" s="65" t="s">
        <v>374</v>
      </c>
      <c r="B203" s="66"/>
      <c r="C203" s="66" t="s">
        <v>46</v>
      </c>
      <c r="D203" s="67"/>
      <c r="E203" s="69"/>
      <c r="F203" s="111" t="str">
        <f>HYPERLINK("https://pbs.twimg.com/profile_images/1419013836498157568/fOvPdJt6_normal.jpg")</f>
        <v>https://pbs.twimg.com/profile_images/1419013836498157568/fOvPdJt6_normal.jpg</v>
      </c>
      <c r="G203" s="66"/>
      <c r="H203" s="70" t="s">
        <v>374</v>
      </c>
      <c r="I203" s="71" t="s">
        <v>4422</v>
      </c>
      <c r="J203" s="71" t="s">
        <v>73</v>
      </c>
      <c r="K203" s="70" t="s">
        <v>2011</v>
      </c>
      <c r="L203" s="74">
        <v>1</v>
      </c>
      <c r="M203" s="75">
        <v>6634.97021484375</v>
      </c>
      <c r="N203" s="75">
        <v>234.17147827148438</v>
      </c>
      <c r="O203" s="76"/>
      <c r="P203" s="77"/>
      <c r="Q203" s="77"/>
      <c r="R203" s="104"/>
      <c r="S203" s="49">
        <v>0</v>
      </c>
      <c r="T203" s="49">
        <v>1</v>
      </c>
      <c r="U203" s="50">
        <v>0</v>
      </c>
      <c r="V203" s="50">
        <v>0.007826</v>
      </c>
      <c r="W203" s="50">
        <v>0</v>
      </c>
      <c r="X203" s="50">
        <v>0.003925</v>
      </c>
      <c r="Y203" s="50">
        <v>0</v>
      </c>
      <c r="Z203" s="50">
        <v>0</v>
      </c>
      <c r="AA203" s="72">
        <v>203</v>
      </c>
      <c r="AB203" s="72"/>
      <c r="AC203" s="73"/>
      <c r="AD203" s="89" t="s">
        <v>1366</v>
      </c>
      <c r="AE203" s="96" t="s">
        <v>1561</v>
      </c>
      <c r="AF203" s="89">
        <v>38</v>
      </c>
      <c r="AG203" s="89">
        <v>47</v>
      </c>
      <c r="AH203" s="89">
        <v>327</v>
      </c>
      <c r="AI203" s="89">
        <v>1451</v>
      </c>
      <c r="AJ203" s="89"/>
      <c r="AK203" s="89"/>
      <c r="AL203" s="89"/>
      <c r="AM203" s="89"/>
      <c r="AN203" s="89"/>
      <c r="AO203" s="92">
        <v>44320.96836805555</v>
      </c>
      <c r="AP203" s="99" t="str">
        <f>HYPERLINK("https://pbs.twimg.com/profile_banners/1389720038882619393/1641047601")</f>
        <v>https://pbs.twimg.com/profile_banners/1389720038882619393/1641047601</v>
      </c>
      <c r="AQ203" s="89" t="b">
        <v>1</v>
      </c>
      <c r="AR203" s="89" t="b">
        <v>0</v>
      </c>
      <c r="AS203" s="89" t="b">
        <v>0</v>
      </c>
      <c r="AT203" s="89"/>
      <c r="AU203" s="89">
        <v>0</v>
      </c>
      <c r="AV203" s="89"/>
      <c r="AW203" s="89" t="b">
        <v>0</v>
      </c>
      <c r="AX203" s="89" t="s">
        <v>1811</v>
      </c>
      <c r="AY203" s="99" t="str">
        <f>HYPERLINK("https://twitter.com/benedictesnotes")</f>
        <v>https://twitter.com/benedictesnotes</v>
      </c>
      <c r="AZ203" s="89" t="s">
        <v>66</v>
      </c>
      <c r="BA203" s="89" t="str">
        <f>REPLACE(INDEX(GroupVertices[Group],MATCH(Vertices[[#This Row],[Vertex]],GroupVertices[Vertex],0)),1,1,"")</f>
        <v>9</v>
      </c>
      <c r="BB203" s="49">
        <v>0</v>
      </c>
      <c r="BC203" s="50">
        <v>0</v>
      </c>
      <c r="BD203" s="49">
        <v>0</v>
      </c>
      <c r="BE203" s="50">
        <v>0</v>
      </c>
      <c r="BF203" s="49">
        <v>0</v>
      </c>
      <c r="BG203" s="50">
        <v>0</v>
      </c>
      <c r="BH203" s="49">
        <v>30</v>
      </c>
      <c r="BI203" s="50">
        <v>100</v>
      </c>
      <c r="BJ203" s="49">
        <v>30</v>
      </c>
      <c r="BK203" s="49"/>
      <c r="BL203" s="49"/>
      <c r="BM203" s="49"/>
      <c r="BN203" s="49"/>
      <c r="BO203" s="49"/>
      <c r="BP203" s="49"/>
      <c r="BQ203" s="123" t="s">
        <v>4265</v>
      </c>
      <c r="BR203" s="123" t="s">
        <v>4265</v>
      </c>
      <c r="BS203" s="123" t="s">
        <v>4381</v>
      </c>
      <c r="BT203" s="123" t="s">
        <v>4381</v>
      </c>
      <c r="BU203" s="2"/>
      <c r="BV203" s="3"/>
      <c r="BW203" s="3"/>
      <c r="BX203" s="3"/>
      <c r="BY203" s="3"/>
    </row>
    <row r="204" spans="1:77" ht="15">
      <c r="A204" s="65" t="s">
        <v>444</v>
      </c>
      <c r="B204" s="66"/>
      <c r="C204" s="66" t="s">
        <v>64</v>
      </c>
      <c r="D204" s="67">
        <v>505</v>
      </c>
      <c r="E204" s="69"/>
      <c r="F204" s="111" t="str">
        <f>HYPERLINK("https://pbs.twimg.com/profile_images/1461820394328006665/M9QX0NUg_normal.jpg")</f>
        <v>https://pbs.twimg.com/profile_images/1461820394328006665/M9QX0NUg_normal.jpg</v>
      </c>
      <c r="G204" s="66"/>
      <c r="H204" s="70" t="s">
        <v>444</v>
      </c>
      <c r="I204" s="71" t="s">
        <v>4422</v>
      </c>
      <c r="J204" s="71" t="s">
        <v>75</v>
      </c>
      <c r="K204" s="70" t="s">
        <v>2012</v>
      </c>
      <c r="L204" s="74">
        <v>600.88</v>
      </c>
      <c r="M204" s="75">
        <v>7017.4541015625</v>
      </c>
      <c r="N204" s="75">
        <v>878.849853515625</v>
      </c>
      <c r="O204" s="76"/>
      <c r="P204" s="77"/>
      <c r="Q204" s="77"/>
      <c r="R204" s="104"/>
      <c r="S204" s="49">
        <v>3</v>
      </c>
      <c r="T204" s="49">
        <v>0</v>
      </c>
      <c r="U204" s="50">
        <v>4</v>
      </c>
      <c r="V204" s="50">
        <v>0.013043</v>
      </c>
      <c r="W204" s="50">
        <v>0</v>
      </c>
      <c r="X204" s="50">
        <v>0.004905</v>
      </c>
      <c r="Y204" s="50">
        <v>0.16666666666666666</v>
      </c>
      <c r="Z204" s="50">
        <v>0</v>
      </c>
      <c r="AA204" s="72">
        <v>204</v>
      </c>
      <c r="AB204" s="72"/>
      <c r="AC204" s="73"/>
      <c r="AD204" s="89" t="s">
        <v>1367</v>
      </c>
      <c r="AE204" s="96" t="s">
        <v>1124</v>
      </c>
      <c r="AF204" s="89">
        <v>451</v>
      </c>
      <c r="AG204" s="89">
        <v>138308</v>
      </c>
      <c r="AH204" s="89">
        <v>100299</v>
      </c>
      <c r="AI204" s="89">
        <v>3311</v>
      </c>
      <c r="AJ204" s="89"/>
      <c r="AK204" s="89" t="s">
        <v>1741</v>
      </c>
      <c r="AL204" s="89" t="s">
        <v>1808</v>
      </c>
      <c r="AM204" s="99" t="str">
        <f>HYPERLINK("https://t.co/SPLSnCfQV7")</f>
        <v>https://t.co/SPLSnCfQV7</v>
      </c>
      <c r="AN204" s="89"/>
      <c r="AO204" s="92">
        <v>40974.157743055555</v>
      </c>
      <c r="AP204" s="99" t="str">
        <f>HYPERLINK("https://pbs.twimg.com/profile_banners/516157233/1629626814")</f>
        <v>https://pbs.twimg.com/profile_banners/516157233/1629626814</v>
      </c>
      <c r="AQ204" s="89" t="b">
        <v>0</v>
      </c>
      <c r="AR204" s="89" t="b">
        <v>0</v>
      </c>
      <c r="AS204" s="89" t="b">
        <v>1</v>
      </c>
      <c r="AT204" s="89"/>
      <c r="AU204" s="89">
        <v>185</v>
      </c>
      <c r="AV204" s="99" t="str">
        <f>HYPERLINK("https://abs.twimg.com/images/themes/theme1/bg.png")</f>
        <v>https://abs.twimg.com/images/themes/theme1/bg.png</v>
      </c>
      <c r="AW204" s="89" t="b">
        <v>0</v>
      </c>
      <c r="AX204" s="89" t="s">
        <v>1811</v>
      </c>
      <c r="AY204" s="99" t="str">
        <f>HYPERLINK("https://twitter.com/valavuori")</f>
        <v>https://twitter.com/valavuori</v>
      </c>
      <c r="AZ204" s="89" t="s">
        <v>65</v>
      </c>
      <c r="BA204" s="89" t="str">
        <f>REPLACE(INDEX(GroupVertices[Group],MATCH(Vertices[[#This Row],[Vertex]],GroupVertices[Vertex],0)),1,1,"")</f>
        <v>9</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375</v>
      </c>
      <c r="B205" s="66"/>
      <c r="C205" s="66" t="s">
        <v>46</v>
      </c>
      <c r="D205" s="67"/>
      <c r="E205" s="69"/>
      <c r="F205" s="111" t="str">
        <f>HYPERLINK("https://pbs.twimg.com/profile_images/1476009884063830020/njQtL23S_normal.jpg")</f>
        <v>https://pbs.twimg.com/profile_images/1476009884063830020/njQtL23S_normal.jpg</v>
      </c>
      <c r="G205" s="66"/>
      <c r="H205" s="70" t="s">
        <v>375</v>
      </c>
      <c r="I205" s="71" t="s">
        <v>4411</v>
      </c>
      <c r="J205" s="71" t="s">
        <v>73</v>
      </c>
      <c r="K205" s="70" t="s">
        <v>2013</v>
      </c>
      <c r="L205" s="74">
        <v>1</v>
      </c>
      <c r="M205" s="75">
        <v>6019.36181640625</v>
      </c>
      <c r="N205" s="75">
        <v>6387.49609375</v>
      </c>
      <c r="O205" s="76"/>
      <c r="P205" s="77"/>
      <c r="Q205" s="77"/>
      <c r="R205" s="104"/>
      <c r="S205" s="49">
        <v>0</v>
      </c>
      <c r="T205" s="49">
        <v>2</v>
      </c>
      <c r="U205" s="50">
        <v>354</v>
      </c>
      <c r="V205" s="50">
        <v>0.201989</v>
      </c>
      <c r="W205" s="50">
        <v>0.004157</v>
      </c>
      <c r="X205" s="50">
        <v>0.004354</v>
      </c>
      <c r="Y205" s="50">
        <v>0</v>
      </c>
      <c r="Z205" s="50">
        <v>0</v>
      </c>
      <c r="AA205" s="72">
        <v>205</v>
      </c>
      <c r="AB205" s="72"/>
      <c r="AC205" s="73"/>
      <c r="AD205" s="89" t="s">
        <v>1368</v>
      </c>
      <c r="AE205" s="96" t="s">
        <v>1562</v>
      </c>
      <c r="AF205" s="89">
        <v>266</v>
      </c>
      <c r="AG205" s="89">
        <v>194</v>
      </c>
      <c r="AH205" s="89">
        <v>3061</v>
      </c>
      <c r="AI205" s="89">
        <v>17497</v>
      </c>
      <c r="AJ205" s="89"/>
      <c r="AK205" s="89" t="s">
        <v>1742</v>
      </c>
      <c r="AL205" s="89" t="s">
        <v>1772</v>
      </c>
      <c r="AM205" s="89"/>
      <c r="AN205" s="89"/>
      <c r="AO205" s="92">
        <v>41517.194386574076</v>
      </c>
      <c r="AP205" s="99" t="str">
        <f>HYPERLINK("https://pbs.twimg.com/profile_banners/1714586126/1622288422")</f>
        <v>https://pbs.twimg.com/profile_banners/1714586126/1622288422</v>
      </c>
      <c r="AQ205" s="89" t="b">
        <v>1</v>
      </c>
      <c r="AR205" s="89" t="b">
        <v>0</v>
      </c>
      <c r="AS205" s="89" t="b">
        <v>1</v>
      </c>
      <c r="AT205" s="89"/>
      <c r="AU205" s="89">
        <v>2</v>
      </c>
      <c r="AV205" s="99" t="str">
        <f>HYPERLINK("https://abs.twimg.com/images/themes/theme1/bg.png")</f>
        <v>https://abs.twimg.com/images/themes/theme1/bg.png</v>
      </c>
      <c r="AW205" s="89" t="b">
        <v>0</v>
      </c>
      <c r="AX205" s="89" t="s">
        <v>1811</v>
      </c>
      <c r="AY205" s="99" t="str">
        <f>HYPERLINK("https://twitter.com/tealindblom")</f>
        <v>https://twitter.com/tealindblom</v>
      </c>
      <c r="AZ205" s="89" t="s">
        <v>66</v>
      </c>
      <c r="BA205" s="89" t="str">
        <f>REPLACE(INDEX(GroupVertices[Group],MATCH(Vertices[[#This Row],[Vertex]],GroupVertices[Vertex],0)),1,1,"")</f>
        <v>3</v>
      </c>
      <c r="BB205" s="49">
        <v>0</v>
      </c>
      <c r="BC205" s="50">
        <v>0</v>
      </c>
      <c r="BD205" s="49">
        <v>0</v>
      </c>
      <c r="BE205" s="50">
        <v>0</v>
      </c>
      <c r="BF205" s="49">
        <v>0</v>
      </c>
      <c r="BG205" s="50">
        <v>0</v>
      </c>
      <c r="BH205" s="49">
        <v>9</v>
      </c>
      <c r="BI205" s="50">
        <v>100</v>
      </c>
      <c r="BJ205" s="49">
        <v>9</v>
      </c>
      <c r="BK205" s="49"/>
      <c r="BL205" s="49"/>
      <c r="BM205" s="49"/>
      <c r="BN205" s="49"/>
      <c r="BO205" s="49"/>
      <c r="BP205" s="49"/>
      <c r="BQ205" s="123" t="s">
        <v>4266</v>
      </c>
      <c r="BR205" s="123" t="s">
        <v>4266</v>
      </c>
      <c r="BS205" s="123" t="s">
        <v>4382</v>
      </c>
      <c r="BT205" s="123" t="s">
        <v>4382</v>
      </c>
      <c r="BU205" s="2"/>
      <c r="BV205" s="3"/>
      <c r="BW205" s="3"/>
      <c r="BX205" s="3"/>
      <c r="BY205" s="3"/>
    </row>
    <row r="206" spans="1:77" ht="15">
      <c r="A206" s="65" t="s">
        <v>445</v>
      </c>
      <c r="B206" s="66"/>
      <c r="C206" s="66" t="s">
        <v>46</v>
      </c>
      <c r="D206" s="67">
        <v>10</v>
      </c>
      <c r="E206" s="69"/>
      <c r="F206" s="111" t="str">
        <f>HYPERLINK("https://pbs.twimg.com/profile_images/1260667062810222600/M62llbPM_normal.jpg")</f>
        <v>https://pbs.twimg.com/profile_images/1260667062810222600/M62llbPM_normal.jpg</v>
      </c>
      <c r="G206" s="66"/>
      <c r="H206" s="70" t="s">
        <v>445</v>
      </c>
      <c r="I206" s="71" t="s">
        <v>4411</v>
      </c>
      <c r="J206" s="71" t="s">
        <v>75</v>
      </c>
      <c r="K206" s="70" t="s">
        <v>2014</v>
      </c>
      <c r="L206" s="74">
        <v>200.96</v>
      </c>
      <c r="M206" s="75">
        <v>6276.40478515625</v>
      </c>
      <c r="N206" s="75">
        <v>5254.8525390625</v>
      </c>
      <c r="O206" s="76"/>
      <c r="P206" s="77"/>
      <c r="Q206" s="77"/>
      <c r="R206" s="104"/>
      <c r="S206" s="49">
        <v>1</v>
      </c>
      <c r="T206" s="49">
        <v>0</v>
      </c>
      <c r="U206" s="50">
        <v>0</v>
      </c>
      <c r="V206" s="50">
        <v>0.160368</v>
      </c>
      <c r="W206" s="50">
        <v>0.000532</v>
      </c>
      <c r="X206" s="50">
        <v>0.004006</v>
      </c>
      <c r="Y206" s="50">
        <v>0</v>
      </c>
      <c r="Z206" s="50">
        <v>0</v>
      </c>
      <c r="AA206" s="72">
        <v>206</v>
      </c>
      <c r="AB206" s="72"/>
      <c r="AC206" s="73"/>
      <c r="AD206" s="89" t="s">
        <v>1369</v>
      </c>
      <c r="AE206" s="96" t="s">
        <v>1125</v>
      </c>
      <c r="AF206" s="89">
        <v>1552</v>
      </c>
      <c r="AG206" s="89">
        <v>5365</v>
      </c>
      <c r="AH206" s="89">
        <v>28817</v>
      </c>
      <c r="AI206" s="89">
        <v>46051</v>
      </c>
      <c r="AJ206" s="89"/>
      <c r="AK206" s="89" t="s">
        <v>1743</v>
      </c>
      <c r="AL206" s="89" t="s">
        <v>1809</v>
      </c>
      <c r="AM206" s="89"/>
      <c r="AN206" s="89"/>
      <c r="AO206" s="92">
        <v>41439.382256944446</v>
      </c>
      <c r="AP206" s="99" t="str">
        <f>HYPERLINK("https://pbs.twimg.com/profile_banners/1515834372/1589454845")</f>
        <v>https://pbs.twimg.com/profile_banners/1515834372/1589454845</v>
      </c>
      <c r="AQ206" s="89" t="b">
        <v>0</v>
      </c>
      <c r="AR206" s="89" t="b">
        <v>0</v>
      </c>
      <c r="AS206" s="89" t="b">
        <v>1</v>
      </c>
      <c r="AT206" s="89"/>
      <c r="AU206" s="89">
        <v>82</v>
      </c>
      <c r="AV206" s="99" t="str">
        <f>HYPERLINK("https://abs.twimg.com/images/themes/theme1/bg.png")</f>
        <v>https://abs.twimg.com/images/themes/theme1/bg.png</v>
      </c>
      <c r="AW206" s="89" t="b">
        <v>0</v>
      </c>
      <c r="AX206" s="89" t="s">
        <v>1811</v>
      </c>
      <c r="AY206" s="99" t="str">
        <f>HYPERLINK("https://twitter.com/tommihermunen")</f>
        <v>https://twitter.com/tommihermunen</v>
      </c>
      <c r="AZ206" s="89" t="s">
        <v>65</v>
      </c>
      <c r="BA206" s="89" t="str">
        <f>REPLACE(INDEX(GroupVertices[Group],MATCH(Vertices[[#This Row],[Vertex]],GroupVertices[Vertex],0)),1,1,"")</f>
        <v>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376</v>
      </c>
      <c r="B207" s="66"/>
      <c r="C207" s="66" t="s">
        <v>46</v>
      </c>
      <c r="D207" s="67"/>
      <c r="E207" s="69"/>
      <c r="F207" s="111" t="str">
        <f>HYPERLINK("https://pbs.twimg.com/profile_images/494429619538653184/MvT2LW92_normal.jpeg")</f>
        <v>https://pbs.twimg.com/profile_images/494429619538653184/MvT2LW92_normal.jpeg</v>
      </c>
      <c r="G207" s="66"/>
      <c r="H207" s="70" t="s">
        <v>376</v>
      </c>
      <c r="I207" s="71" t="s">
        <v>4417</v>
      </c>
      <c r="J207" s="71" t="s">
        <v>73</v>
      </c>
      <c r="K207" s="70" t="s">
        <v>2015</v>
      </c>
      <c r="L207" s="74">
        <v>1</v>
      </c>
      <c r="M207" s="75">
        <v>5206.13330078125</v>
      </c>
      <c r="N207" s="75">
        <v>3081.107421875</v>
      </c>
      <c r="O207" s="76"/>
      <c r="P207" s="77"/>
      <c r="Q207" s="77"/>
      <c r="R207" s="104"/>
      <c r="S207" s="49">
        <v>0</v>
      </c>
      <c r="T207" s="49">
        <v>1</v>
      </c>
      <c r="U207" s="50">
        <v>0</v>
      </c>
      <c r="V207" s="50">
        <v>0.200811</v>
      </c>
      <c r="W207" s="50">
        <v>0.021431</v>
      </c>
      <c r="X207" s="50">
        <v>0.003767</v>
      </c>
      <c r="Y207" s="50">
        <v>0</v>
      </c>
      <c r="Z207" s="50">
        <v>0</v>
      </c>
      <c r="AA207" s="72">
        <v>207</v>
      </c>
      <c r="AB207" s="72"/>
      <c r="AC207" s="73"/>
      <c r="AD207" s="89" t="s">
        <v>1370</v>
      </c>
      <c r="AE207" s="96" t="s">
        <v>1563</v>
      </c>
      <c r="AF207" s="89">
        <v>702</v>
      </c>
      <c r="AG207" s="89">
        <v>400</v>
      </c>
      <c r="AH207" s="89">
        <v>50899</v>
      </c>
      <c r="AI207" s="89">
        <v>59269</v>
      </c>
      <c r="AJ207" s="89"/>
      <c r="AK207" s="89" t="s">
        <v>1744</v>
      </c>
      <c r="AL207" s="89"/>
      <c r="AM207" s="89"/>
      <c r="AN207" s="89"/>
      <c r="AO207" s="92">
        <v>40232.47976851852</v>
      </c>
      <c r="AP207" s="89"/>
      <c r="AQ207" s="89" t="b">
        <v>1</v>
      </c>
      <c r="AR207" s="89" t="b">
        <v>0</v>
      </c>
      <c r="AS207" s="89" t="b">
        <v>1</v>
      </c>
      <c r="AT207" s="89"/>
      <c r="AU207" s="89">
        <v>48</v>
      </c>
      <c r="AV207" s="99" t="str">
        <f>HYPERLINK("https://abs.twimg.com/images/themes/theme1/bg.png")</f>
        <v>https://abs.twimg.com/images/themes/theme1/bg.png</v>
      </c>
      <c r="AW207" s="89" t="b">
        <v>0</v>
      </c>
      <c r="AX207" s="89" t="s">
        <v>1811</v>
      </c>
      <c r="AY207" s="99" t="str">
        <f>HYPERLINK("https://twitter.com/k272479")</f>
        <v>https://twitter.com/k272479</v>
      </c>
      <c r="AZ207" s="89" t="s">
        <v>66</v>
      </c>
      <c r="BA207" s="89" t="str">
        <f>REPLACE(INDEX(GroupVertices[Group],MATCH(Vertices[[#This Row],[Vertex]],GroupVertices[Vertex],0)),1,1,"")</f>
        <v>4</v>
      </c>
      <c r="BB207" s="49">
        <v>0</v>
      </c>
      <c r="BC207" s="50">
        <v>0</v>
      </c>
      <c r="BD207" s="49">
        <v>0</v>
      </c>
      <c r="BE207" s="50">
        <v>0</v>
      </c>
      <c r="BF207" s="49">
        <v>0</v>
      </c>
      <c r="BG207" s="50">
        <v>0</v>
      </c>
      <c r="BH207" s="49">
        <v>24</v>
      </c>
      <c r="BI207" s="50">
        <v>100</v>
      </c>
      <c r="BJ207" s="49">
        <v>24</v>
      </c>
      <c r="BK207" s="49"/>
      <c r="BL207" s="49"/>
      <c r="BM207" s="49"/>
      <c r="BN207" s="49"/>
      <c r="BO207" s="49" t="s">
        <v>570</v>
      </c>
      <c r="BP207" s="49" t="s">
        <v>570</v>
      </c>
      <c r="BQ207" s="123" t="s">
        <v>4261</v>
      </c>
      <c r="BR207" s="123" t="s">
        <v>4261</v>
      </c>
      <c r="BS207" s="123" t="s">
        <v>4353</v>
      </c>
      <c r="BT207" s="123" t="s">
        <v>4353</v>
      </c>
      <c r="BU207" s="2"/>
      <c r="BV207" s="3"/>
      <c r="BW207" s="3"/>
      <c r="BX207" s="3"/>
      <c r="BY207" s="3"/>
    </row>
    <row r="208" spans="1:77" ht="15">
      <c r="A208" s="65" t="s">
        <v>377</v>
      </c>
      <c r="B208" s="66"/>
      <c r="C208" s="66" t="s">
        <v>46</v>
      </c>
      <c r="D208" s="67"/>
      <c r="E208" s="69"/>
      <c r="F208" s="111" t="str">
        <f>HYPERLINK("https://pbs.twimg.com/profile_images/417909917668737024/reQfjg4C_normal.jpeg")</f>
        <v>https://pbs.twimg.com/profile_images/417909917668737024/reQfjg4C_normal.jpeg</v>
      </c>
      <c r="G208" s="66"/>
      <c r="H208" s="70" t="s">
        <v>377</v>
      </c>
      <c r="I208" s="71" t="s">
        <v>4411</v>
      </c>
      <c r="J208" s="71" t="s">
        <v>73</v>
      </c>
      <c r="K208" s="70" t="s">
        <v>2016</v>
      </c>
      <c r="L208" s="74">
        <v>1</v>
      </c>
      <c r="M208" s="75">
        <v>5175.39111328125</v>
      </c>
      <c r="N208" s="75">
        <v>8955.8876953125</v>
      </c>
      <c r="O208" s="76"/>
      <c r="P208" s="77"/>
      <c r="Q208" s="77"/>
      <c r="R208" s="104"/>
      <c r="S208" s="49">
        <v>0</v>
      </c>
      <c r="T208" s="49">
        <v>1</v>
      </c>
      <c r="U208" s="50">
        <v>0</v>
      </c>
      <c r="V208" s="50">
        <v>0.201398</v>
      </c>
      <c r="W208" s="50">
        <v>0.004089</v>
      </c>
      <c r="X208" s="50">
        <v>0.003753</v>
      </c>
      <c r="Y208" s="50">
        <v>0</v>
      </c>
      <c r="Z208" s="50">
        <v>0</v>
      </c>
      <c r="AA208" s="72">
        <v>208</v>
      </c>
      <c r="AB208" s="72"/>
      <c r="AC208" s="73"/>
      <c r="AD208" s="89" t="s">
        <v>1371</v>
      </c>
      <c r="AE208" s="96" t="s">
        <v>1564</v>
      </c>
      <c r="AF208" s="89">
        <v>7</v>
      </c>
      <c r="AG208" s="89">
        <v>0</v>
      </c>
      <c r="AH208" s="89">
        <v>41</v>
      </c>
      <c r="AI208" s="89">
        <v>0</v>
      </c>
      <c r="AJ208" s="89"/>
      <c r="AK208" s="89"/>
      <c r="AL208" s="89" t="s">
        <v>1769</v>
      </c>
      <c r="AM208" s="89"/>
      <c r="AN208" s="89"/>
      <c r="AO208" s="92">
        <v>41619.32806712963</v>
      </c>
      <c r="AP208" s="89"/>
      <c r="AQ208" s="89" t="b">
        <v>1</v>
      </c>
      <c r="AR208" s="89" t="b">
        <v>0</v>
      </c>
      <c r="AS208" s="89" t="b">
        <v>0</v>
      </c>
      <c r="AT208" s="89"/>
      <c r="AU208" s="89">
        <v>0</v>
      </c>
      <c r="AV208" s="99" t="str">
        <f>HYPERLINK("https://abs.twimg.com/images/themes/theme1/bg.png")</f>
        <v>https://abs.twimg.com/images/themes/theme1/bg.png</v>
      </c>
      <c r="AW208" s="89" t="b">
        <v>0</v>
      </c>
      <c r="AX208" s="89" t="s">
        <v>1811</v>
      </c>
      <c r="AY208" s="99" t="str">
        <f>HYPERLINK("https://twitter.com/jotiittanen")</f>
        <v>https://twitter.com/jotiittanen</v>
      </c>
      <c r="AZ208" s="89" t="s">
        <v>66</v>
      </c>
      <c r="BA208" s="89" t="str">
        <f>REPLACE(INDEX(GroupVertices[Group],MATCH(Vertices[[#This Row],[Vertex]],GroupVertices[Vertex],0)),1,1,"")</f>
        <v>3</v>
      </c>
      <c r="BB208" s="49">
        <v>0</v>
      </c>
      <c r="BC208" s="50">
        <v>0</v>
      </c>
      <c r="BD208" s="49">
        <v>0</v>
      </c>
      <c r="BE208" s="50">
        <v>0</v>
      </c>
      <c r="BF208" s="49">
        <v>0</v>
      </c>
      <c r="BG208" s="50">
        <v>0</v>
      </c>
      <c r="BH208" s="49">
        <v>24</v>
      </c>
      <c r="BI208" s="50">
        <v>100</v>
      </c>
      <c r="BJ208" s="49">
        <v>24</v>
      </c>
      <c r="BK208" s="49"/>
      <c r="BL208" s="49"/>
      <c r="BM208" s="49"/>
      <c r="BN208" s="49"/>
      <c r="BO208" s="49"/>
      <c r="BP208" s="49"/>
      <c r="BQ208" s="123" t="s">
        <v>4267</v>
      </c>
      <c r="BR208" s="123" t="s">
        <v>4267</v>
      </c>
      <c r="BS208" s="123" t="s">
        <v>4383</v>
      </c>
      <c r="BT208" s="123" t="s">
        <v>4383</v>
      </c>
      <c r="BU208" s="2"/>
      <c r="BV208" s="3"/>
      <c r="BW208" s="3"/>
      <c r="BX208" s="3"/>
      <c r="BY208" s="3"/>
    </row>
    <row r="209" spans="1:77" ht="15">
      <c r="A209" s="65" t="s">
        <v>378</v>
      </c>
      <c r="B209" s="66"/>
      <c r="C209" s="66" t="s">
        <v>46</v>
      </c>
      <c r="D209" s="67"/>
      <c r="E209" s="69"/>
      <c r="F209" s="111" t="str">
        <f>HYPERLINK("https://pbs.twimg.com/profile_images/1481254747470503938/LyMAK7tR_normal.jpg")</f>
        <v>https://pbs.twimg.com/profile_images/1481254747470503938/LyMAK7tR_normal.jpg</v>
      </c>
      <c r="G209" s="66"/>
      <c r="H209" s="70" t="s">
        <v>378</v>
      </c>
      <c r="I209" s="71" t="s">
        <v>4417</v>
      </c>
      <c r="J209" s="71" t="s">
        <v>73</v>
      </c>
      <c r="K209" s="70" t="s">
        <v>2017</v>
      </c>
      <c r="L209" s="74">
        <v>1</v>
      </c>
      <c r="M209" s="75">
        <v>5453.9716796875</v>
      </c>
      <c r="N209" s="75">
        <v>334.8258056640625</v>
      </c>
      <c r="O209" s="76"/>
      <c r="P209" s="77"/>
      <c r="Q209" s="77"/>
      <c r="R209" s="104"/>
      <c r="S209" s="49">
        <v>0</v>
      </c>
      <c r="T209" s="49">
        <v>1</v>
      </c>
      <c r="U209" s="50">
        <v>0</v>
      </c>
      <c r="V209" s="50">
        <v>0.200811</v>
      </c>
      <c r="W209" s="50">
        <v>0.021431</v>
      </c>
      <c r="X209" s="50">
        <v>0.003767</v>
      </c>
      <c r="Y209" s="50">
        <v>0</v>
      </c>
      <c r="Z209" s="50">
        <v>0</v>
      </c>
      <c r="AA209" s="72">
        <v>209</v>
      </c>
      <c r="AB209" s="72"/>
      <c r="AC209" s="73"/>
      <c r="AD209" s="89" t="s">
        <v>1372</v>
      </c>
      <c r="AE209" s="96" t="s">
        <v>1565</v>
      </c>
      <c r="AF209" s="89">
        <v>959</v>
      </c>
      <c r="AG209" s="89">
        <v>194</v>
      </c>
      <c r="AH209" s="89">
        <v>80</v>
      </c>
      <c r="AI209" s="89">
        <v>897</v>
      </c>
      <c r="AJ209" s="89"/>
      <c r="AK209" s="89" t="s">
        <v>1745</v>
      </c>
      <c r="AL209" s="89"/>
      <c r="AM209" s="89"/>
      <c r="AN209" s="89"/>
      <c r="AO209" s="92">
        <v>44525.52216435185</v>
      </c>
      <c r="AP209" s="89"/>
      <c r="AQ209" s="89" t="b">
        <v>1</v>
      </c>
      <c r="AR209" s="89" t="b">
        <v>0</v>
      </c>
      <c r="AS209" s="89" t="b">
        <v>0</v>
      </c>
      <c r="AT209" s="89"/>
      <c r="AU209" s="89">
        <v>0</v>
      </c>
      <c r="AV209" s="89"/>
      <c r="AW209" s="89" t="b">
        <v>0</v>
      </c>
      <c r="AX209" s="89" t="s">
        <v>1811</v>
      </c>
      <c r="AY209" s="99" t="str">
        <f>HYPERLINK("https://twitter.com/rvalinnut")</f>
        <v>https://twitter.com/rvalinnut</v>
      </c>
      <c r="AZ209" s="89" t="s">
        <v>66</v>
      </c>
      <c r="BA209" s="89" t="str">
        <f>REPLACE(INDEX(GroupVertices[Group],MATCH(Vertices[[#This Row],[Vertex]],GroupVertices[Vertex],0)),1,1,"")</f>
        <v>4</v>
      </c>
      <c r="BB209" s="49">
        <v>0</v>
      </c>
      <c r="BC209" s="50">
        <v>0</v>
      </c>
      <c r="BD209" s="49">
        <v>0</v>
      </c>
      <c r="BE209" s="50">
        <v>0</v>
      </c>
      <c r="BF209" s="49">
        <v>0</v>
      </c>
      <c r="BG209" s="50">
        <v>0</v>
      </c>
      <c r="BH209" s="49">
        <v>24</v>
      </c>
      <c r="BI209" s="50">
        <v>100</v>
      </c>
      <c r="BJ209" s="49">
        <v>24</v>
      </c>
      <c r="BK209" s="49"/>
      <c r="BL209" s="49"/>
      <c r="BM209" s="49"/>
      <c r="BN209" s="49"/>
      <c r="BO209" s="49" t="s">
        <v>570</v>
      </c>
      <c r="BP209" s="49" t="s">
        <v>570</v>
      </c>
      <c r="BQ209" s="123" t="s">
        <v>4261</v>
      </c>
      <c r="BR209" s="123" t="s">
        <v>4261</v>
      </c>
      <c r="BS209" s="123" t="s">
        <v>4353</v>
      </c>
      <c r="BT209" s="123" t="s">
        <v>4353</v>
      </c>
      <c r="BU209" s="2"/>
      <c r="BV209" s="3"/>
      <c r="BW209" s="3"/>
      <c r="BX209" s="3"/>
      <c r="BY209" s="3"/>
    </row>
    <row r="210" spans="1:77" ht="15">
      <c r="A210" s="65" t="s">
        <v>379</v>
      </c>
      <c r="B210" s="66"/>
      <c r="C210" s="66" t="s">
        <v>46</v>
      </c>
      <c r="D210" s="67"/>
      <c r="E210" s="69"/>
      <c r="F210" s="111" t="str">
        <f>HYPERLINK("https://pbs.twimg.com/profile_images/1039825278971854848/RYVE7XCF_normal.jpg")</f>
        <v>https://pbs.twimg.com/profile_images/1039825278971854848/RYVE7XCF_normal.jpg</v>
      </c>
      <c r="G210" s="66"/>
      <c r="H210" s="70" t="s">
        <v>379</v>
      </c>
      <c r="I210" s="71" t="s">
        <v>4417</v>
      </c>
      <c r="J210" s="71" t="s">
        <v>73</v>
      </c>
      <c r="K210" s="70" t="s">
        <v>2018</v>
      </c>
      <c r="L210" s="74">
        <v>1</v>
      </c>
      <c r="M210" s="75">
        <v>5743.84228515625</v>
      </c>
      <c r="N210" s="75">
        <v>571.6321411132812</v>
      </c>
      <c r="O210" s="76"/>
      <c r="P210" s="77"/>
      <c r="Q210" s="77"/>
      <c r="R210" s="104"/>
      <c r="S210" s="49">
        <v>0</v>
      </c>
      <c r="T210" s="49">
        <v>2</v>
      </c>
      <c r="U210" s="50">
        <v>518.26645</v>
      </c>
      <c r="V210" s="50">
        <v>0.242103</v>
      </c>
      <c r="W210" s="50">
        <v>0.105538</v>
      </c>
      <c r="X210" s="50">
        <v>0.00385</v>
      </c>
      <c r="Y210" s="50">
        <v>0</v>
      </c>
      <c r="Z210" s="50">
        <v>0</v>
      </c>
      <c r="AA210" s="72">
        <v>210</v>
      </c>
      <c r="AB210" s="72"/>
      <c r="AC210" s="73"/>
      <c r="AD210" s="89" t="s">
        <v>1373</v>
      </c>
      <c r="AE210" s="96" t="s">
        <v>1566</v>
      </c>
      <c r="AF210" s="89">
        <v>304</v>
      </c>
      <c r="AG210" s="89">
        <v>210</v>
      </c>
      <c r="AH210" s="89">
        <v>773</v>
      </c>
      <c r="AI210" s="89">
        <v>3931</v>
      </c>
      <c r="AJ210" s="89"/>
      <c r="AK210" s="89" t="s">
        <v>1746</v>
      </c>
      <c r="AL210" s="89"/>
      <c r="AM210" s="89"/>
      <c r="AN210" s="89"/>
      <c r="AO210" s="92">
        <v>43347.15045138889</v>
      </c>
      <c r="AP210" s="89"/>
      <c r="AQ210" s="89" t="b">
        <v>1</v>
      </c>
      <c r="AR210" s="89" t="b">
        <v>0</v>
      </c>
      <c r="AS210" s="89" t="b">
        <v>0</v>
      </c>
      <c r="AT210" s="89"/>
      <c r="AU210" s="89">
        <v>1</v>
      </c>
      <c r="AV210" s="89"/>
      <c r="AW210" s="89" t="b">
        <v>0</v>
      </c>
      <c r="AX210" s="89" t="s">
        <v>1811</v>
      </c>
      <c r="AY210" s="99" t="str">
        <f>HYPERLINK("https://twitter.com/minna_talvitie")</f>
        <v>https://twitter.com/minna_talvitie</v>
      </c>
      <c r="AZ210" s="89" t="s">
        <v>66</v>
      </c>
      <c r="BA210" s="89" t="str">
        <f>REPLACE(INDEX(GroupVertices[Group],MATCH(Vertices[[#This Row],[Vertex]],GroupVertices[Vertex],0)),1,1,"")</f>
        <v>4</v>
      </c>
      <c r="BB210" s="49">
        <v>0</v>
      </c>
      <c r="BC210" s="50">
        <v>0</v>
      </c>
      <c r="BD210" s="49">
        <v>0</v>
      </c>
      <c r="BE210" s="50">
        <v>0</v>
      </c>
      <c r="BF210" s="49">
        <v>0</v>
      </c>
      <c r="BG210" s="50">
        <v>0</v>
      </c>
      <c r="BH210" s="49">
        <v>28</v>
      </c>
      <c r="BI210" s="50">
        <v>100</v>
      </c>
      <c r="BJ210" s="49">
        <v>28</v>
      </c>
      <c r="BK210" s="49"/>
      <c r="BL210" s="49"/>
      <c r="BM210" s="49"/>
      <c r="BN210" s="49"/>
      <c r="BO210" s="49" t="s">
        <v>570</v>
      </c>
      <c r="BP210" s="49" t="s">
        <v>570</v>
      </c>
      <c r="BQ210" s="123" t="s">
        <v>4261</v>
      </c>
      <c r="BR210" s="123" t="s">
        <v>4261</v>
      </c>
      <c r="BS210" s="123" t="s">
        <v>4353</v>
      </c>
      <c r="BT210" s="123" t="s">
        <v>4353</v>
      </c>
      <c r="BU210" s="2"/>
      <c r="BV210" s="3"/>
      <c r="BW210" s="3"/>
      <c r="BX210" s="3"/>
      <c r="BY210" s="3"/>
    </row>
    <row r="211" spans="1:77" ht="15">
      <c r="A211" s="65" t="s">
        <v>380</v>
      </c>
      <c r="B211" s="66"/>
      <c r="C211" s="66" t="s">
        <v>46</v>
      </c>
      <c r="D211" s="67"/>
      <c r="E211" s="69"/>
      <c r="F211" s="111" t="str">
        <f>HYPERLINK("https://pbs.twimg.com/profile_images/1480471113218068485/A3bUPSyV_normal.png")</f>
        <v>https://pbs.twimg.com/profile_images/1480471113218068485/A3bUPSyV_normal.png</v>
      </c>
      <c r="G211" s="66"/>
      <c r="H211" s="70" t="s">
        <v>380</v>
      </c>
      <c r="I211" s="71" t="s">
        <v>4408</v>
      </c>
      <c r="J211" s="71" t="s">
        <v>73</v>
      </c>
      <c r="K211" s="70" t="s">
        <v>2019</v>
      </c>
      <c r="L211" s="74">
        <v>1</v>
      </c>
      <c r="M211" s="75">
        <v>2416.769775390625</v>
      </c>
      <c r="N211" s="75">
        <v>6321.71728515625</v>
      </c>
      <c r="O211" s="76"/>
      <c r="P211" s="77"/>
      <c r="Q211" s="77"/>
      <c r="R211" s="104"/>
      <c r="S211" s="49">
        <v>0</v>
      </c>
      <c r="T211" s="49">
        <v>2</v>
      </c>
      <c r="U211" s="50">
        <v>354</v>
      </c>
      <c r="V211" s="50">
        <v>0.211283</v>
      </c>
      <c r="W211" s="50">
        <v>0.032383</v>
      </c>
      <c r="X211" s="50">
        <v>0.00436</v>
      </c>
      <c r="Y211" s="50">
        <v>0</v>
      </c>
      <c r="Z211" s="50">
        <v>0</v>
      </c>
      <c r="AA211" s="72">
        <v>211</v>
      </c>
      <c r="AB211" s="72"/>
      <c r="AC211" s="73"/>
      <c r="AD211" s="89" t="s">
        <v>1374</v>
      </c>
      <c r="AE211" s="96" t="s">
        <v>1567</v>
      </c>
      <c r="AF211" s="89">
        <v>60</v>
      </c>
      <c r="AG211" s="89">
        <v>10</v>
      </c>
      <c r="AH211" s="89">
        <v>180</v>
      </c>
      <c r="AI211" s="89">
        <v>365</v>
      </c>
      <c r="AJ211" s="89"/>
      <c r="AK211" s="89"/>
      <c r="AL211" s="89"/>
      <c r="AM211" s="89"/>
      <c r="AN211" s="89"/>
      <c r="AO211" s="92">
        <v>44571.3934375</v>
      </c>
      <c r="AP211" s="89"/>
      <c r="AQ211" s="89" t="b">
        <v>1</v>
      </c>
      <c r="AR211" s="89" t="b">
        <v>0</v>
      </c>
      <c r="AS211" s="89" t="b">
        <v>0</v>
      </c>
      <c r="AT211" s="89"/>
      <c r="AU211" s="89">
        <v>0</v>
      </c>
      <c r="AV211" s="89"/>
      <c r="AW211" s="89" t="b">
        <v>0</v>
      </c>
      <c r="AX211" s="89" t="s">
        <v>1811</v>
      </c>
      <c r="AY211" s="99" t="str">
        <f>HYPERLINK("https://twitter.com/vilenaila")</f>
        <v>https://twitter.com/vilenaila</v>
      </c>
      <c r="AZ211" s="89" t="s">
        <v>66</v>
      </c>
      <c r="BA211" s="89" t="str">
        <f>REPLACE(INDEX(GroupVertices[Group],MATCH(Vertices[[#This Row],[Vertex]],GroupVertices[Vertex],0)),1,1,"")</f>
        <v>2</v>
      </c>
      <c r="BB211" s="49">
        <v>0</v>
      </c>
      <c r="BC211" s="50">
        <v>0</v>
      </c>
      <c r="BD211" s="49">
        <v>0</v>
      </c>
      <c r="BE211" s="50">
        <v>0</v>
      </c>
      <c r="BF211" s="49">
        <v>0</v>
      </c>
      <c r="BG211" s="50">
        <v>0</v>
      </c>
      <c r="BH211" s="49">
        <v>24</v>
      </c>
      <c r="BI211" s="50">
        <v>100</v>
      </c>
      <c r="BJ211" s="49">
        <v>24</v>
      </c>
      <c r="BK211" s="49"/>
      <c r="BL211" s="49"/>
      <c r="BM211" s="49"/>
      <c r="BN211" s="49"/>
      <c r="BO211" s="49"/>
      <c r="BP211" s="49"/>
      <c r="BQ211" s="123" t="s">
        <v>4268</v>
      </c>
      <c r="BR211" s="123" t="s">
        <v>4301</v>
      </c>
      <c r="BS211" s="123" t="s">
        <v>4384</v>
      </c>
      <c r="BT211" s="123" t="s">
        <v>4402</v>
      </c>
      <c r="BU211" s="2"/>
      <c r="BV211" s="3"/>
      <c r="BW211" s="3"/>
      <c r="BX211" s="3"/>
      <c r="BY211" s="3"/>
    </row>
    <row r="212" spans="1:77" ht="15">
      <c r="A212" s="65" t="s">
        <v>446</v>
      </c>
      <c r="B212" s="66"/>
      <c r="C212" s="66" t="s">
        <v>46</v>
      </c>
      <c r="D212" s="67">
        <v>10</v>
      </c>
      <c r="E212" s="69"/>
      <c r="F212" s="111" t="str">
        <f>HYPERLINK("https://pbs.twimg.com/profile_images/1367811209030995968/Z9NrKZDp_normal.jpg")</f>
        <v>https://pbs.twimg.com/profile_images/1367811209030995968/Z9NrKZDp_normal.jpg</v>
      </c>
      <c r="G212" s="66"/>
      <c r="H212" s="70" t="s">
        <v>446</v>
      </c>
      <c r="I212" s="71" t="s">
        <v>4408</v>
      </c>
      <c r="J212" s="71" t="s">
        <v>75</v>
      </c>
      <c r="K212" s="70" t="s">
        <v>2020</v>
      </c>
      <c r="L212" s="74">
        <v>200.96</v>
      </c>
      <c r="M212" s="75">
        <v>2716.89453125</v>
      </c>
      <c r="N212" s="75">
        <v>5104.87646484375</v>
      </c>
      <c r="O212" s="76"/>
      <c r="P212" s="77"/>
      <c r="Q212" s="77"/>
      <c r="R212" s="104"/>
      <c r="S212" s="49">
        <v>1</v>
      </c>
      <c r="T212" s="49">
        <v>0</v>
      </c>
      <c r="U212" s="50">
        <v>0</v>
      </c>
      <c r="V212" s="50">
        <v>0.166172</v>
      </c>
      <c r="W212" s="50">
        <v>0.004144</v>
      </c>
      <c r="X212" s="50">
        <v>0.004007</v>
      </c>
      <c r="Y212" s="50">
        <v>0</v>
      </c>
      <c r="Z212" s="50">
        <v>0</v>
      </c>
      <c r="AA212" s="72">
        <v>212</v>
      </c>
      <c r="AB212" s="72"/>
      <c r="AC212" s="73"/>
      <c r="AD212" s="89" t="s">
        <v>1375</v>
      </c>
      <c r="AE212" s="96" t="s">
        <v>1126</v>
      </c>
      <c r="AF212" s="89">
        <v>674</v>
      </c>
      <c r="AG212" s="89">
        <v>405</v>
      </c>
      <c r="AH212" s="89">
        <v>5921</v>
      </c>
      <c r="AI212" s="89">
        <v>29832</v>
      </c>
      <c r="AJ212" s="89"/>
      <c r="AK212" s="89" t="s">
        <v>1747</v>
      </c>
      <c r="AL212" s="89"/>
      <c r="AM212" s="89"/>
      <c r="AN212" s="89"/>
      <c r="AO212" s="92">
        <v>44257.75680555555</v>
      </c>
      <c r="AP212" s="89"/>
      <c r="AQ212" s="89" t="b">
        <v>1</v>
      </c>
      <c r="AR212" s="89" t="b">
        <v>0</v>
      </c>
      <c r="AS212" s="89" t="b">
        <v>0</v>
      </c>
      <c r="AT212" s="89"/>
      <c r="AU212" s="89">
        <v>2</v>
      </c>
      <c r="AV212" s="89"/>
      <c r="AW212" s="89" t="b">
        <v>0</v>
      </c>
      <c r="AX212" s="89" t="s">
        <v>1811</v>
      </c>
      <c r="AY212" s="99" t="str">
        <f>HYPERLINK("https://twitter.com/annuliini_")</f>
        <v>https://twitter.com/annuliini_</v>
      </c>
      <c r="AZ212" s="89" t="s">
        <v>65</v>
      </c>
      <c r="BA212" s="89"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5" t="s">
        <v>381</v>
      </c>
      <c r="B213" s="66"/>
      <c r="C213" s="66" t="s">
        <v>46</v>
      </c>
      <c r="D213" s="67"/>
      <c r="E213" s="69"/>
      <c r="F213" s="111" t="str">
        <f>HYPERLINK("https://pbs.twimg.com/profile_images/1455651929644838917/WEjwVKg1_normal.jpg")</f>
        <v>https://pbs.twimg.com/profile_images/1455651929644838917/WEjwVKg1_normal.jpg</v>
      </c>
      <c r="G213" s="66"/>
      <c r="H213" s="70" t="s">
        <v>381</v>
      </c>
      <c r="I213" s="71" t="s">
        <v>4417</v>
      </c>
      <c r="J213" s="71" t="s">
        <v>73</v>
      </c>
      <c r="K213" s="70" t="s">
        <v>2021</v>
      </c>
      <c r="L213" s="74">
        <v>1</v>
      </c>
      <c r="M213" s="75">
        <v>6098.322265625</v>
      </c>
      <c r="N213" s="75">
        <v>1476.3720703125</v>
      </c>
      <c r="O213" s="76"/>
      <c r="P213" s="77"/>
      <c r="Q213" s="77"/>
      <c r="R213" s="104"/>
      <c r="S213" s="49">
        <v>0</v>
      </c>
      <c r="T213" s="49">
        <v>1</v>
      </c>
      <c r="U213" s="50">
        <v>0</v>
      </c>
      <c r="V213" s="50">
        <v>0.200811</v>
      </c>
      <c r="W213" s="50">
        <v>0.021431</v>
      </c>
      <c r="X213" s="50">
        <v>0.003767</v>
      </c>
      <c r="Y213" s="50">
        <v>0</v>
      </c>
      <c r="Z213" s="50">
        <v>0</v>
      </c>
      <c r="AA213" s="72">
        <v>213</v>
      </c>
      <c r="AB213" s="72"/>
      <c r="AC213" s="73"/>
      <c r="AD213" s="89" t="s">
        <v>1376</v>
      </c>
      <c r="AE213" s="96" t="s">
        <v>1568</v>
      </c>
      <c r="AF213" s="89">
        <v>132</v>
      </c>
      <c r="AG213" s="89">
        <v>77</v>
      </c>
      <c r="AH213" s="89">
        <v>2979</v>
      </c>
      <c r="AI213" s="89">
        <v>210</v>
      </c>
      <c r="AJ213" s="89"/>
      <c r="AK213" s="89" t="s">
        <v>1748</v>
      </c>
      <c r="AL213" s="89"/>
      <c r="AM213" s="89"/>
      <c r="AN213" s="89"/>
      <c r="AO213" s="92">
        <v>44502.90454861111</v>
      </c>
      <c r="AP213" s="89"/>
      <c r="AQ213" s="89" t="b">
        <v>1</v>
      </c>
      <c r="AR213" s="89" t="b">
        <v>0</v>
      </c>
      <c r="AS213" s="89" t="b">
        <v>0</v>
      </c>
      <c r="AT213" s="89"/>
      <c r="AU213" s="89">
        <v>0</v>
      </c>
      <c r="AV213" s="89"/>
      <c r="AW213" s="89" t="b">
        <v>0</v>
      </c>
      <c r="AX213" s="89" t="s">
        <v>1811</v>
      </c>
      <c r="AY213" s="99" t="str">
        <f>HYPERLINK("https://twitter.com/mpbacardinen")</f>
        <v>https://twitter.com/mpbacardinen</v>
      </c>
      <c r="AZ213" s="89" t="s">
        <v>66</v>
      </c>
      <c r="BA213" s="89" t="str">
        <f>REPLACE(INDEX(GroupVertices[Group],MATCH(Vertices[[#This Row],[Vertex]],GroupVertices[Vertex],0)),1,1,"")</f>
        <v>4</v>
      </c>
      <c r="BB213" s="49">
        <v>0</v>
      </c>
      <c r="BC213" s="50">
        <v>0</v>
      </c>
      <c r="BD213" s="49">
        <v>0</v>
      </c>
      <c r="BE213" s="50">
        <v>0</v>
      </c>
      <c r="BF213" s="49">
        <v>0</v>
      </c>
      <c r="BG213" s="50">
        <v>0</v>
      </c>
      <c r="BH213" s="49">
        <v>24</v>
      </c>
      <c r="BI213" s="50">
        <v>100</v>
      </c>
      <c r="BJ213" s="49">
        <v>24</v>
      </c>
      <c r="BK213" s="49"/>
      <c r="BL213" s="49"/>
      <c r="BM213" s="49"/>
      <c r="BN213" s="49"/>
      <c r="BO213" s="49" t="s">
        <v>570</v>
      </c>
      <c r="BP213" s="49" t="s">
        <v>570</v>
      </c>
      <c r="BQ213" s="123" t="s">
        <v>4261</v>
      </c>
      <c r="BR213" s="123" t="s">
        <v>4261</v>
      </c>
      <c r="BS213" s="123" t="s">
        <v>4353</v>
      </c>
      <c r="BT213" s="123" t="s">
        <v>4353</v>
      </c>
      <c r="BU213" s="2"/>
      <c r="BV213" s="3"/>
      <c r="BW213" s="3"/>
      <c r="BX213" s="3"/>
      <c r="BY213" s="3"/>
    </row>
    <row r="214" spans="1:77" ht="15">
      <c r="A214" s="65" t="s">
        <v>382</v>
      </c>
      <c r="B214" s="66"/>
      <c r="C214" s="66" t="s">
        <v>46</v>
      </c>
      <c r="D214" s="67">
        <v>10</v>
      </c>
      <c r="E214" s="69"/>
      <c r="F214" s="111" t="str">
        <f>HYPERLINK("https://pbs.twimg.com/profile_images/1483054269024591877/9c6LFl1r_normal.jpg")</f>
        <v>https://pbs.twimg.com/profile_images/1483054269024591877/9c6LFl1r_normal.jpg</v>
      </c>
      <c r="G214" s="66"/>
      <c r="H214" s="70" t="s">
        <v>382</v>
      </c>
      <c r="I214" s="71" t="s">
        <v>4422</v>
      </c>
      <c r="J214" s="71" t="s">
        <v>73</v>
      </c>
      <c r="K214" s="70" t="s">
        <v>2022</v>
      </c>
      <c r="L214" s="74">
        <v>200.96</v>
      </c>
      <c r="M214" s="75">
        <v>7645.50732421875</v>
      </c>
      <c r="N214" s="75">
        <v>1295.7032470703125</v>
      </c>
      <c r="O214" s="76"/>
      <c r="P214" s="77"/>
      <c r="Q214" s="77"/>
      <c r="R214" s="104"/>
      <c r="S214" s="49">
        <v>1</v>
      </c>
      <c r="T214" s="49">
        <v>1</v>
      </c>
      <c r="U214" s="50">
        <v>0</v>
      </c>
      <c r="V214" s="50">
        <v>0.009783</v>
      </c>
      <c r="W214" s="50">
        <v>0</v>
      </c>
      <c r="X214" s="50">
        <v>0.004243</v>
      </c>
      <c r="Y214" s="50">
        <v>0.5</v>
      </c>
      <c r="Z214" s="50">
        <v>0</v>
      </c>
      <c r="AA214" s="72">
        <v>214</v>
      </c>
      <c r="AB214" s="72"/>
      <c r="AC214" s="73"/>
      <c r="AD214" s="89" t="s">
        <v>1377</v>
      </c>
      <c r="AE214" s="96" t="s">
        <v>1569</v>
      </c>
      <c r="AF214" s="89">
        <v>47</v>
      </c>
      <c r="AG214" s="89">
        <v>5</v>
      </c>
      <c r="AH214" s="89">
        <v>36</v>
      </c>
      <c r="AI214" s="89">
        <v>531</v>
      </c>
      <c r="AJ214" s="89"/>
      <c r="AK214" s="89"/>
      <c r="AL214" s="89"/>
      <c r="AM214" s="89"/>
      <c r="AN214" s="89"/>
      <c r="AO214" s="92">
        <v>44488.14895833333</v>
      </c>
      <c r="AP214" s="89"/>
      <c r="AQ214" s="89" t="b">
        <v>1</v>
      </c>
      <c r="AR214" s="89" t="b">
        <v>0</v>
      </c>
      <c r="AS214" s="89" t="b">
        <v>0</v>
      </c>
      <c r="AT214" s="89"/>
      <c r="AU214" s="89">
        <v>0</v>
      </c>
      <c r="AV214" s="89"/>
      <c r="AW214" s="89" t="b">
        <v>0</v>
      </c>
      <c r="AX214" s="89" t="s">
        <v>1811</v>
      </c>
      <c r="AY214" s="99" t="str">
        <f>HYPERLINK("https://twitter.com/tulkuttaja")</f>
        <v>https://twitter.com/tulkuttaja</v>
      </c>
      <c r="AZ214" s="89" t="s">
        <v>66</v>
      </c>
      <c r="BA214" s="89" t="str">
        <f>REPLACE(INDEX(GroupVertices[Group],MATCH(Vertices[[#This Row],[Vertex]],GroupVertices[Vertex],0)),1,1,"")</f>
        <v>9</v>
      </c>
      <c r="BB214" s="49">
        <v>0</v>
      </c>
      <c r="BC214" s="50">
        <v>0</v>
      </c>
      <c r="BD214" s="49">
        <v>0</v>
      </c>
      <c r="BE214" s="50">
        <v>0</v>
      </c>
      <c r="BF214" s="49">
        <v>0</v>
      </c>
      <c r="BG214" s="50">
        <v>0</v>
      </c>
      <c r="BH214" s="49">
        <v>16</v>
      </c>
      <c r="BI214" s="50">
        <v>100</v>
      </c>
      <c r="BJ214" s="49">
        <v>16</v>
      </c>
      <c r="BK214" s="49"/>
      <c r="BL214" s="49"/>
      <c r="BM214" s="49"/>
      <c r="BN214" s="49"/>
      <c r="BO214" s="49"/>
      <c r="BP214" s="49"/>
      <c r="BQ214" s="123" t="s">
        <v>4269</v>
      </c>
      <c r="BR214" s="123" t="s">
        <v>4269</v>
      </c>
      <c r="BS214" s="123" t="s">
        <v>4385</v>
      </c>
      <c r="BT214" s="123" t="s">
        <v>4385</v>
      </c>
      <c r="BU214" s="2"/>
      <c r="BV214" s="3"/>
      <c r="BW214" s="3"/>
      <c r="BX214" s="3"/>
      <c r="BY214" s="3"/>
    </row>
    <row r="215" spans="1:77" ht="15">
      <c r="A215" s="65" t="s">
        <v>383</v>
      </c>
      <c r="B215" s="66"/>
      <c r="C215" s="66" t="s">
        <v>46</v>
      </c>
      <c r="D215" s="67"/>
      <c r="E215" s="69"/>
      <c r="F215" s="111" t="str">
        <f>HYPERLINK("https://pbs.twimg.com/profile_images/1480228579808002059/UZv9Fp9K_normal.jpg")</f>
        <v>https://pbs.twimg.com/profile_images/1480228579808002059/UZv9Fp9K_normal.jpg</v>
      </c>
      <c r="G215" s="66"/>
      <c r="H215" s="70" t="s">
        <v>383</v>
      </c>
      <c r="I215" s="71" t="s">
        <v>4422</v>
      </c>
      <c r="J215" s="71" t="s">
        <v>73</v>
      </c>
      <c r="K215" s="70" t="s">
        <v>2023</v>
      </c>
      <c r="L215" s="74">
        <v>1</v>
      </c>
      <c r="M215" s="75">
        <v>7018.35498046875</v>
      </c>
      <c r="N215" s="75">
        <v>1522.0989990234375</v>
      </c>
      <c r="O215" s="76"/>
      <c r="P215" s="77"/>
      <c r="Q215" s="77"/>
      <c r="R215" s="104"/>
      <c r="S215" s="49">
        <v>0</v>
      </c>
      <c r="T215" s="49">
        <v>2</v>
      </c>
      <c r="U215" s="50">
        <v>0</v>
      </c>
      <c r="V215" s="50">
        <v>0.009783</v>
      </c>
      <c r="W215" s="50">
        <v>0</v>
      </c>
      <c r="X215" s="50">
        <v>0.004243</v>
      </c>
      <c r="Y215" s="50">
        <v>0.5</v>
      </c>
      <c r="Z215" s="50">
        <v>0</v>
      </c>
      <c r="AA215" s="72">
        <v>215</v>
      </c>
      <c r="AB215" s="72"/>
      <c r="AC215" s="73"/>
      <c r="AD215" s="89" t="s">
        <v>1378</v>
      </c>
      <c r="AE215" s="96" t="s">
        <v>1570</v>
      </c>
      <c r="AF215" s="89">
        <v>738</v>
      </c>
      <c r="AG215" s="89">
        <v>278</v>
      </c>
      <c r="AH215" s="89">
        <v>9261</v>
      </c>
      <c r="AI215" s="89">
        <v>13975</v>
      </c>
      <c r="AJ215" s="89"/>
      <c r="AK215" s="89" t="s">
        <v>1749</v>
      </c>
      <c r="AL215" s="89" t="s">
        <v>1140</v>
      </c>
      <c r="AM215" s="89"/>
      <c r="AN215" s="89"/>
      <c r="AO215" s="92">
        <v>42823.636921296296</v>
      </c>
      <c r="AP215" s="99" t="str">
        <f>HYPERLINK("https://pbs.twimg.com/profile_banners/847105357201772544/1490800958")</f>
        <v>https://pbs.twimg.com/profile_banners/847105357201772544/1490800958</v>
      </c>
      <c r="AQ215" s="89" t="b">
        <v>0</v>
      </c>
      <c r="AR215" s="89" t="b">
        <v>0</v>
      </c>
      <c r="AS215" s="89" t="b">
        <v>0</v>
      </c>
      <c r="AT215" s="89"/>
      <c r="AU215" s="89">
        <v>1</v>
      </c>
      <c r="AV215" s="99" t="str">
        <f>HYPERLINK("https://abs.twimg.com/images/themes/theme1/bg.png")</f>
        <v>https://abs.twimg.com/images/themes/theme1/bg.png</v>
      </c>
      <c r="AW215" s="89" t="b">
        <v>0</v>
      </c>
      <c r="AX215" s="89" t="s">
        <v>1811</v>
      </c>
      <c r="AY215" s="99" t="str">
        <f>HYPERLINK("https://twitter.com/jarvinen79")</f>
        <v>https://twitter.com/jarvinen79</v>
      </c>
      <c r="AZ215" s="89" t="s">
        <v>66</v>
      </c>
      <c r="BA215" s="89" t="str">
        <f>REPLACE(INDEX(GroupVertices[Group],MATCH(Vertices[[#This Row],[Vertex]],GroupVertices[Vertex],0)),1,1,"")</f>
        <v>9</v>
      </c>
      <c r="BB215" s="49">
        <v>0</v>
      </c>
      <c r="BC215" s="50">
        <v>0</v>
      </c>
      <c r="BD215" s="49">
        <v>0</v>
      </c>
      <c r="BE215" s="50">
        <v>0</v>
      </c>
      <c r="BF215" s="49">
        <v>0</v>
      </c>
      <c r="BG215" s="50">
        <v>0</v>
      </c>
      <c r="BH215" s="49">
        <v>16</v>
      </c>
      <c r="BI215" s="50">
        <v>100</v>
      </c>
      <c r="BJ215" s="49">
        <v>16</v>
      </c>
      <c r="BK215" s="49"/>
      <c r="BL215" s="49"/>
      <c r="BM215" s="49"/>
      <c r="BN215" s="49"/>
      <c r="BO215" s="49"/>
      <c r="BP215" s="49"/>
      <c r="BQ215" s="123" t="s">
        <v>4269</v>
      </c>
      <c r="BR215" s="123" t="s">
        <v>4269</v>
      </c>
      <c r="BS215" s="123" t="s">
        <v>4385</v>
      </c>
      <c r="BT215" s="123" t="s">
        <v>4385</v>
      </c>
      <c r="BU215" s="2"/>
      <c r="BV215" s="3"/>
      <c r="BW215" s="3"/>
      <c r="BX215" s="3"/>
      <c r="BY215" s="3"/>
    </row>
    <row r="216" spans="1:77" ht="15">
      <c r="A216" s="65" t="s">
        <v>385</v>
      </c>
      <c r="B216" s="66"/>
      <c r="C216" s="66" t="s">
        <v>46</v>
      </c>
      <c r="D216" s="67"/>
      <c r="E216" s="69"/>
      <c r="F216" s="111" t="str">
        <f>HYPERLINK("https://pbs.twimg.com/profile_images/1117501815711465474/3WSehwJE_normal.png")</f>
        <v>https://pbs.twimg.com/profile_images/1117501815711465474/3WSehwJE_normal.png</v>
      </c>
      <c r="G216" s="66"/>
      <c r="H216" s="70" t="s">
        <v>385</v>
      </c>
      <c r="I216" s="71" t="s">
        <v>4417</v>
      </c>
      <c r="J216" s="71" t="s">
        <v>73</v>
      </c>
      <c r="K216" s="70" t="s">
        <v>2024</v>
      </c>
      <c r="L216" s="74">
        <v>1</v>
      </c>
      <c r="M216" s="75">
        <v>5285.7275390625</v>
      </c>
      <c r="N216" s="75">
        <v>2551.45166015625</v>
      </c>
      <c r="O216" s="76"/>
      <c r="P216" s="77"/>
      <c r="Q216" s="77"/>
      <c r="R216" s="104"/>
      <c r="S216" s="49">
        <v>0</v>
      </c>
      <c r="T216" s="49">
        <v>2</v>
      </c>
      <c r="U216" s="50">
        <v>1264.984846</v>
      </c>
      <c r="V216" s="50">
        <v>0.238746</v>
      </c>
      <c r="W216" s="50">
        <v>0.053284</v>
      </c>
      <c r="X216" s="50">
        <v>0.003847</v>
      </c>
      <c r="Y216" s="50">
        <v>0</v>
      </c>
      <c r="Z216" s="50">
        <v>0</v>
      </c>
      <c r="AA216" s="72">
        <v>216</v>
      </c>
      <c r="AB216" s="72"/>
      <c r="AC216" s="73"/>
      <c r="AD216" s="89" t="s">
        <v>1379</v>
      </c>
      <c r="AE216" s="96" t="s">
        <v>1571</v>
      </c>
      <c r="AF216" s="89">
        <v>1367</v>
      </c>
      <c r="AG216" s="89">
        <v>325</v>
      </c>
      <c r="AH216" s="89">
        <v>19687</v>
      </c>
      <c r="AI216" s="89">
        <v>21625</v>
      </c>
      <c r="AJ216" s="89"/>
      <c r="AK216" s="89" t="s">
        <v>1750</v>
      </c>
      <c r="AL216" s="89"/>
      <c r="AM216" s="89"/>
      <c r="AN216" s="89"/>
      <c r="AO216" s="92">
        <v>42990.795439814814</v>
      </c>
      <c r="AP216" s="99" t="str">
        <f>HYPERLINK("https://pbs.twimg.com/profile_banners/907681575483187200/1555268194")</f>
        <v>https://pbs.twimg.com/profile_banners/907681575483187200/1555268194</v>
      </c>
      <c r="AQ216" s="89" t="b">
        <v>1</v>
      </c>
      <c r="AR216" s="89" t="b">
        <v>0</v>
      </c>
      <c r="AS216" s="89" t="b">
        <v>0</v>
      </c>
      <c r="AT216" s="89"/>
      <c r="AU216" s="89">
        <v>0</v>
      </c>
      <c r="AV216" s="89"/>
      <c r="AW216" s="89" t="b">
        <v>0</v>
      </c>
      <c r="AX216" s="89" t="s">
        <v>1811</v>
      </c>
      <c r="AY216" s="99" t="str">
        <f>HYPERLINK("https://twitter.com/perisuomalainen")</f>
        <v>https://twitter.com/perisuomalainen</v>
      </c>
      <c r="AZ216" s="89" t="s">
        <v>66</v>
      </c>
      <c r="BA216" s="89" t="str">
        <f>REPLACE(INDEX(GroupVertices[Group],MATCH(Vertices[[#This Row],[Vertex]],GroupVertices[Vertex],0)),1,1,"")</f>
        <v>4</v>
      </c>
      <c r="BB216" s="49">
        <v>0</v>
      </c>
      <c r="BC216" s="50">
        <v>0</v>
      </c>
      <c r="BD216" s="49">
        <v>0</v>
      </c>
      <c r="BE216" s="50">
        <v>0</v>
      </c>
      <c r="BF216" s="49">
        <v>0</v>
      </c>
      <c r="BG216" s="50">
        <v>0</v>
      </c>
      <c r="BH216" s="49">
        <v>48</v>
      </c>
      <c r="BI216" s="50">
        <v>100</v>
      </c>
      <c r="BJ216" s="49">
        <v>48</v>
      </c>
      <c r="BK216" s="49"/>
      <c r="BL216" s="49"/>
      <c r="BM216" s="49"/>
      <c r="BN216" s="49"/>
      <c r="BO216" s="49" t="s">
        <v>570</v>
      </c>
      <c r="BP216" s="49" t="s">
        <v>570</v>
      </c>
      <c r="BQ216" s="123" t="s">
        <v>4261</v>
      </c>
      <c r="BR216" s="123" t="s">
        <v>4261</v>
      </c>
      <c r="BS216" s="123" t="s">
        <v>4353</v>
      </c>
      <c r="BT216" s="123" t="s">
        <v>4353</v>
      </c>
      <c r="BU216" s="2"/>
      <c r="BV216" s="3"/>
      <c r="BW216" s="3"/>
      <c r="BX216" s="3"/>
      <c r="BY216" s="3"/>
    </row>
    <row r="217" spans="1:77" ht="15">
      <c r="A217" s="65" t="s">
        <v>386</v>
      </c>
      <c r="B217" s="66"/>
      <c r="C217" s="66" t="s">
        <v>46</v>
      </c>
      <c r="D217" s="67"/>
      <c r="E217" s="69"/>
      <c r="F217" s="111" t="str">
        <f>HYPERLINK("https://pbs.twimg.com/profile_images/1457954704386842626/ISJLZJOK_normal.jpg")</f>
        <v>https://pbs.twimg.com/profile_images/1457954704386842626/ISJLZJOK_normal.jpg</v>
      </c>
      <c r="G217" s="66"/>
      <c r="H217" s="70" t="s">
        <v>386</v>
      </c>
      <c r="I217" s="71" t="s">
        <v>4417</v>
      </c>
      <c r="J217" s="71" t="s">
        <v>73</v>
      </c>
      <c r="K217" s="70" t="s">
        <v>2025</v>
      </c>
      <c r="L217" s="74">
        <v>1</v>
      </c>
      <c r="M217" s="75">
        <v>4122.3642578125</v>
      </c>
      <c r="N217" s="75">
        <v>1747.757080078125</v>
      </c>
      <c r="O217" s="76"/>
      <c r="P217" s="77"/>
      <c r="Q217" s="77"/>
      <c r="R217" s="104"/>
      <c r="S217" s="49">
        <v>0</v>
      </c>
      <c r="T217" s="49">
        <v>1</v>
      </c>
      <c r="U217" s="50">
        <v>0</v>
      </c>
      <c r="V217" s="50">
        <v>0.200811</v>
      </c>
      <c r="W217" s="50">
        <v>0.021431</v>
      </c>
      <c r="X217" s="50">
        <v>0.003767</v>
      </c>
      <c r="Y217" s="50">
        <v>0</v>
      </c>
      <c r="Z217" s="50">
        <v>0</v>
      </c>
      <c r="AA217" s="72">
        <v>217</v>
      </c>
      <c r="AB217" s="72"/>
      <c r="AC217" s="73"/>
      <c r="AD217" s="89" t="s">
        <v>1380</v>
      </c>
      <c r="AE217" s="96" t="s">
        <v>1572</v>
      </c>
      <c r="AF217" s="89">
        <v>318</v>
      </c>
      <c r="AG217" s="89">
        <v>248</v>
      </c>
      <c r="AH217" s="89">
        <v>756</v>
      </c>
      <c r="AI217" s="89">
        <v>11357</v>
      </c>
      <c r="AJ217" s="89"/>
      <c r="AK217" s="89" t="s">
        <v>1751</v>
      </c>
      <c r="AL217" s="89"/>
      <c r="AM217" s="89"/>
      <c r="AN217" s="89"/>
      <c r="AO217" s="92">
        <v>44280.27392361111</v>
      </c>
      <c r="AP217" s="89"/>
      <c r="AQ217" s="89" t="b">
        <v>1</v>
      </c>
      <c r="AR217" s="89" t="b">
        <v>0</v>
      </c>
      <c r="AS217" s="89" t="b">
        <v>0</v>
      </c>
      <c r="AT217" s="89"/>
      <c r="AU217" s="89">
        <v>3</v>
      </c>
      <c r="AV217" s="89"/>
      <c r="AW217" s="89" t="b">
        <v>0</v>
      </c>
      <c r="AX217" s="89" t="s">
        <v>1811</v>
      </c>
      <c r="AY217" s="99" t="str">
        <f>HYPERLINK("https://twitter.com/laura12632966")</f>
        <v>https://twitter.com/laura12632966</v>
      </c>
      <c r="AZ217" s="89" t="s">
        <v>66</v>
      </c>
      <c r="BA217" s="89" t="str">
        <f>REPLACE(INDEX(GroupVertices[Group],MATCH(Vertices[[#This Row],[Vertex]],GroupVertices[Vertex],0)),1,1,"")</f>
        <v>4</v>
      </c>
      <c r="BB217" s="49">
        <v>0</v>
      </c>
      <c r="BC217" s="50">
        <v>0</v>
      </c>
      <c r="BD217" s="49">
        <v>0</v>
      </c>
      <c r="BE217" s="50">
        <v>0</v>
      </c>
      <c r="BF217" s="49">
        <v>0</v>
      </c>
      <c r="BG217" s="50">
        <v>0</v>
      </c>
      <c r="BH217" s="49">
        <v>24</v>
      </c>
      <c r="BI217" s="50">
        <v>100</v>
      </c>
      <c r="BJ217" s="49">
        <v>24</v>
      </c>
      <c r="BK217" s="49"/>
      <c r="BL217" s="49"/>
      <c r="BM217" s="49"/>
      <c r="BN217" s="49"/>
      <c r="BO217" s="49" t="s">
        <v>570</v>
      </c>
      <c r="BP217" s="49" t="s">
        <v>570</v>
      </c>
      <c r="BQ217" s="123" t="s">
        <v>4261</v>
      </c>
      <c r="BR217" s="123" t="s">
        <v>4261</v>
      </c>
      <c r="BS217" s="123" t="s">
        <v>4353</v>
      </c>
      <c r="BT217" s="123" t="s">
        <v>4353</v>
      </c>
      <c r="BU217" s="2"/>
      <c r="BV217" s="3"/>
      <c r="BW217" s="3"/>
      <c r="BX217" s="3"/>
      <c r="BY217" s="3"/>
    </row>
    <row r="218" spans="1:77" ht="15">
      <c r="A218" s="65" t="s">
        <v>387</v>
      </c>
      <c r="B218" s="66"/>
      <c r="C218" s="66" t="s">
        <v>64</v>
      </c>
      <c r="D218" s="67">
        <v>322.3102280178714</v>
      </c>
      <c r="E218" s="69"/>
      <c r="F218" s="111" t="str">
        <f>HYPERLINK("https://pbs.twimg.com/profile_images/1408041681136631813/ciceDzk2_normal.jpg")</f>
        <v>https://pbs.twimg.com/profile_images/1408041681136631813/ciceDzk2_normal.jpg</v>
      </c>
      <c r="G218" s="66"/>
      <c r="H218" s="70" t="s">
        <v>387</v>
      </c>
      <c r="I218" s="71" t="s">
        <v>4423</v>
      </c>
      <c r="J218" s="71" t="s">
        <v>73</v>
      </c>
      <c r="K218" s="70" t="s">
        <v>2026</v>
      </c>
      <c r="L218" s="74">
        <v>400.92</v>
      </c>
      <c r="M218" s="75">
        <v>8875.4423828125</v>
      </c>
      <c r="N218" s="75">
        <v>433.2119445800781</v>
      </c>
      <c r="O218" s="76"/>
      <c r="P218" s="77"/>
      <c r="Q218" s="77"/>
      <c r="R218" s="104"/>
      <c r="S218" s="49">
        <v>2</v>
      </c>
      <c r="T218" s="49">
        <v>1</v>
      </c>
      <c r="U218" s="50">
        <v>0</v>
      </c>
      <c r="V218" s="50">
        <v>0.004348</v>
      </c>
      <c r="W218" s="50">
        <v>0</v>
      </c>
      <c r="X218" s="50">
        <v>0.004631</v>
      </c>
      <c r="Y218" s="50">
        <v>0</v>
      </c>
      <c r="Z218" s="50">
        <v>0</v>
      </c>
      <c r="AA218" s="72">
        <v>218</v>
      </c>
      <c r="AB218" s="72"/>
      <c r="AC218" s="73"/>
      <c r="AD218" s="89" t="s">
        <v>1381</v>
      </c>
      <c r="AE218" s="96" t="s">
        <v>1573</v>
      </c>
      <c r="AF218" s="89">
        <v>977</v>
      </c>
      <c r="AG218" s="89">
        <v>3825</v>
      </c>
      <c r="AH218" s="89">
        <v>41790</v>
      </c>
      <c r="AI218" s="89">
        <v>37584</v>
      </c>
      <c r="AJ218" s="89"/>
      <c r="AK218" s="89" t="s">
        <v>1752</v>
      </c>
      <c r="AL218" s="89"/>
      <c r="AM218" s="89"/>
      <c r="AN218" s="89"/>
      <c r="AO218" s="92">
        <v>43077.96555555556</v>
      </c>
      <c r="AP218" s="99" t="str">
        <f>HYPERLINK("https://pbs.twimg.com/profile_banners/939270970061225986/1640981641")</f>
        <v>https://pbs.twimg.com/profile_banners/939270970061225986/1640981641</v>
      </c>
      <c r="AQ218" s="89" t="b">
        <v>1</v>
      </c>
      <c r="AR218" s="89" t="b">
        <v>0</v>
      </c>
      <c r="AS218" s="89" t="b">
        <v>0</v>
      </c>
      <c r="AT218" s="89"/>
      <c r="AU218" s="89">
        <v>5</v>
      </c>
      <c r="AV218" s="89"/>
      <c r="AW218" s="89" t="b">
        <v>0</v>
      </c>
      <c r="AX218" s="89" t="s">
        <v>1811</v>
      </c>
      <c r="AY218" s="99" t="str">
        <f>HYPERLINK("https://twitter.com/hannelea_h")</f>
        <v>https://twitter.com/hannelea_h</v>
      </c>
      <c r="AZ218" s="89" t="s">
        <v>66</v>
      </c>
      <c r="BA218" s="89" t="str">
        <f>REPLACE(INDEX(GroupVertices[Group],MATCH(Vertices[[#This Row],[Vertex]],GroupVertices[Vertex],0)),1,1,"")</f>
        <v>16</v>
      </c>
      <c r="BB218" s="49">
        <v>0</v>
      </c>
      <c r="BC218" s="50">
        <v>0</v>
      </c>
      <c r="BD218" s="49">
        <v>0</v>
      </c>
      <c r="BE218" s="50">
        <v>0</v>
      </c>
      <c r="BF218" s="49">
        <v>0</v>
      </c>
      <c r="BG218" s="50">
        <v>0</v>
      </c>
      <c r="BH218" s="49">
        <v>28</v>
      </c>
      <c r="BI218" s="50">
        <v>100</v>
      </c>
      <c r="BJ218" s="49">
        <v>28</v>
      </c>
      <c r="BK218" s="49" t="s">
        <v>3914</v>
      </c>
      <c r="BL218" s="49" t="s">
        <v>3914</v>
      </c>
      <c r="BM218" s="49" t="s">
        <v>549</v>
      </c>
      <c r="BN218" s="49" t="s">
        <v>549</v>
      </c>
      <c r="BO218" s="49"/>
      <c r="BP218" s="49"/>
      <c r="BQ218" s="123" t="s">
        <v>4270</v>
      </c>
      <c r="BR218" s="123" t="s">
        <v>4270</v>
      </c>
      <c r="BS218" s="123" t="s">
        <v>4386</v>
      </c>
      <c r="BT218" s="123" t="s">
        <v>4386</v>
      </c>
      <c r="BU218" s="2"/>
      <c r="BV218" s="3"/>
      <c r="BW218" s="3"/>
      <c r="BX218" s="3"/>
      <c r="BY218" s="3"/>
    </row>
    <row r="219" spans="1:77" ht="15">
      <c r="A219" s="65" t="s">
        <v>388</v>
      </c>
      <c r="B219" s="66"/>
      <c r="C219" s="66" t="s">
        <v>46</v>
      </c>
      <c r="D219" s="67"/>
      <c r="E219" s="69"/>
      <c r="F219" s="111" t="str">
        <f>HYPERLINK("https://abs.twimg.com/sticky/default_profile_images/default_profile_normal.png")</f>
        <v>https://abs.twimg.com/sticky/default_profile_images/default_profile_normal.png</v>
      </c>
      <c r="G219" s="66"/>
      <c r="H219" s="70" t="s">
        <v>388</v>
      </c>
      <c r="I219" s="71" t="s">
        <v>4423</v>
      </c>
      <c r="J219" s="71" t="s">
        <v>73</v>
      </c>
      <c r="K219" s="70" t="s">
        <v>2027</v>
      </c>
      <c r="L219" s="74">
        <v>1</v>
      </c>
      <c r="M219" s="75">
        <v>8875.4423828125</v>
      </c>
      <c r="N219" s="75">
        <v>831.298583984375</v>
      </c>
      <c r="O219" s="76"/>
      <c r="P219" s="77"/>
      <c r="Q219" s="77"/>
      <c r="R219" s="104"/>
      <c r="S219" s="49">
        <v>0</v>
      </c>
      <c r="T219" s="49">
        <v>1</v>
      </c>
      <c r="U219" s="50">
        <v>0</v>
      </c>
      <c r="V219" s="50">
        <v>0.004348</v>
      </c>
      <c r="W219" s="50">
        <v>0</v>
      </c>
      <c r="X219" s="50">
        <v>0.004027</v>
      </c>
      <c r="Y219" s="50">
        <v>0</v>
      </c>
      <c r="Z219" s="50">
        <v>0</v>
      </c>
      <c r="AA219" s="72">
        <v>219</v>
      </c>
      <c r="AB219" s="72"/>
      <c r="AC219" s="73"/>
      <c r="AD219" s="89" t="s">
        <v>1382</v>
      </c>
      <c r="AE219" s="96" t="s">
        <v>1574</v>
      </c>
      <c r="AF219" s="89">
        <v>421</v>
      </c>
      <c r="AG219" s="89">
        <v>266</v>
      </c>
      <c r="AH219" s="89">
        <v>14491</v>
      </c>
      <c r="AI219" s="89">
        <v>31024</v>
      </c>
      <c r="AJ219" s="89"/>
      <c r="AK219" s="89"/>
      <c r="AL219" s="89"/>
      <c r="AM219" s="89"/>
      <c r="AN219" s="89"/>
      <c r="AO219" s="92">
        <v>41464.79466435185</v>
      </c>
      <c r="AP219" s="89"/>
      <c r="AQ219" s="89" t="b">
        <v>1</v>
      </c>
      <c r="AR219" s="89" t="b">
        <v>1</v>
      </c>
      <c r="AS219" s="89" t="b">
        <v>0</v>
      </c>
      <c r="AT219" s="89"/>
      <c r="AU219" s="89">
        <v>0</v>
      </c>
      <c r="AV219" s="99" t="str">
        <f>HYPERLINK("https://abs.twimg.com/images/themes/theme1/bg.png")</f>
        <v>https://abs.twimg.com/images/themes/theme1/bg.png</v>
      </c>
      <c r="AW219" s="89" t="b">
        <v>0</v>
      </c>
      <c r="AX219" s="89" t="s">
        <v>1811</v>
      </c>
      <c r="AY219" s="99" t="str">
        <f>HYPERLINK("https://twitter.com/alicenpesula")</f>
        <v>https://twitter.com/alicenpesula</v>
      </c>
      <c r="AZ219" s="89" t="s">
        <v>66</v>
      </c>
      <c r="BA219" s="89" t="str">
        <f>REPLACE(INDEX(GroupVertices[Group],MATCH(Vertices[[#This Row],[Vertex]],GroupVertices[Vertex],0)),1,1,"")</f>
        <v>16</v>
      </c>
      <c r="BB219" s="49">
        <v>0</v>
      </c>
      <c r="BC219" s="50">
        <v>0</v>
      </c>
      <c r="BD219" s="49">
        <v>0</v>
      </c>
      <c r="BE219" s="50">
        <v>0</v>
      </c>
      <c r="BF219" s="49">
        <v>0</v>
      </c>
      <c r="BG219" s="50">
        <v>0</v>
      </c>
      <c r="BH219" s="49">
        <v>28</v>
      </c>
      <c r="BI219" s="50">
        <v>100</v>
      </c>
      <c r="BJ219" s="49">
        <v>28</v>
      </c>
      <c r="BK219" s="49" t="s">
        <v>3914</v>
      </c>
      <c r="BL219" s="49" t="s">
        <v>3914</v>
      </c>
      <c r="BM219" s="49" t="s">
        <v>549</v>
      </c>
      <c r="BN219" s="49" t="s">
        <v>549</v>
      </c>
      <c r="BO219" s="49"/>
      <c r="BP219" s="49"/>
      <c r="BQ219" s="123" t="s">
        <v>4270</v>
      </c>
      <c r="BR219" s="123" t="s">
        <v>4270</v>
      </c>
      <c r="BS219" s="123" t="s">
        <v>4386</v>
      </c>
      <c r="BT219" s="123" t="s">
        <v>4386</v>
      </c>
      <c r="BU219" s="2"/>
      <c r="BV219" s="3"/>
      <c r="BW219" s="3"/>
      <c r="BX219" s="3"/>
      <c r="BY219" s="3"/>
    </row>
    <row r="220" spans="1:77" ht="15">
      <c r="A220" s="65" t="s">
        <v>389</v>
      </c>
      <c r="B220" s="66"/>
      <c r="C220" s="66" t="s">
        <v>46</v>
      </c>
      <c r="D220" s="67"/>
      <c r="E220" s="69"/>
      <c r="F220" s="111" t="str">
        <f>HYPERLINK("https://pbs.twimg.com/profile_images/1415571004072599552/ZaPgqb4X_normal.jpg")</f>
        <v>https://pbs.twimg.com/profile_images/1415571004072599552/ZaPgqb4X_normal.jpg</v>
      </c>
      <c r="G220" s="66"/>
      <c r="H220" s="70" t="s">
        <v>389</v>
      </c>
      <c r="I220" s="71" t="s">
        <v>4417</v>
      </c>
      <c r="J220" s="71" t="s">
        <v>73</v>
      </c>
      <c r="K220" s="70" t="s">
        <v>2028</v>
      </c>
      <c r="L220" s="74">
        <v>1</v>
      </c>
      <c r="M220" s="75">
        <v>6078.95166015625</v>
      </c>
      <c r="N220" s="75">
        <v>1990.7376708984375</v>
      </c>
      <c r="O220" s="76"/>
      <c r="P220" s="77"/>
      <c r="Q220" s="77"/>
      <c r="R220" s="104"/>
      <c r="S220" s="49">
        <v>0</v>
      </c>
      <c r="T220" s="49">
        <v>2</v>
      </c>
      <c r="U220" s="50">
        <v>518.26645</v>
      </c>
      <c r="V220" s="50">
        <v>0.242103</v>
      </c>
      <c r="W220" s="50">
        <v>0.105538</v>
      </c>
      <c r="X220" s="50">
        <v>0.00385</v>
      </c>
      <c r="Y220" s="50">
        <v>0</v>
      </c>
      <c r="Z220" s="50">
        <v>0</v>
      </c>
      <c r="AA220" s="72">
        <v>220</v>
      </c>
      <c r="AB220" s="72"/>
      <c r="AC220" s="73"/>
      <c r="AD220" s="89" t="s">
        <v>1383</v>
      </c>
      <c r="AE220" s="96" t="s">
        <v>1575</v>
      </c>
      <c r="AF220" s="89">
        <v>2386</v>
      </c>
      <c r="AG220" s="89">
        <v>841</v>
      </c>
      <c r="AH220" s="89">
        <v>23779</v>
      </c>
      <c r="AI220" s="89">
        <v>24369</v>
      </c>
      <c r="AJ220" s="89"/>
      <c r="AK220" s="89" t="s">
        <v>1753</v>
      </c>
      <c r="AL220" s="89"/>
      <c r="AM220" s="89"/>
      <c r="AN220" s="89"/>
      <c r="AO220" s="92">
        <v>44115.11697916667</v>
      </c>
      <c r="AP220" s="89"/>
      <c r="AQ220" s="89" t="b">
        <v>1</v>
      </c>
      <c r="AR220" s="89" t="b">
        <v>0</v>
      </c>
      <c r="AS220" s="89" t="b">
        <v>0</v>
      </c>
      <c r="AT220" s="89"/>
      <c r="AU220" s="89">
        <v>3</v>
      </c>
      <c r="AV220" s="89"/>
      <c r="AW220" s="89" t="b">
        <v>0</v>
      </c>
      <c r="AX220" s="89" t="s">
        <v>1811</v>
      </c>
      <c r="AY220" s="99" t="str">
        <f>HYPERLINK("https://twitter.com/universumin")</f>
        <v>https://twitter.com/universumin</v>
      </c>
      <c r="AZ220" s="89" t="s">
        <v>66</v>
      </c>
      <c r="BA220" s="89" t="str">
        <f>REPLACE(INDEX(GroupVertices[Group],MATCH(Vertices[[#This Row],[Vertex]],GroupVertices[Vertex],0)),1,1,"")</f>
        <v>4</v>
      </c>
      <c r="BB220" s="49">
        <v>0</v>
      </c>
      <c r="BC220" s="50">
        <v>0</v>
      </c>
      <c r="BD220" s="49">
        <v>0</v>
      </c>
      <c r="BE220" s="50">
        <v>0</v>
      </c>
      <c r="BF220" s="49">
        <v>0</v>
      </c>
      <c r="BG220" s="50">
        <v>0</v>
      </c>
      <c r="BH220" s="49">
        <v>40</v>
      </c>
      <c r="BI220" s="50">
        <v>100</v>
      </c>
      <c r="BJ220" s="49">
        <v>40</v>
      </c>
      <c r="BK220" s="49"/>
      <c r="BL220" s="49"/>
      <c r="BM220" s="49"/>
      <c r="BN220" s="49"/>
      <c r="BO220" s="49" t="s">
        <v>570</v>
      </c>
      <c r="BP220" s="49" t="s">
        <v>570</v>
      </c>
      <c r="BQ220" s="123" t="s">
        <v>4271</v>
      </c>
      <c r="BR220" s="123" t="s">
        <v>4300</v>
      </c>
      <c r="BS220" s="123" t="s">
        <v>4353</v>
      </c>
      <c r="BT220" s="123" t="s">
        <v>4353</v>
      </c>
      <c r="BU220" s="2"/>
      <c r="BV220" s="3"/>
      <c r="BW220" s="3"/>
      <c r="BX220" s="3"/>
      <c r="BY220" s="3"/>
    </row>
    <row r="221" spans="1:77" ht="15">
      <c r="A221" s="65" t="s">
        <v>390</v>
      </c>
      <c r="B221" s="66"/>
      <c r="C221" s="66" t="s">
        <v>46</v>
      </c>
      <c r="D221" s="67"/>
      <c r="E221" s="69"/>
      <c r="F221" s="111" t="str">
        <f>HYPERLINK("https://pbs.twimg.com/profile_images/1479235467698745346/hoqn-4ly_normal.jpg")</f>
        <v>https://pbs.twimg.com/profile_images/1479235467698745346/hoqn-4ly_normal.jpg</v>
      </c>
      <c r="G221" s="66"/>
      <c r="H221" s="70" t="s">
        <v>390</v>
      </c>
      <c r="I221" s="71" t="s">
        <v>4417</v>
      </c>
      <c r="J221" s="71" t="s">
        <v>73</v>
      </c>
      <c r="K221" s="70" t="s">
        <v>2029</v>
      </c>
      <c r="L221" s="74">
        <v>1</v>
      </c>
      <c r="M221" s="75">
        <v>5439.58642578125</v>
      </c>
      <c r="N221" s="75">
        <v>919.7120971679688</v>
      </c>
      <c r="O221" s="76"/>
      <c r="P221" s="77"/>
      <c r="Q221" s="77"/>
      <c r="R221" s="104"/>
      <c r="S221" s="49">
        <v>0</v>
      </c>
      <c r="T221" s="49">
        <v>1</v>
      </c>
      <c r="U221" s="50">
        <v>0</v>
      </c>
      <c r="V221" s="50">
        <v>0.200811</v>
      </c>
      <c r="W221" s="50">
        <v>0.021431</v>
      </c>
      <c r="X221" s="50">
        <v>0.003767</v>
      </c>
      <c r="Y221" s="50">
        <v>0</v>
      </c>
      <c r="Z221" s="50">
        <v>0</v>
      </c>
      <c r="AA221" s="72">
        <v>221</v>
      </c>
      <c r="AB221" s="72"/>
      <c r="AC221" s="73"/>
      <c r="AD221" s="89" t="s">
        <v>1384</v>
      </c>
      <c r="AE221" s="96" t="s">
        <v>1576</v>
      </c>
      <c r="AF221" s="89">
        <v>359</v>
      </c>
      <c r="AG221" s="89">
        <v>171</v>
      </c>
      <c r="AH221" s="89">
        <v>2380</v>
      </c>
      <c r="AI221" s="89">
        <v>14773</v>
      </c>
      <c r="AJ221" s="89"/>
      <c r="AK221" s="89"/>
      <c r="AL221" s="89"/>
      <c r="AM221" s="89"/>
      <c r="AN221" s="89"/>
      <c r="AO221" s="92">
        <v>44441.82946759259</v>
      </c>
      <c r="AP221" s="99" t="str">
        <f>HYPERLINK("https://pbs.twimg.com/profile_banners/1433518541395791889/1638806616")</f>
        <v>https://pbs.twimg.com/profile_banners/1433518541395791889/1638806616</v>
      </c>
      <c r="AQ221" s="89" t="b">
        <v>1</v>
      </c>
      <c r="AR221" s="89" t="b">
        <v>0</v>
      </c>
      <c r="AS221" s="89" t="b">
        <v>0</v>
      </c>
      <c r="AT221" s="89"/>
      <c r="AU221" s="89">
        <v>1</v>
      </c>
      <c r="AV221" s="89"/>
      <c r="AW221" s="89" t="b">
        <v>0</v>
      </c>
      <c r="AX221" s="89" t="s">
        <v>1811</v>
      </c>
      <c r="AY221" s="99" t="str">
        <f>HYPERLINK("https://twitter.com/nikki1the")</f>
        <v>https://twitter.com/nikki1the</v>
      </c>
      <c r="AZ221" s="89" t="s">
        <v>66</v>
      </c>
      <c r="BA221" s="89" t="str">
        <f>REPLACE(INDEX(GroupVertices[Group],MATCH(Vertices[[#This Row],[Vertex]],GroupVertices[Vertex],0)),1,1,"")</f>
        <v>4</v>
      </c>
      <c r="BB221" s="49">
        <v>0</v>
      </c>
      <c r="BC221" s="50">
        <v>0</v>
      </c>
      <c r="BD221" s="49">
        <v>0</v>
      </c>
      <c r="BE221" s="50">
        <v>0</v>
      </c>
      <c r="BF221" s="49">
        <v>0</v>
      </c>
      <c r="BG221" s="50">
        <v>0</v>
      </c>
      <c r="BH221" s="49">
        <v>24</v>
      </c>
      <c r="BI221" s="50">
        <v>100</v>
      </c>
      <c r="BJ221" s="49">
        <v>24</v>
      </c>
      <c r="BK221" s="49"/>
      <c r="BL221" s="49"/>
      <c r="BM221" s="49"/>
      <c r="BN221" s="49"/>
      <c r="BO221" s="49" t="s">
        <v>570</v>
      </c>
      <c r="BP221" s="49" t="s">
        <v>570</v>
      </c>
      <c r="BQ221" s="123" t="s">
        <v>4261</v>
      </c>
      <c r="BR221" s="123" t="s">
        <v>4261</v>
      </c>
      <c r="BS221" s="123" t="s">
        <v>4353</v>
      </c>
      <c r="BT221" s="123" t="s">
        <v>4353</v>
      </c>
      <c r="BU221" s="2"/>
      <c r="BV221" s="3"/>
      <c r="BW221" s="3"/>
      <c r="BX221" s="3"/>
      <c r="BY221" s="3"/>
    </row>
    <row r="222" spans="1:77" ht="15">
      <c r="A222" s="65" t="s">
        <v>391</v>
      </c>
      <c r="B222" s="66"/>
      <c r="C222" s="66" t="s">
        <v>46</v>
      </c>
      <c r="D222" s="67"/>
      <c r="E222" s="69"/>
      <c r="F222" s="111" t="str">
        <f>HYPERLINK("https://pbs.twimg.com/profile_images/1478830460075708417/XMgWXY6p_normal.jpg")</f>
        <v>https://pbs.twimg.com/profile_images/1478830460075708417/XMgWXY6p_normal.jpg</v>
      </c>
      <c r="G222" s="66"/>
      <c r="H222" s="70" t="s">
        <v>391</v>
      </c>
      <c r="I222" s="71" t="s">
        <v>4417</v>
      </c>
      <c r="J222" s="71" t="s">
        <v>73</v>
      </c>
      <c r="K222" s="70" t="s">
        <v>2030</v>
      </c>
      <c r="L222" s="74">
        <v>1</v>
      </c>
      <c r="M222" s="75">
        <v>4202.1826171875</v>
      </c>
      <c r="N222" s="75">
        <v>1294.2125244140625</v>
      </c>
      <c r="O222" s="76"/>
      <c r="P222" s="77"/>
      <c r="Q222" s="77"/>
      <c r="R222" s="104"/>
      <c r="S222" s="49">
        <v>0</v>
      </c>
      <c r="T222" s="49">
        <v>1</v>
      </c>
      <c r="U222" s="50">
        <v>0</v>
      </c>
      <c r="V222" s="50">
        <v>0.200811</v>
      </c>
      <c r="W222" s="50">
        <v>0.021431</v>
      </c>
      <c r="X222" s="50">
        <v>0.003767</v>
      </c>
      <c r="Y222" s="50">
        <v>0</v>
      </c>
      <c r="Z222" s="50">
        <v>0</v>
      </c>
      <c r="AA222" s="72">
        <v>222</v>
      </c>
      <c r="AB222" s="72"/>
      <c r="AC222" s="73"/>
      <c r="AD222" s="89" t="s">
        <v>1385</v>
      </c>
      <c r="AE222" s="96" t="s">
        <v>1577</v>
      </c>
      <c r="AF222" s="89">
        <v>145</v>
      </c>
      <c r="AG222" s="89">
        <v>57</v>
      </c>
      <c r="AH222" s="89">
        <v>678</v>
      </c>
      <c r="AI222" s="89">
        <v>2101</v>
      </c>
      <c r="AJ222" s="89"/>
      <c r="AK222" s="89"/>
      <c r="AL222" s="89"/>
      <c r="AM222" s="89"/>
      <c r="AN222" s="89"/>
      <c r="AO222" s="92">
        <v>44566.86571759259</v>
      </c>
      <c r="AP222" s="89"/>
      <c r="AQ222" s="89" t="b">
        <v>1</v>
      </c>
      <c r="AR222" s="89" t="b">
        <v>0</v>
      </c>
      <c r="AS222" s="89" t="b">
        <v>0</v>
      </c>
      <c r="AT222" s="89"/>
      <c r="AU222" s="89">
        <v>1</v>
      </c>
      <c r="AV222" s="89"/>
      <c r="AW222" s="89" t="b">
        <v>0</v>
      </c>
      <c r="AX222" s="89" t="s">
        <v>1811</v>
      </c>
      <c r="AY222" s="99" t="str">
        <f>HYPERLINK("https://twitter.com/magillami")</f>
        <v>https://twitter.com/magillami</v>
      </c>
      <c r="AZ222" s="89" t="s">
        <v>66</v>
      </c>
      <c r="BA222" s="89" t="str">
        <f>REPLACE(INDEX(GroupVertices[Group],MATCH(Vertices[[#This Row],[Vertex]],GroupVertices[Vertex],0)),1,1,"")</f>
        <v>4</v>
      </c>
      <c r="BB222" s="49">
        <v>0</v>
      </c>
      <c r="BC222" s="50">
        <v>0</v>
      </c>
      <c r="BD222" s="49">
        <v>0</v>
      </c>
      <c r="BE222" s="50">
        <v>0</v>
      </c>
      <c r="BF222" s="49">
        <v>0</v>
      </c>
      <c r="BG222" s="50">
        <v>0</v>
      </c>
      <c r="BH222" s="49">
        <v>24</v>
      </c>
      <c r="BI222" s="50">
        <v>100</v>
      </c>
      <c r="BJ222" s="49">
        <v>24</v>
      </c>
      <c r="BK222" s="49"/>
      <c r="BL222" s="49"/>
      <c r="BM222" s="49"/>
      <c r="BN222" s="49"/>
      <c r="BO222" s="49" t="s">
        <v>570</v>
      </c>
      <c r="BP222" s="49" t="s">
        <v>570</v>
      </c>
      <c r="BQ222" s="123" t="s">
        <v>4261</v>
      </c>
      <c r="BR222" s="123" t="s">
        <v>4261</v>
      </c>
      <c r="BS222" s="123" t="s">
        <v>4353</v>
      </c>
      <c r="BT222" s="123" t="s">
        <v>4353</v>
      </c>
      <c r="BU222" s="2"/>
      <c r="BV222" s="3"/>
      <c r="BW222" s="3"/>
      <c r="BX222" s="3"/>
      <c r="BY222" s="3"/>
    </row>
    <row r="223" spans="1:77" ht="15">
      <c r="A223" s="65" t="s">
        <v>392</v>
      </c>
      <c r="B223" s="66"/>
      <c r="C223" s="66" t="s">
        <v>46</v>
      </c>
      <c r="D223" s="67"/>
      <c r="E223" s="69"/>
      <c r="F223" s="111" t="str">
        <f>HYPERLINK("https://pbs.twimg.com/profile_images/1369629077532008451/Qeqk0JKK_normal.jpg")</f>
        <v>https://pbs.twimg.com/profile_images/1369629077532008451/Qeqk0JKK_normal.jpg</v>
      </c>
      <c r="G223" s="66"/>
      <c r="H223" s="70" t="s">
        <v>392</v>
      </c>
      <c r="I223" s="71" t="s">
        <v>4417</v>
      </c>
      <c r="J223" s="71" t="s">
        <v>73</v>
      </c>
      <c r="K223" s="70" t="s">
        <v>2031</v>
      </c>
      <c r="L223" s="74">
        <v>1</v>
      </c>
      <c r="M223" s="75">
        <v>5753.8671875</v>
      </c>
      <c r="N223" s="75">
        <v>1323.056884765625</v>
      </c>
      <c r="O223" s="76"/>
      <c r="P223" s="77"/>
      <c r="Q223" s="77"/>
      <c r="R223" s="104"/>
      <c r="S223" s="49">
        <v>0</v>
      </c>
      <c r="T223" s="49">
        <v>1</v>
      </c>
      <c r="U223" s="50">
        <v>0</v>
      </c>
      <c r="V223" s="50">
        <v>0.200811</v>
      </c>
      <c r="W223" s="50">
        <v>0.021431</v>
      </c>
      <c r="X223" s="50">
        <v>0.003767</v>
      </c>
      <c r="Y223" s="50">
        <v>0</v>
      </c>
      <c r="Z223" s="50">
        <v>0</v>
      </c>
      <c r="AA223" s="72">
        <v>223</v>
      </c>
      <c r="AB223" s="72"/>
      <c r="AC223" s="73"/>
      <c r="AD223" s="89" t="s">
        <v>1386</v>
      </c>
      <c r="AE223" s="96" t="s">
        <v>1578</v>
      </c>
      <c r="AF223" s="89">
        <v>82</v>
      </c>
      <c r="AG223" s="89">
        <v>67</v>
      </c>
      <c r="AH223" s="89">
        <v>772</v>
      </c>
      <c r="AI223" s="89">
        <v>8591</v>
      </c>
      <c r="AJ223" s="89"/>
      <c r="AK223" s="89" t="s">
        <v>1754</v>
      </c>
      <c r="AL223" s="89"/>
      <c r="AM223" s="89"/>
      <c r="AN223" s="89"/>
      <c r="AO223" s="92">
        <v>44265.52680555556</v>
      </c>
      <c r="AP223" s="89"/>
      <c r="AQ223" s="89" t="b">
        <v>1</v>
      </c>
      <c r="AR223" s="89" t="b">
        <v>0</v>
      </c>
      <c r="AS223" s="89" t="b">
        <v>0</v>
      </c>
      <c r="AT223" s="89"/>
      <c r="AU223" s="89">
        <v>0</v>
      </c>
      <c r="AV223" s="89"/>
      <c r="AW223" s="89" t="b">
        <v>0</v>
      </c>
      <c r="AX223" s="89" t="s">
        <v>1811</v>
      </c>
      <c r="AY223" s="99" t="str">
        <f>HYPERLINK("https://twitter.com/ellimariella_")</f>
        <v>https://twitter.com/ellimariella_</v>
      </c>
      <c r="AZ223" s="89" t="s">
        <v>66</v>
      </c>
      <c r="BA223" s="89" t="str">
        <f>REPLACE(INDEX(GroupVertices[Group],MATCH(Vertices[[#This Row],[Vertex]],GroupVertices[Vertex],0)),1,1,"")</f>
        <v>4</v>
      </c>
      <c r="BB223" s="49">
        <v>0</v>
      </c>
      <c r="BC223" s="50">
        <v>0</v>
      </c>
      <c r="BD223" s="49">
        <v>0</v>
      </c>
      <c r="BE223" s="50">
        <v>0</v>
      </c>
      <c r="BF223" s="49">
        <v>0</v>
      </c>
      <c r="BG223" s="50">
        <v>0</v>
      </c>
      <c r="BH223" s="49">
        <v>24</v>
      </c>
      <c r="BI223" s="50">
        <v>100</v>
      </c>
      <c r="BJ223" s="49">
        <v>24</v>
      </c>
      <c r="BK223" s="49"/>
      <c r="BL223" s="49"/>
      <c r="BM223" s="49"/>
      <c r="BN223" s="49"/>
      <c r="BO223" s="49" t="s">
        <v>570</v>
      </c>
      <c r="BP223" s="49" t="s">
        <v>570</v>
      </c>
      <c r="BQ223" s="123" t="s">
        <v>4261</v>
      </c>
      <c r="BR223" s="123" t="s">
        <v>4261</v>
      </c>
      <c r="BS223" s="123" t="s">
        <v>4353</v>
      </c>
      <c r="BT223" s="123" t="s">
        <v>4353</v>
      </c>
      <c r="BU223" s="2"/>
      <c r="BV223" s="3"/>
      <c r="BW223" s="3"/>
      <c r="BX223" s="3"/>
      <c r="BY223" s="3"/>
    </row>
    <row r="224" spans="1:77" ht="15">
      <c r="A224" s="65" t="s">
        <v>393</v>
      </c>
      <c r="B224" s="66"/>
      <c r="C224" s="66" t="s">
        <v>46</v>
      </c>
      <c r="D224" s="67"/>
      <c r="E224" s="69"/>
      <c r="F224" s="111" t="str">
        <f>HYPERLINK("https://abs.twimg.com/sticky/default_profile_images/default_profile_normal.png")</f>
        <v>https://abs.twimg.com/sticky/default_profile_images/default_profile_normal.png</v>
      </c>
      <c r="G224" s="66"/>
      <c r="H224" s="70" t="s">
        <v>393</v>
      </c>
      <c r="I224" s="71" t="s">
        <v>4417</v>
      </c>
      <c r="J224" s="71" t="s">
        <v>73</v>
      </c>
      <c r="K224" s="70" t="s">
        <v>2032</v>
      </c>
      <c r="L224" s="74">
        <v>1</v>
      </c>
      <c r="M224" s="75">
        <v>4817.57861328125</v>
      </c>
      <c r="N224" s="75">
        <v>299.7469787597656</v>
      </c>
      <c r="O224" s="76"/>
      <c r="P224" s="77"/>
      <c r="Q224" s="77"/>
      <c r="R224" s="104"/>
      <c r="S224" s="49">
        <v>0</v>
      </c>
      <c r="T224" s="49">
        <v>1</v>
      </c>
      <c r="U224" s="50">
        <v>0</v>
      </c>
      <c r="V224" s="50">
        <v>0.200811</v>
      </c>
      <c r="W224" s="50">
        <v>0.021431</v>
      </c>
      <c r="X224" s="50">
        <v>0.003767</v>
      </c>
      <c r="Y224" s="50">
        <v>0</v>
      </c>
      <c r="Z224" s="50">
        <v>0</v>
      </c>
      <c r="AA224" s="72">
        <v>224</v>
      </c>
      <c r="AB224" s="72"/>
      <c r="AC224" s="73"/>
      <c r="AD224" s="89" t="s">
        <v>1387</v>
      </c>
      <c r="AE224" s="96" t="s">
        <v>1579</v>
      </c>
      <c r="AF224" s="89">
        <v>79</v>
      </c>
      <c r="AG224" s="89">
        <v>4</v>
      </c>
      <c r="AH224" s="89">
        <v>315</v>
      </c>
      <c r="AI224" s="89">
        <v>4284</v>
      </c>
      <c r="AJ224" s="89"/>
      <c r="AK224" s="89"/>
      <c r="AL224" s="89"/>
      <c r="AM224" s="89"/>
      <c r="AN224" s="89"/>
      <c r="AO224" s="92">
        <v>44122.69994212963</v>
      </c>
      <c r="AP224" s="89"/>
      <c r="AQ224" s="89" t="b">
        <v>1</v>
      </c>
      <c r="AR224" s="89" t="b">
        <v>1</v>
      </c>
      <c r="AS224" s="89" t="b">
        <v>0</v>
      </c>
      <c r="AT224" s="89"/>
      <c r="AU224" s="89">
        <v>0</v>
      </c>
      <c r="AV224" s="89"/>
      <c r="AW224" s="89" t="b">
        <v>0</v>
      </c>
      <c r="AX224" s="89" t="s">
        <v>1811</v>
      </c>
      <c r="AY224" s="99" t="str">
        <f>HYPERLINK("https://twitter.com/suomineitonen")</f>
        <v>https://twitter.com/suomineitonen</v>
      </c>
      <c r="AZ224" s="89" t="s">
        <v>66</v>
      </c>
      <c r="BA224" s="89" t="str">
        <f>REPLACE(INDEX(GroupVertices[Group],MATCH(Vertices[[#This Row],[Vertex]],GroupVertices[Vertex],0)),1,1,"")</f>
        <v>4</v>
      </c>
      <c r="BB224" s="49">
        <v>0</v>
      </c>
      <c r="BC224" s="50">
        <v>0</v>
      </c>
      <c r="BD224" s="49">
        <v>0</v>
      </c>
      <c r="BE224" s="50">
        <v>0</v>
      </c>
      <c r="BF224" s="49">
        <v>0</v>
      </c>
      <c r="BG224" s="50">
        <v>0</v>
      </c>
      <c r="BH224" s="49">
        <v>24</v>
      </c>
      <c r="BI224" s="50">
        <v>100</v>
      </c>
      <c r="BJ224" s="49">
        <v>24</v>
      </c>
      <c r="BK224" s="49"/>
      <c r="BL224" s="49"/>
      <c r="BM224" s="49"/>
      <c r="BN224" s="49"/>
      <c r="BO224" s="49" t="s">
        <v>570</v>
      </c>
      <c r="BP224" s="49" t="s">
        <v>570</v>
      </c>
      <c r="BQ224" s="123" t="s">
        <v>4261</v>
      </c>
      <c r="BR224" s="123" t="s">
        <v>4261</v>
      </c>
      <c r="BS224" s="123" t="s">
        <v>4353</v>
      </c>
      <c r="BT224" s="123" t="s">
        <v>4353</v>
      </c>
      <c r="BU224" s="2"/>
      <c r="BV224" s="3"/>
      <c r="BW224" s="3"/>
      <c r="BX224" s="3"/>
      <c r="BY224" s="3"/>
    </row>
    <row r="225" spans="1:77" ht="15">
      <c r="A225" s="65" t="s">
        <v>394</v>
      </c>
      <c r="B225" s="66"/>
      <c r="C225" s="66" t="s">
        <v>46</v>
      </c>
      <c r="D225" s="67"/>
      <c r="E225" s="69"/>
      <c r="F225" s="111" t="str">
        <f>HYPERLINK("https://pbs.twimg.com/profile_images/1377007170957545472/TpETwO3N_normal.jpg")</f>
        <v>https://pbs.twimg.com/profile_images/1377007170957545472/TpETwO3N_normal.jpg</v>
      </c>
      <c r="G225" s="66"/>
      <c r="H225" s="70" t="s">
        <v>394</v>
      </c>
      <c r="I225" s="71" t="s">
        <v>4417</v>
      </c>
      <c r="J225" s="71" t="s">
        <v>73</v>
      </c>
      <c r="K225" s="70" t="s">
        <v>2033</v>
      </c>
      <c r="L225" s="74">
        <v>1</v>
      </c>
      <c r="M225" s="75">
        <v>4220.904296875</v>
      </c>
      <c r="N225" s="75">
        <v>2219.480712890625</v>
      </c>
      <c r="O225" s="76"/>
      <c r="P225" s="77"/>
      <c r="Q225" s="77"/>
      <c r="R225" s="104"/>
      <c r="S225" s="49">
        <v>0</v>
      </c>
      <c r="T225" s="49">
        <v>1</v>
      </c>
      <c r="U225" s="50">
        <v>0</v>
      </c>
      <c r="V225" s="50">
        <v>0.200811</v>
      </c>
      <c r="W225" s="50">
        <v>0.021431</v>
      </c>
      <c r="X225" s="50">
        <v>0.003767</v>
      </c>
      <c r="Y225" s="50">
        <v>0</v>
      </c>
      <c r="Z225" s="50">
        <v>0</v>
      </c>
      <c r="AA225" s="72">
        <v>225</v>
      </c>
      <c r="AB225" s="72"/>
      <c r="AC225" s="73"/>
      <c r="AD225" s="89" t="s">
        <v>1388</v>
      </c>
      <c r="AE225" s="96" t="s">
        <v>1580</v>
      </c>
      <c r="AF225" s="89">
        <v>3333</v>
      </c>
      <c r="AG225" s="89">
        <v>1572</v>
      </c>
      <c r="AH225" s="89">
        <v>7471</v>
      </c>
      <c r="AI225" s="89">
        <v>52218</v>
      </c>
      <c r="AJ225" s="89"/>
      <c r="AK225" s="89" t="s">
        <v>1755</v>
      </c>
      <c r="AL225" s="89"/>
      <c r="AM225" s="89"/>
      <c r="AN225" s="89"/>
      <c r="AO225" s="92">
        <v>44261.91962962963</v>
      </c>
      <c r="AP225" s="89"/>
      <c r="AQ225" s="89" t="b">
        <v>1</v>
      </c>
      <c r="AR225" s="89" t="b">
        <v>0</v>
      </c>
      <c r="AS225" s="89" t="b">
        <v>0</v>
      </c>
      <c r="AT225" s="89"/>
      <c r="AU225" s="89">
        <v>0</v>
      </c>
      <c r="AV225" s="89"/>
      <c r="AW225" s="89" t="b">
        <v>0</v>
      </c>
      <c r="AX225" s="89" t="s">
        <v>1811</v>
      </c>
      <c r="AY225" s="99" t="str">
        <f>HYPERLINK("https://twitter.com/mforsberg__")</f>
        <v>https://twitter.com/mforsberg__</v>
      </c>
      <c r="AZ225" s="89" t="s">
        <v>66</v>
      </c>
      <c r="BA225" s="89" t="str">
        <f>REPLACE(INDEX(GroupVertices[Group],MATCH(Vertices[[#This Row],[Vertex]],GroupVertices[Vertex],0)),1,1,"")</f>
        <v>4</v>
      </c>
      <c r="BB225" s="49">
        <v>0</v>
      </c>
      <c r="BC225" s="50">
        <v>0</v>
      </c>
      <c r="BD225" s="49">
        <v>0</v>
      </c>
      <c r="BE225" s="50">
        <v>0</v>
      </c>
      <c r="BF225" s="49">
        <v>0</v>
      </c>
      <c r="BG225" s="50">
        <v>0</v>
      </c>
      <c r="BH225" s="49">
        <v>24</v>
      </c>
      <c r="BI225" s="50">
        <v>100</v>
      </c>
      <c r="BJ225" s="49">
        <v>24</v>
      </c>
      <c r="BK225" s="49"/>
      <c r="BL225" s="49"/>
      <c r="BM225" s="49"/>
      <c r="BN225" s="49"/>
      <c r="BO225" s="49" t="s">
        <v>570</v>
      </c>
      <c r="BP225" s="49" t="s">
        <v>570</v>
      </c>
      <c r="BQ225" s="123" t="s">
        <v>4261</v>
      </c>
      <c r="BR225" s="123" t="s">
        <v>4261</v>
      </c>
      <c r="BS225" s="123" t="s">
        <v>4353</v>
      </c>
      <c r="BT225" s="123" t="s">
        <v>4353</v>
      </c>
      <c r="BU225" s="2"/>
      <c r="BV225" s="3"/>
      <c r="BW225" s="3"/>
      <c r="BX225" s="3"/>
      <c r="BY225" s="3"/>
    </row>
    <row r="226" spans="1:77" ht="15">
      <c r="A226" s="65" t="s">
        <v>395</v>
      </c>
      <c r="B226" s="66"/>
      <c r="C226" s="66" t="s">
        <v>46</v>
      </c>
      <c r="D226" s="67"/>
      <c r="E226" s="69"/>
      <c r="F226" s="111" t="str">
        <f>HYPERLINK("https://pbs.twimg.com/profile_images/1466325158562607106/fft1bf9d_normal.jpg")</f>
        <v>https://pbs.twimg.com/profile_images/1466325158562607106/fft1bf9d_normal.jpg</v>
      </c>
      <c r="G226" s="66"/>
      <c r="H226" s="70" t="s">
        <v>395</v>
      </c>
      <c r="I226" s="71" t="s">
        <v>4417</v>
      </c>
      <c r="J226" s="71" t="s">
        <v>73</v>
      </c>
      <c r="K226" s="70" t="s">
        <v>2034</v>
      </c>
      <c r="L226" s="74">
        <v>1</v>
      </c>
      <c r="M226" s="75">
        <v>4297.74560546875</v>
      </c>
      <c r="N226" s="75">
        <v>848.6554565429688</v>
      </c>
      <c r="O226" s="76"/>
      <c r="P226" s="77"/>
      <c r="Q226" s="77"/>
      <c r="R226" s="104"/>
      <c r="S226" s="49">
        <v>0</v>
      </c>
      <c r="T226" s="49">
        <v>1</v>
      </c>
      <c r="U226" s="50">
        <v>0</v>
      </c>
      <c r="V226" s="50">
        <v>0.200811</v>
      </c>
      <c r="W226" s="50">
        <v>0.021431</v>
      </c>
      <c r="X226" s="50">
        <v>0.003767</v>
      </c>
      <c r="Y226" s="50">
        <v>0</v>
      </c>
      <c r="Z226" s="50">
        <v>0</v>
      </c>
      <c r="AA226" s="72">
        <v>226</v>
      </c>
      <c r="AB226" s="72"/>
      <c r="AC226" s="73"/>
      <c r="AD226" s="89" t="s">
        <v>1389</v>
      </c>
      <c r="AE226" s="96" t="s">
        <v>1581</v>
      </c>
      <c r="AF226" s="89">
        <v>559</v>
      </c>
      <c r="AG226" s="89">
        <v>95</v>
      </c>
      <c r="AH226" s="89">
        <v>2490</v>
      </c>
      <c r="AI226" s="89">
        <v>1333</v>
      </c>
      <c r="AJ226" s="89"/>
      <c r="AK226" s="89"/>
      <c r="AL226" s="89"/>
      <c r="AM226" s="89"/>
      <c r="AN226" s="89"/>
      <c r="AO226" s="92">
        <v>44487.678460648145</v>
      </c>
      <c r="AP226" s="99" t="str">
        <f>HYPERLINK("https://pbs.twimg.com/profile_banners/1450133712780279808/1640178666")</f>
        <v>https://pbs.twimg.com/profile_banners/1450133712780279808/1640178666</v>
      </c>
      <c r="AQ226" s="89" t="b">
        <v>1</v>
      </c>
      <c r="AR226" s="89" t="b">
        <v>0</v>
      </c>
      <c r="AS226" s="89" t="b">
        <v>0</v>
      </c>
      <c r="AT226" s="89"/>
      <c r="AU226" s="89">
        <v>0</v>
      </c>
      <c r="AV226" s="89"/>
      <c r="AW226" s="89" t="b">
        <v>0</v>
      </c>
      <c r="AX226" s="89" t="s">
        <v>1811</v>
      </c>
      <c r="AY226" s="99" t="str">
        <f>HYPERLINK("https://twitter.com/stiigat")</f>
        <v>https://twitter.com/stiigat</v>
      </c>
      <c r="AZ226" s="89" t="s">
        <v>66</v>
      </c>
      <c r="BA226" s="89" t="str">
        <f>REPLACE(INDEX(GroupVertices[Group],MATCH(Vertices[[#This Row],[Vertex]],GroupVertices[Vertex],0)),1,1,"")</f>
        <v>4</v>
      </c>
      <c r="BB226" s="49">
        <v>0</v>
      </c>
      <c r="BC226" s="50">
        <v>0</v>
      </c>
      <c r="BD226" s="49">
        <v>0</v>
      </c>
      <c r="BE226" s="50">
        <v>0</v>
      </c>
      <c r="BF226" s="49">
        <v>0</v>
      </c>
      <c r="BG226" s="50">
        <v>0</v>
      </c>
      <c r="BH226" s="49">
        <v>24</v>
      </c>
      <c r="BI226" s="50">
        <v>100</v>
      </c>
      <c r="BJ226" s="49">
        <v>24</v>
      </c>
      <c r="BK226" s="49"/>
      <c r="BL226" s="49"/>
      <c r="BM226" s="49"/>
      <c r="BN226" s="49"/>
      <c r="BO226" s="49" t="s">
        <v>570</v>
      </c>
      <c r="BP226" s="49" t="s">
        <v>570</v>
      </c>
      <c r="BQ226" s="123" t="s">
        <v>4261</v>
      </c>
      <c r="BR226" s="123" t="s">
        <v>4261</v>
      </c>
      <c r="BS226" s="123" t="s">
        <v>4353</v>
      </c>
      <c r="BT226" s="123" t="s">
        <v>4353</v>
      </c>
      <c r="BU226" s="2"/>
      <c r="BV226" s="3"/>
      <c r="BW226" s="3"/>
      <c r="BX226" s="3"/>
      <c r="BY226" s="3"/>
    </row>
    <row r="227" spans="1:77" ht="15">
      <c r="A227" s="65" t="s">
        <v>396</v>
      </c>
      <c r="B227" s="66"/>
      <c r="C227" s="66" t="s">
        <v>46</v>
      </c>
      <c r="D227" s="67"/>
      <c r="E227" s="69"/>
      <c r="F227" s="111" t="str">
        <f>HYPERLINK("https://pbs.twimg.com/profile_images/1450039784873893888/Q-4HZOkt_normal.jpg")</f>
        <v>https://pbs.twimg.com/profile_images/1450039784873893888/Q-4HZOkt_normal.jpg</v>
      </c>
      <c r="G227" s="66"/>
      <c r="H227" s="70" t="s">
        <v>396</v>
      </c>
      <c r="I227" s="71" t="s">
        <v>4417</v>
      </c>
      <c r="J227" s="71" t="s">
        <v>73</v>
      </c>
      <c r="K227" s="70" t="s">
        <v>2035</v>
      </c>
      <c r="L227" s="74">
        <v>1</v>
      </c>
      <c r="M227" s="75">
        <v>5145.3662109375</v>
      </c>
      <c r="N227" s="75">
        <v>234.16932678222656</v>
      </c>
      <c r="O227" s="76"/>
      <c r="P227" s="77"/>
      <c r="Q227" s="77"/>
      <c r="R227" s="104"/>
      <c r="S227" s="49">
        <v>0</v>
      </c>
      <c r="T227" s="49">
        <v>1</v>
      </c>
      <c r="U227" s="50">
        <v>0</v>
      </c>
      <c r="V227" s="50">
        <v>0.200811</v>
      </c>
      <c r="W227" s="50">
        <v>0.021431</v>
      </c>
      <c r="X227" s="50">
        <v>0.003767</v>
      </c>
      <c r="Y227" s="50">
        <v>0</v>
      </c>
      <c r="Z227" s="50">
        <v>0</v>
      </c>
      <c r="AA227" s="72">
        <v>227</v>
      </c>
      <c r="AB227" s="72"/>
      <c r="AC227" s="73"/>
      <c r="AD227" s="89" t="s">
        <v>1390</v>
      </c>
      <c r="AE227" s="96" t="s">
        <v>1582</v>
      </c>
      <c r="AF227" s="89">
        <v>523</v>
      </c>
      <c r="AG227" s="89">
        <v>389</v>
      </c>
      <c r="AH227" s="89">
        <v>4878</v>
      </c>
      <c r="AI227" s="89">
        <v>10587</v>
      </c>
      <c r="AJ227" s="89"/>
      <c r="AK227" s="89" t="s">
        <v>1756</v>
      </c>
      <c r="AL227" s="89"/>
      <c r="AM227" s="89"/>
      <c r="AN227" s="89"/>
      <c r="AO227" s="92">
        <v>42988.46753472222</v>
      </c>
      <c r="AP227" s="99" t="str">
        <f>HYPERLINK("https://pbs.twimg.com/profile_banners/906837970656915456/1639375201")</f>
        <v>https://pbs.twimg.com/profile_banners/906837970656915456/1639375201</v>
      </c>
      <c r="AQ227" s="89" t="b">
        <v>1</v>
      </c>
      <c r="AR227" s="89" t="b">
        <v>0</v>
      </c>
      <c r="AS227" s="89" t="b">
        <v>0</v>
      </c>
      <c r="AT227" s="89"/>
      <c r="AU227" s="89">
        <v>0</v>
      </c>
      <c r="AV227" s="89"/>
      <c r="AW227" s="89" t="b">
        <v>0</v>
      </c>
      <c r="AX227" s="89" t="s">
        <v>1811</v>
      </c>
      <c r="AY227" s="99" t="str">
        <f>HYPERLINK("https://twitter.com/marjo_liukkonen")</f>
        <v>https://twitter.com/marjo_liukkonen</v>
      </c>
      <c r="AZ227" s="89" t="s">
        <v>66</v>
      </c>
      <c r="BA227" s="89" t="str">
        <f>REPLACE(INDEX(GroupVertices[Group],MATCH(Vertices[[#This Row],[Vertex]],GroupVertices[Vertex],0)),1,1,"")</f>
        <v>4</v>
      </c>
      <c r="BB227" s="49">
        <v>0</v>
      </c>
      <c r="BC227" s="50">
        <v>0</v>
      </c>
      <c r="BD227" s="49">
        <v>0</v>
      </c>
      <c r="BE227" s="50">
        <v>0</v>
      </c>
      <c r="BF227" s="49">
        <v>0</v>
      </c>
      <c r="BG227" s="50">
        <v>0</v>
      </c>
      <c r="BH227" s="49">
        <v>24</v>
      </c>
      <c r="BI227" s="50">
        <v>100</v>
      </c>
      <c r="BJ227" s="49">
        <v>24</v>
      </c>
      <c r="BK227" s="49"/>
      <c r="BL227" s="49"/>
      <c r="BM227" s="49"/>
      <c r="BN227" s="49"/>
      <c r="BO227" s="49" t="s">
        <v>570</v>
      </c>
      <c r="BP227" s="49" t="s">
        <v>570</v>
      </c>
      <c r="BQ227" s="123" t="s">
        <v>4261</v>
      </c>
      <c r="BR227" s="123" t="s">
        <v>4261</v>
      </c>
      <c r="BS227" s="123" t="s">
        <v>4353</v>
      </c>
      <c r="BT227" s="123" t="s">
        <v>4353</v>
      </c>
      <c r="BU227" s="2"/>
      <c r="BV227" s="3"/>
      <c r="BW227" s="3"/>
      <c r="BX227" s="3"/>
      <c r="BY227" s="3"/>
    </row>
    <row r="228" spans="1:77" ht="15">
      <c r="A228" s="65" t="s">
        <v>397</v>
      </c>
      <c r="B228" s="66"/>
      <c r="C228" s="66" t="s">
        <v>46</v>
      </c>
      <c r="D228" s="67">
        <v>10</v>
      </c>
      <c r="E228" s="69"/>
      <c r="F228" s="111" t="str">
        <f>HYPERLINK("https://pbs.twimg.com/profile_images/1470706519113150464/lIUG7ZuW_normal.jpg")</f>
        <v>https://pbs.twimg.com/profile_images/1470706519113150464/lIUG7ZuW_normal.jpg</v>
      </c>
      <c r="G228" s="66"/>
      <c r="H228" s="70" t="s">
        <v>397</v>
      </c>
      <c r="I228" s="71" t="s">
        <v>4410</v>
      </c>
      <c r="J228" s="71" t="s">
        <v>73</v>
      </c>
      <c r="K228" s="70" t="s">
        <v>2036</v>
      </c>
      <c r="L228" s="74">
        <v>200.96</v>
      </c>
      <c r="M228" s="75">
        <v>3602.693603515625</v>
      </c>
      <c r="N228" s="75">
        <v>2002.1259765625</v>
      </c>
      <c r="O228" s="76"/>
      <c r="P228" s="77"/>
      <c r="Q228" s="77"/>
      <c r="R228" s="104"/>
      <c r="S228" s="49">
        <v>1</v>
      </c>
      <c r="T228" s="49">
        <v>1</v>
      </c>
      <c r="U228" s="50">
        <v>0</v>
      </c>
      <c r="V228" s="50">
        <v>0</v>
      </c>
      <c r="W228" s="50">
        <v>0</v>
      </c>
      <c r="X228" s="50">
        <v>0.004329</v>
      </c>
      <c r="Y228" s="50">
        <v>0</v>
      </c>
      <c r="Z228" s="50">
        <v>0</v>
      </c>
      <c r="AA228" s="72">
        <v>228</v>
      </c>
      <c r="AB228" s="72"/>
      <c r="AC228" s="73"/>
      <c r="AD228" s="89" t="s">
        <v>1391</v>
      </c>
      <c r="AE228" s="96" t="s">
        <v>1583</v>
      </c>
      <c r="AF228" s="89">
        <v>61</v>
      </c>
      <c r="AG228" s="89">
        <v>27</v>
      </c>
      <c r="AH228" s="89">
        <v>14</v>
      </c>
      <c r="AI228" s="89">
        <v>114</v>
      </c>
      <c r="AJ228" s="89"/>
      <c r="AK228" s="89" t="s">
        <v>1757</v>
      </c>
      <c r="AL228" s="89" t="s">
        <v>1810</v>
      </c>
      <c r="AM228" s="89"/>
      <c r="AN228" s="89"/>
      <c r="AO228" s="92">
        <v>42041.47037037037</v>
      </c>
      <c r="AP228" s="99" t="str">
        <f>HYPERLINK("https://pbs.twimg.com/profile_banners/3021335146/1639478360")</f>
        <v>https://pbs.twimg.com/profile_banners/3021335146/1639478360</v>
      </c>
      <c r="AQ228" s="89" t="b">
        <v>1</v>
      </c>
      <c r="AR228" s="89" t="b">
        <v>0</v>
      </c>
      <c r="AS228" s="89" t="b">
        <v>1</v>
      </c>
      <c r="AT228" s="89"/>
      <c r="AU228" s="89">
        <v>0</v>
      </c>
      <c r="AV228" s="99" t="str">
        <f>HYPERLINK("https://abs.twimg.com/images/themes/theme1/bg.png")</f>
        <v>https://abs.twimg.com/images/themes/theme1/bg.png</v>
      </c>
      <c r="AW228" s="89" t="b">
        <v>0</v>
      </c>
      <c r="AX228" s="89" t="s">
        <v>1811</v>
      </c>
      <c r="AY228" s="99" t="str">
        <f>HYPERLINK("https://twitter.com/anileki")</f>
        <v>https://twitter.com/anileki</v>
      </c>
      <c r="AZ228" s="89" t="s">
        <v>66</v>
      </c>
      <c r="BA228" s="89" t="str">
        <f>REPLACE(INDEX(GroupVertices[Group],MATCH(Vertices[[#This Row],[Vertex]],GroupVertices[Vertex],0)),1,1,"")</f>
        <v>7</v>
      </c>
      <c r="BB228" s="49">
        <v>0</v>
      </c>
      <c r="BC228" s="50">
        <v>0</v>
      </c>
      <c r="BD228" s="49">
        <v>0</v>
      </c>
      <c r="BE228" s="50">
        <v>0</v>
      </c>
      <c r="BF228" s="49">
        <v>0</v>
      </c>
      <c r="BG228" s="50">
        <v>0</v>
      </c>
      <c r="BH228" s="49">
        <v>6</v>
      </c>
      <c r="BI228" s="50">
        <v>100</v>
      </c>
      <c r="BJ228" s="49">
        <v>6</v>
      </c>
      <c r="BK228" s="49"/>
      <c r="BL228" s="49"/>
      <c r="BM228" s="49"/>
      <c r="BN228" s="49"/>
      <c r="BO228" s="49"/>
      <c r="BP228" s="49"/>
      <c r="BQ228" s="123" t="s">
        <v>4272</v>
      </c>
      <c r="BR228" s="123" t="s">
        <v>4272</v>
      </c>
      <c r="BS228" s="123" t="s">
        <v>4387</v>
      </c>
      <c r="BT228" s="123" t="s">
        <v>4387</v>
      </c>
      <c r="BU228" s="2"/>
      <c r="BV228" s="3"/>
      <c r="BW228" s="3"/>
      <c r="BX228" s="3"/>
      <c r="BY228" s="3"/>
    </row>
    <row r="229" spans="1:77" ht="15">
      <c r="A229" s="65" t="s">
        <v>398</v>
      </c>
      <c r="B229" s="66"/>
      <c r="C229" s="66" t="s">
        <v>46</v>
      </c>
      <c r="D229" s="67">
        <v>10</v>
      </c>
      <c r="E229" s="69"/>
      <c r="F229" s="111" t="str">
        <f>HYPERLINK("https://pbs.twimg.com/profile_images/1384318223164878848/nlJ4Kzz9_normal.jpg")</f>
        <v>https://pbs.twimg.com/profile_images/1384318223164878848/nlJ4Kzz9_normal.jpg</v>
      </c>
      <c r="G229" s="66"/>
      <c r="H229" s="70" t="s">
        <v>398</v>
      </c>
      <c r="I229" s="71" t="s">
        <v>4415</v>
      </c>
      <c r="J229" s="71" t="s">
        <v>73</v>
      </c>
      <c r="K229" s="70" t="s">
        <v>2037</v>
      </c>
      <c r="L229" s="74">
        <v>200.96</v>
      </c>
      <c r="M229" s="75">
        <v>7210.01220703125</v>
      </c>
      <c r="N229" s="75">
        <v>6407.88037109375</v>
      </c>
      <c r="O229" s="76"/>
      <c r="P229" s="77"/>
      <c r="Q229" s="77"/>
      <c r="R229" s="104"/>
      <c r="S229" s="49">
        <v>1</v>
      </c>
      <c r="T229" s="49">
        <v>1</v>
      </c>
      <c r="U229" s="50">
        <v>0</v>
      </c>
      <c r="V229" s="50">
        <v>0.203181</v>
      </c>
      <c r="W229" s="50">
        <v>0.020052</v>
      </c>
      <c r="X229" s="50">
        <v>0.003906</v>
      </c>
      <c r="Y229" s="50">
        <v>0.5</v>
      </c>
      <c r="Z229" s="50">
        <v>0</v>
      </c>
      <c r="AA229" s="72">
        <v>229</v>
      </c>
      <c r="AB229" s="72"/>
      <c r="AC229" s="73"/>
      <c r="AD229" s="89" t="s">
        <v>1392</v>
      </c>
      <c r="AE229" s="96" t="s">
        <v>1584</v>
      </c>
      <c r="AF229" s="89">
        <v>520</v>
      </c>
      <c r="AG229" s="89">
        <v>924</v>
      </c>
      <c r="AH229" s="89">
        <v>17297</v>
      </c>
      <c r="AI229" s="89">
        <v>5066</v>
      </c>
      <c r="AJ229" s="89"/>
      <c r="AK229" s="89" t="s">
        <v>1758</v>
      </c>
      <c r="AL229" s="89"/>
      <c r="AM229" s="89"/>
      <c r="AN229" s="89"/>
      <c r="AO229" s="92">
        <v>44306.04961805556</v>
      </c>
      <c r="AP229" s="99" t="str">
        <f>HYPERLINK("https://pbs.twimg.com/profile_banners/1384313677743108098/1631259075")</f>
        <v>https://pbs.twimg.com/profile_banners/1384313677743108098/1631259075</v>
      </c>
      <c r="AQ229" s="89" t="b">
        <v>1</v>
      </c>
      <c r="AR229" s="89" t="b">
        <v>0</v>
      </c>
      <c r="AS229" s="89" t="b">
        <v>0</v>
      </c>
      <c r="AT229" s="89"/>
      <c r="AU229" s="89">
        <v>2</v>
      </c>
      <c r="AV229" s="89"/>
      <c r="AW229" s="89" t="b">
        <v>0</v>
      </c>
      <c r="AX229" s="89" t="s">
        <v>1811</v>
      </c>
      <c r="AY229" s="99" t="str">
        <f>HYPERLINK("https://twitter.com/lauri_paavola")</f>
        <v>https://twitter.com/lauri_paavola</v>
      </c>
      <c r="AZ229" s="89" t="s">
        <v>66</v>
      </c>
      <c r="BA229" s="89" t="str">
        <f>REPLACE(INDEX(GroupVertices[Group],MATCH(Vertices[[#This Row],[Vertex]],GroupVertices[Vertex],0)),1,1,"")</f>
        <v>5</v>
      </c>
      <c r="BB229" s="49">
        <v>0</v>
      </c>
      <c r="BC229" s="50">
        <v>0</v>
      </c>
      <c r="BD229" s="49">
        <v>0</v>
      </c>
      <c r="BE229" s="50">
        <v>0</v>
      </c>
      <c r="BF229" s="49">
        <v>0</v>
      </c>
      <c r="BG229" s="50">
        <v>0</v>
      </c>
      <c r="BH229" s="49">
        <v>17</v>
      </c>
      <c r="BI229" s="50">
        <v>100</v>
      </c>
      <c r="BJ229" s="49">
        <v>17</v>
      </c>
      <c r="BK229" s="49"/>
      <c r="BL229" s="49"/>
      <c r="BM229" s="49"/>
      <c r="BN229" s="49"/>
      <c r="BO229" s="49"/>
      <c r="BP229" s="49"/>
      <c r="BQ229" s="123" t="s">
        <v>4273</v>
      </c>
      <c r="BR229" s="123" t="s">
        <v>4273</v>
      </c>
      <c r="BS229" s="123" t="s">
        <v>4388</v>
      </c>
      <c r="BT229" s="123" t="s">
        <v>4388</v>
      </c>
      <c r="BU229" s="2"/>
      <c r="BV229" s="3"/>
      <c r="BW229" s="3"/>
      <c r="BX229" s="3"/>
      <c r="BY229" s="3"/>
    </row>
    <row r="230" spans="1:77" ht="15">
      <c r="A230" s="65" t="s">
        <v>399</v>
      </c>
      <c r="B230" s="66"/>
      <c r="C230" s="66" t="s">
        <v>46</v>
      </c>
      <c r="D230" s="67"/>
      <c r="E230" s="69"/>
      <c r="F230" s="111" t="str">
        <f>HYPERLINK("https://pbs.twimg.com/profile_images/1183318674272337920/kwB5npnN_normal.jpg")</f>
        <v>https://pbs.twimg.com/profile_images/1183318674272337920/kwB5npnN_normal.jpg</v>
      </c>
      <c r="G230" s="66"/>
      <c r="H230" s="70" t="s">
        <v>399</v>
      </c>
      <c r="I230" s="71" t="s">
        <v>4415</v>
      </c>
      <c r="J230" s="71" t="s">
        <v>73</v>
      </c>
      <c r="K230" s="70" t="s">
        <v>2038</v>
      </c>
      <c r="L230" s="74">
        <v>1</v>
      </c>
      <c r="M230" s="75">
        <v>7179.37744140625</v>
      </c>
      <c r="N230" s="75">
        <v>7127.0546875</v>
      </c>
      <c r="O230" s="76"/>
      <c r="P230" s="77"/>
      <c r="Q230" s="77"/>
      <c r="R230" s="104"/>
      <c r="S230" s="49">
        <v>0</v>
      </c>
      <c r="T230" s="49">
        <v>6</v>
      </c>
      <c r="U230" s="50">
        <v>2724.526326</v>
      </c>
      <c r="V230" s="50">
        <v>0.25416300000000003</v>
      </c>
      <c r="W230" s="50">
        <v>0.121053</v>
      </c>
      <c r="X230" s="50">
        <v>0.004575</v>
      </c>
      <c r="Y230" s="50">
        <v>0.06666666666666667</v>
      </c>
      <c r="Z230" s="50">
        <v>0</v>
      </c>
      <c r="AA230" s="72">
        <v>230</v>
      </c>
      <c r="AB230" s="72"/>
      <c r="AC230" s="73"/>
      <c r="AD230" s="89" t="s">
        <v>1393</v>
      </c>
      <c r="AE230" s="96" t="s">
        <v>1585</v>
      </c>
      <c r="AF230" s="89">
        <v>340</v>
      </c>
      <c r="AG230" s="89">
        <v>503</v>
      </c>
      <c r="AH230" s="89">
        <v>59843</v>
      </c>
      <c r="AI230" s="89">
        <v>82939</v>
      </c>
      <c r="AJ230" s="89"/>
      <c r="AK230" s="89" t="s">
        <v>1759</v>
      </c>
      <c r="AL230" s="89" t="s">
        <v>1782</v>
      </c>
      <c r="AM230" s="89"/>
      <c r="AN230" s="89"/>
      <c r="AO230" s="92">
        <v>43538.79975694444</v>
      </c>
      <c r="AP230" s="99" t="str">
        <f>HYPERLINK("https://pbs.twimg.com/profile_banners/1106271689808187395/1570687970")</f>
        <v>https://pbs.twimg.com/profile_banners/1106271689808187395/1570687970</v>
      </c>
      <c r="AQ230" s="89" t="b">
        <v>1</v>
      </c>
      <c r="AR230" s="89" t="b">
        <v>0</v>
      </c>
      <c r="AS230" s="89" t="b">
        <v>0</v>
      </c>
      <c r="AT230" s="89"/>
      <c r="AU230" s="89">
        <v>1</v>
      </c>
      <c r="AV230" s="89"/>
      <c r="AW230" s="89" t="b">
        <v>0</v>
      </c>
      <c r="AX230" s="89" t="s">
        <v>1811</v>
      </c>
      <c r="AY230" s="99" t="str">
        <f>HYPERLINK("https://twitter.com/jyrki_k")</f>
        <v>https://twitter.com/jyrki_k</v>
      </c>
      <c r="AZ230" s="89" t="s">
        <v>66</v>
      </c>
      <c r="BA230" s="89" t="str">
        <f>REPLACE(INDEX(GroupVertices[Group],MATCH(Vertices[[#This Row],[Vertex]],GroupVertices[Vertex],0)),1,1,"")</f>
        <v>5</v>
      </c>
      <c r="BB230" s="49">
        <v>0</v>
      </c>
      <c r="BC230" s="50">
        <v>0</v>
      </c>
      <c r="BD230" s="49">
        <v>0</v>
      </c>
      <c r="BE230" s="50">
        <v>0</v>
      </c>
      <c r="BF230" s="49">
        <v>0</v>
      </c>
      <c r="BG230" s="50">
        <v>0</v>
      </c>
      <c r="BH230" s="49">
        <v>61</v>
      </c>
      <c r="BI230" s="50">
        <v>100</v>
      </c>
      <c r="BJ230" s="49">
        <v>61</v>
      </c>
      <c r="BK230" s="49" t="s">
        <v>3913</v>
      </c>
      <c r="BL230" s="49" t="s">
        <v>3913</v>
      </c>
      <c r="BM230" s="49" t="s">
        <v>554</v>
      </c>
      <c r="BN230" s="49" t="s">
        <v>554</v>
      </c>
      <c r="BO230" s="49" t="s">
        <v>570</v>
      </c>
      <c r="BP230" s="49" t="s">
        <v>570</v>
      </c>
      <c r="BQ230" s="123" t="s">
        <v>4274</v>
      </c>
      <c r="BR230" s="123" t="s">
        <v>4302</v>
      </c>
      <c r="BS230" s="123" t="s">
        <v>4389</v>
      </c>
      <c r="BT230" s="123" t="s">
        <v>4403</v>
      </c>
      <c r="BU230" s="2"/>
      <c r="BV230" s="3"/>
      <c r="BW230" s="3"/>
      <c r="BX230" s="3"/>
      <c r="BY230" s="3"/>
    </row>
    <row r="231" spans="1:77" ht="15">
      <c r="A231" s="65" t="s">
        <v>401</v>
      </c>
      <c r="B231" s="66"/>
      <c r="C231" s="66" t="s">
        <v>64</v>
      </c>
      <c r="D231" s="67">
        <v>322.3102280178714</v>
      </c>
      <c r="E231" s="69"/>
      <c r="F231" s="111" t="str">
        <f>HYPERLINK("https://pbs.twimg.com/profile_images/1448922744775643151/3CirHjKK_normal.jpg")</f>
        <v>https://pbs.twimg.com/profile_images/1448922744775643151/3CirHjKK_normal.jpg</v>
      </c>
      <c r="G231" s="66"/>
      <c r="H231" s="70" t="s">
        <v>401</v>
      </c>
      <c r="I231" s="71" t="s">
        <v>4415</v>
      </c>
      <c r="J231" s="71" t="s">
        <v>73</v>
      </c>
      <c r="K231" s="70" t="s">
        <v>2039</v>
      </c>
      <c r="L231" s="74">
        <v>400.92</v>
      </c>
      <c r="M231" s="75">
        <v>6832.75</v>
      </c>
      <c r="N231" s="75">
        <v>7558.71484375</v>
      </c>
      <c r="O231" s="76"/>
      <c r="P231" s="77"/>
      <c r="Q231" s="77"/>
      <c r="R231" s="104"/>
      <c r="S231" s="49">
        <v>2</v>
      </c>
      <c r="T231" s="49">
        <v>2</v>
      </c>
      <c r="U231" s="50">
        <v>0</v>
      </c>
      <c r="V231" s="50">
        <v>0.194023</v>
      </c>
      <c r="W231" s="50">
        <v>0.023876</v>
      </c>
      <c r="X231" s="50">
        <v>0.004115</v>
      </c>
      <c r="Y231" s="50">
        <v>0.5</v>
      </c>
      <c r="Z231" s="50">
        <v>0</v>
      </c>
      <c r="AA231" s="72">
        <v>231</v>
      </c>
      <c r="AB231" s="72"/>
      <c r="AC231" s="73"/>
      <c r="AD231" s="89" t="s">
        <v>1394</v>
      </c>
      <c r="AE231" s="96" t="s">
        <v>1586</v>
      </c>
      <c r="AF231" s="89">
        <v>14990</v>
      </c>
      <c r="AG231" s="89">
        <v>14635</v>
      </c>
      <c r="AH231" s="89">
        <v>152001</v>
      </c>
      <c r="AI231" s="89">
        <v>419167</v>
      </c>
      <c r="AJ231" s="89"/>
      <c r="AK231" s="89" t="s">
        <v>1760</v>
      </c>
      <c r="AL231" s="89"/>
      <c r="AM231" s="89"/>
      <c r="AN231" s="89"/>
      <c r="AO231" s="92">
        <v>43023.786886574075</v>
      </c>
      <c r="AP231" s="99" t="str">
        <f>HYPERLINK("https://pbs.twimg.com/profile_banners/919637275457277952/1574252476")</f>
        <v>https://pbs.twimg.com/profile_banners/919637275457277952/1574252476</v>
      </c>
      <c r="AQ231" s="89" t="b">
        <v>0</v>
      </c>
      <c r="AR231" s="89" t="b">
        <v>0</v>
      </c>
      <c r="AS231" s="89" t="b">
        <v>0</v>
      </c>
      <c r="AT231" s="89"/>
      <c r="AU231" s="89">
        <v>4</v>
      </c>
      <c r="AV231" s="99" t="str">
        <f>HYPERLINK("https://abs.twimg.com/images/themes/theme1/bg.png")</f>
        <v>https://abs.twimg.com/images/themes/theme1/bg.png</v>
      </c>
      <c r="AW231" s="89" t="b">
        <v>0</v>
      </c>
      <c r="AX231" s="89" t="s">
        <v>1811</v>
      </c>
      <c r="AY231" s="99" t="str">
        <f>HYPERLINK("https://twitter.com/rottaerkki")</f>
        <v>https://twitter.com/rottaerkki</v>
      </c>
      <c r="AZ231" s="89" t="s">
        <v>66</v>
      </c>
      <c r="BA231" s="89" t="str">
        <f>REPLACE(INDEX(GroupVertices[Group],MATCH(Vertices[[#This Row],[Vertex]],GroupVertices[Vertex],0)),1,1,"")</f>
        <v>5</v>
      </c>
      <c r="BB231" s="49">
        <v>0</v>
      </c>
      <c r="BC231" s="50">
        <v>0</v>
      </c>
      <c r="BD231" s="49">
        <v>0</v>
      </c>
      <c r="BE231" s="50">
        <v>0</v>
      </c>
      <c r="BF231" s="49">
        <v>0</v>
      </c>
      <c r="BG231" s="50">
        <v>0</v>
      </c>
      <c r="BH231" s="49">
        <v>16</v>
      </c>
      <c r="BI231" s="50">
        <v>100</v>
      </c>
      <c r="BJ231" s="49">
        <v>16</v>
      </c>
      <c r="BK231" s="49" t="s">
        <v>3913</v>
      </c>
      <c r="BL231" s="49" t="s">
        <v>3913</v>
      </c>
      <c r="BM231" s="49" t="s">
        <v>554</v>
      </c>
      <c r="BN231" s="49" t="s">
        <v>554</v>
      </c>
      <c r="BO231" s="49"/>
      <c r="BP231" s="49"/>
      <c r="BQ231" s="123" t="s">
        <v>4275</v>
      </c>
      <c r="BR231" s="123" t="s">
        <v>4303</v>
      </c>
      <c r="BS231" s="123" t="s">
        <v>4390</v>
      </c>
      <c r="BT231" s="123" t="s">
        <v>4404</v>
      </c>
      <c r="BU231" s="2"/>
      <c r="BV231" s="3"/>
      <c r="BW231" s="3"/>
      <c r="BX231" s="3"/>
      <c r="BY231" s="3"/>
    </row>
    <row r="232" spans="1:77" ht="15">
      <c r="A232" s="65" t="s">
        <v>402</v>
      </c>
      <c r="B232" s="66"/>
      <c r="C232" s="66" t="s">
        <v>46</v>
      </c>
      <c r="D232" s="67"/>
      <c r="E232" s="69"/>
      <c r="F232" s="111" t="str">
        <f>HYPERLINK("https://pbs.twimg.com/profile_images/1456300690851180549/J43DW9l-_normal.jpg")</f>
        <v>https://pbs.twimg.com/profile_images/1456300690851180549/J43DW9l-_normal.jpg</v>
      </c>
      <c r="G232" s="66"/>
      <c r="H232" s="70" t="s">
        <v>402</v>
      </c>
      <c r="I232" s="71" t="s">
        <v>4417</v>
      </c>
      <c r="J232" s="71" t="s">
        <v>73</v>
      </c>
      <c r="K232" s="70" t="s">
        <v>2040</v>
      </c>
      <c r="L232" s="74">
        <v>1</v>
      </c>
      <c r="M232" s="75">
        <v>4781.6416015625</v>
      </c>
      <c r="N232" s="75">
        <v>2471.095703125</v>
      </c>
      <c r="O232" s="76"/>
      <c r="P232" s="77"/>
      <c r="Q232" s="77"/>
      <c r="R232" s="104"/>
      <c r="S232" s="49">
        <v>0</v>
      </c>
      <c r="T232" s="49">
        <v>1</v>
      </c>
      <c r="U232" s="50">
        <v>0</v>
      </c>
      <c r="V232" s="50">
        <v>0.200811</v>
      </c>
      <c r="W232" s="50">
        <v>0.021431</v>
      </c>
      <c r="X232" s="50">
        <v>0.003767</v>
      </c>
      <c r="Y232" s="50">
        <v>0</v>
      </c>
      <c r="Z232" s="50">
        <v>0</v>
      </c>
      <c r="AA232" s="72">
        <v>232</v>
      </c>
      <c r="AB232" s="72"/>
      <c r="AC232" s="73"/>
      <c r="AD232" s="89" t="s">
        <v>1395</v>
      </c>
      <c r="AE232" s="96" t="s">
        <v>1587</v>
      </c>
      <c r="AF232" s="89">
        <v>3227</v>
      </c>
      <c r="AG232" s="89">
        <v>2798</v>
      </c>
      <c r="AH232" s="89">
        <v>16915</v>
      </c>
      <c r="AI232" s="89">
        <v>13290</v>
      </c>
      <c r="AJ232" s="89"/>
      <c r="AK232" s="89" t="s">
        <v>1761</v>
      </c>
      <c r="AL232" s="89" t="s">
        <v>1803</v>
      </c>
      <c r="AM232" s="89"/>
      <c r="AN232" s="89"/>
      <c r="AO232" s="92">
        <v>41335.532314814816</v>
      </c>
      <c r="AP232" s="99" t="str">
        <f>HYPERLINK("https://pbs.twimg.com/profile_banners/1234614103/1631785246")</f>
        <v>https://pbs.twimg.com/profile_banners/1234614103/1631785246</v>
      </c>
      <c r="AQ232" s="89" t="b">
        <v>0</v>
      </c>
      <c r="AR232" s="89" t="b">
        <v>0</v>
      </c>
      <c r="AS232" s="89" t="b">
        <v>1</v>
      </c>
      <c r="AT232" s="89"/>
      <c r="AU232" s="89">
        <v>10</v>
      </c>
      <c r="AV232" s="99" t="str">
        <f>HYPERLINK("https://abs.twimg.com/images/themes/theme18/bg.gif")</f>
        <v>https://abs.twimg.com/images/themes/theme18/bg.gif</v>
      </c>
      <c r="AW232" s="89" t="b">
        <v>0</v>
      </c>
      <c r="AX232" s="89" t="s">
        <v>1811</v>
      </c>
      <c r="AY232" s="99" t="str">
        <f>HYPERLINK("https://twitter.com/mirkhe")</f>
        <v>https://twitter.com/mirkhe</v>
      </c>
      <c r="AZ232" s="89" t="s">
        <v>66</v>
      </c>
      <c r="BA232" s="89" t="str">
        <f>REPLACE(INDEX(GroupVertices[Group],MATCH(Vertices[[#This Row],[Vertex]],GroupVertices[Vertex],0)),1,1,"")</f>
        <v>4</v>
      </c>
      <c r="BB232" s="49">
        <v>0</v>
      </c>
      <c r="BC232" s="50">
        <v>0</v>
      </c>
      <c r="BD232" s="49">
        <v>0</v>
      </c>
      <c r="BE232" s="50">
        <v>0</v>
      </c>
      <c r="BF232" s="49">
        <v>0</v>
      </c>
      <c r="BG232" s="50">
        <v>0</v>
      </c>
      <c r="BH232" s="49">
        <v>24</v>
      </c>
      <c r="BI232" s="50">
        <v>100</v>
      </c>
      <c r="BJ232" s="49">
        <v>24</v>
      </c>
      <c r="BK232" s="49"/>
      <c r="BL232" s="49"/>
      <c r="BM232" s="49"/>
      <c r="BN232" s="49"/>
      <c r="BO232" s="49" t="s">
        <v>570</v>
      </c>
      <c r="BP232" s="49" t="s">
        <v>570</v>
      </c>
      <c r="BQ232" s="123" t="s">
        <v>4261</v>
      </c>
      <c r="BR232" s="123" t="s">
        <v>4261</v>
      </c>
      <c r="BS232" s="123" t="s">
        <v>4353</v>
      </c>
      <c r="BT232" s="123" t="s">
        <v>4353</v>
      </c>
      <c r="BU232" s="2"/>
      <c r="BV232" s="3"/>
      <c r="BW232" s="3"/>
      <c r="BX232" s="3"/>
      <c r="BY232" s="3"/>
    </row>
    <row r="233" spans="1:77" ht="15">
      <c r="A233" s="80" t="s">
        <v>404</v>
      </c>
      <c r="B233" s="81"/>
      <c r="C233" s="81" t="s">
        <v>46</v>
      </c>
      <c r="D233" s="82"/>
      <c r="E233" s="84"/>
      <c r="F233" s="112" t="str">
        <f>HYPERLINK("https://pbs.twimg.com/profile_images/735338439936233473/CJzVTYOH_normal.jpg")</f>
        <v>https://pbs.twimg.com/profile_images/735338439936233473/CJzVTYOH_normal.jpg</v>
      </c>
      <c r="G233" s="81"/>
      <c r="H233" s="85" t="s">
        <v>404</v>
      </c>
      <c r="I233" s="86" t="s">
        <v>4417</v>
      </c>
      <c r="J233" s="86" t="s">
        <v>73</v>
      </c>
      <c r="K233" s="85" t="s">
        <v>2041</v>
      </c>
      <c r="L233" s="105">
        <v>1</v>
      </c>
      <c r="M233" s="106">
        <v>4444.77099609375</v>
      </c>
      <c r="N233" s="106">
        <v>2582.044677734375</v>
      </c>
      <c r="O233" s="107"/>
      <c r="P233" s="108"/>
      <c r="Q233" s="108"/>
      <c r="R233" s="109"/>
      <c r="S233" s="49">
        <v>0</v>
      </c>
      <c r="T233" s="49">
        <v>1</v>
      </c>
      <c r="U233" s="50">
        <v>0</v>
      </c>
      <c r="V233" s="50">
        <v>0.200811</v>
      </c>
      <c r="W233" s="50">
        <v>0.021431</v>
      </c>
      <c r="X233" s="50">
        <v>0.003767</v>
      </c>
      <c r="Y233" s="50">
        <v>0</v>
      </c>
      <c r="Z233" s="50">
        <v>0</v>
      </c>
      <c r="AA233" s="110">
        <v>233</v>
      </c>
      <c r="AB233" s="110"/>
      <c r="AC233" s="88"/>
      <c r="AD233" s="89" t="s">
        <v>1396</v>
      </c>
      <c r="AE233" s="96" t="s">
        <v>1588</v>
      </c>
      <c r="AF233" s="89">
        <v>298</v>
      </c>
      <c r="AG233" s="89">
        <v>147</v>
      </c>
      <c r="AH233" s="89">
        <v>3346</v>
      </c>
      <c r="AI233" s="89">
        <v>11298</v>
      </c>
      <c r="AJ233" s="89"/>
      <c r="AK233" s="89"/>
      <c r="AL233" s="89"/>
      <c r="AM233" s="89"/>
      <c r="AN233" s="89"/>
      <c r="AO233" s="92">
        <v>42280.35266203704</v>
      </c>
      <c r="AP233" s="99" t="str">
        <f>HYPERLINK("https://pbs.twimg.com/profile_banners/3850765462/1458910695")</f>
        <v>https://pbs.twimg.com/profile_banners/3850765462/1458910695</v>
      </c>
      <c r="AQ233" s="89" t="b">
        <v>0</v>
      </c>
      <c r="AR233" s="89" t="b">
        <v>0</v>
      </c>
      <c r="AS233" s="89" t="b">
        <v>0</v>
      </c>
      <c r="AT233" s="89"/>
      <c r="AU233" s="89">
        <v>0</v>
      </c>
      <c r="AV233" s="99" t="str">
        <f>HYPERLINK("https://abs.twimg.com/images/themes/theme1/bg.png")</f>
        <v>https://abs.twimg.com/images/themes/theme1/bg.png</v>
      </c>
      <c r="AW233" s="89" t="b">
        <v>0</v>
      </c>
      <c r="AX233" s="89" t="s">
        <v>1811</v>
      </c>
      <c r="AY233" s="99" t="str">
        <f>HYPERLINK("https://twitter.com/cliljerot")</f>
        <v>https://twitter.com/cliljerot</v>
      </c>
      <c r="AZ233" s="89" t="s">
        <v>66</v>
      </c>
      <c r="BA233" s="89" t="str">
        <f>REPLACE(INDEX(GroupVertices[Group],MATCH(Vertices[[#This Row],[Vertex]],GroupVertices[Vertex],0)),1,1,"")</f>
        <v>4</v>
      </c>
      <c r="BB233" s="49">
        <v>0</v>
      </c>
      <c r="BC233" s="50">
        <v>0</v>
      </c>
      <c r="BD233" s="49">
        <v>0</v>
      </c>
      <c r="BE233" s="50">
        <v>0</v>
      </c>
      <c r="BF233" s="49">
        <v>0</v>
      </c>
      <c r="BG233" s="50">
        <v>0</v>
      </c>
      <c r="BH233" s="49">
        <v>24</v>
      </c>
      <c r="BI233" s="50">
        <v>100</v>
      </c>
      <c r="BJ233" s="49">
        <v>24</v>
      </c>
      <c r="BK233" s="49"/>
      <c r="BL233" s="49"/>
      <c r="BM233" s="49"/>
      <c r="BN233" s="49"/>
      <c r="BO233" s="49" t="s">
        <v>570</v>
      </c>
      <c r="BP233" s="49" t="s">
        <v>570</v>
      </c>
      <c r="BQ233" s="123" t="s">
        <v>4261</v>
      </c>
      <c r="BR233" s="123" t="s">
        <v>4261</v>
      </c>
      <c r="BS233" s="123" t="s">
        <v>4353</v>
      </c>
      <c r="BT233" s="123" t="s">
        <v>4353</v>
      </c>
      <c r="BU233" s="2"/>
      <c r="BV233" s="3"/>
      <c r="BW233" s="3"/>
      <c r="BX233" s="3"/>
      <c r="BY2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3"/>
    <dataValidation allowBlank="1" showInputMessage="1" promptTitle="Vertex Tooltip" prompt="Enter optional text that will pop up when the mouse is hovered over the vertex." errorTitle="Invalid Vertex Image Key" sqref="K3:K2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3"/>
    <dataValidation allowBlank="1" showInputMessage="1" promptTitle="Vertex Label Fill Color" prompt="To select an optional fill color for the Label shape, right-click and select Select Color on the right-click menu." sqref="I3:I233"/>
    <dataValidation allowBlank="1" showInputMessage="1" promptTitle="Vertex Image File" prompt="Enter the path to an image file.  Hover over the column header for examples." errorTitle="Invalid Vertex Image Key" sqref="F3:F233"/>
    <dataValidation allowBlank="1" showInputMessage="1" promptTitle="Vertex Color" prompt="To select an optional vertex color, right-click and select Select Color on the right-click menu." sqref="B3:B233"/>
    <dataValidation allowBlank="1" showInputMessage="1" promptTitle="Vertex Opacity" prompt="Enter an optional vertex opacity between 0 (transparent) and 100 (opaque)." errorTitle="Invalid Vertex Opacity" error="The optional vertex opacity must be a whole number between 0 and 10." sqref="E3:E233"/>
    <dataValidation type="list" allowBlank="1" showInputMessage="1" showErrorMessage="1" promptTitle="Vertex Shape" prompt="Select an optional vertex shape." errorTitle="Invalid Vertex Shape" error="You have entered an invalid vertex shape.  Try selecting from the drop-down list instead." sqref="C3:C2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3">
      <formula1>ValidVertexLabelPositions</formula1>
    </dataValidation>
    <dataValidation allowBlank="1" showInputMessage="1" showErrorMessage="1" promptTitle="Vertex Name" prompt="Enter the name of the vertex." sqref="A3:A2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2348</v>
      </c>
      <c r="Z2" s="54" t="s">
        <v>2349</v>
      </c>
      <c r="AA2" s="54" t="s">
        <v>2350</v>
      </c>
      <c r="AB2" s="54" t="s">
        <v>2351</v>
      </c>
      <c r="AC2" s="54" t="s">
        <v>2352</v>
      </c>
      <c r="AD2" s="54" t="s">
        <v>2353</v>
      </c>
      <c r="AE2" s="54" t="s">
        <v>2354</v>
      </c>
      <c r="AF2" s="54" t="s">
        <v>2355</v>
      </c>
      <c r="AG2" s="54" t="s">
        <v>2358</v>
      </c>
      <c r="AH2" s="13" t="s">
        <v>3947</v>
      </c>
      <c r="AI2" s="13" t="s">
        <v>3961</v>
      </c>
      <c r="AJ2" s="13" t="s">
        <v>3981</v>
      </c>
      <c r="AK2" s="13" t="s">
        <v>3997</v>
      </c>
      <c r="AL2" s="13" t="s">
        <v>4092</v>
      </c>
      <c r="AM2" s="13" t="s">
        <v>4125</v>
      </c>
      <c r="AN2" s="13" t="s">
        <v>4132</v>
      </c>
      <c r="AO2" s="13" t="s">
        <v>4149</v>
      </c>
    </row>
    <row r="3" spans="1:41" ht="15">
      <c r="A3" s="65" t="s">
        <v>2061</v>
      </c>
      <c r="B3" s="66" t="s">
        <v>2080</v>
      </c>
      <c r="C3" s="66" t="s">
        <v>56</v>
      </c>
      <c r="D3" s="114"/>
      <c r="E3" s="14" t="s">
        <v>65</v>
      </c>
      <c r="F3" s="15" t="s">
        <v>4424</v>
      </c>
      <c r="G3" s="64"/>
      <c r="H3" s="64"/>
      <c r="I3" s="115">
        <v>3</v>
      </c>
      <c r="J3" s="51"/>
      <c r="K3" s="49">
        <v>41</v>
      </c>
      <c r="L3" s="49">
        <v>37</v>
      </c>
      <c r="M3" s="49">
        <v>10</v>
      </c>
      <c r="N3" s="49">
        <v>47</v>
      </c>
      <c r="O3" s="49">
        <v>3</v>
      </c>
      <c r="P3" s="50">
        <v>0</v>
      </c>
      <c r="Q3" s="50">
        <v>0</v>
      </c>
      <c r="R3" s="49">
        <v>1</v>
      </c>
      <c r="S3" s="49">
        <v>0</v>
      </c>
      <c r="T3" s="49">
        <v>41</v>
      </c>
      <c r="U3" s="49">
        <v>47</v>
      </c>
      <c r="V3" s="49">
        <v>2</v>
      </c>
      <c r="W3" s="50">
        <v>1.903629</v>
      </c>
      <c r="X3" s="50">
        <v>0.024390243902439025</v>
      </c>
      <c r="Y3" s="49">
        <v>0</v>
      </c>
      <c r="Z3" s="50">
        <v>0</v>
      </c>
      <c r="AA3" s="49">
        <v>0</v>
      </c>
      <c r="AB3" s="50">
        <v>0</v>
      </c>
      <c r="AC3" s="49">
        <v>0</v>
      </c>
      <c r="AD3" s="50">
        <v>0</v>
      </c>
      <c r="AE3" s="49">
        <v>388</v>
      </c>
      <c r="AF3" s="50">
        <v>100</v>
      </c>
      <c r="AG3" s="49">
        <v>388</v>
      </c>
      <c r="AH3" s="89" t="s">
        <v>3916</v>
      </c>
      <c r="AI3" s="89" t="s">
        <v>552</v>
      </c>
      <c r="AJ3" s="89" t="s">
        <v>556</v>
      </c>
      <c r="AK3" s="96" t="s">
        <v>3998</v>
      </c>
      <c r="AL3" s="96" t="s">
        <v>4093</v>
      </c>
      <c r="AM3" s="96" t="s">
        <v>341</v>
      </c>
      <c r="AN3" s="96"/>
      <c r="AO3" s="96" t="s">
        <v>4150</v>
      </c>
    </row>
    <row r="4" spans="1:41" ht="15">
      <c r="A4" s="65" t="s">
        <v>2062</v>
      </c>
      <c r="B4" s="66" t="s">
        <v>2081</v>
      </c>
      <c r="C4" s="66" t="s">
        <v>56</v>
      </c>
      <c r="D4" s="114"/>
      <c r="E4" s="14" t="s">
        <v>65</v>
      </c>
      <c r="F4" s="15" t="s">
        <v>4425</v>
      </c>
      <c r="G4" s="64"/>
      <c r="H4" s="64"/>
      <c r="I4" s="115">
        <v>4</v>
      </c>
      <c r="J4" s="78"/>
      <c r="K4" s="49">
        <v>41</v>
      </c>
      <c r="L4" s="49">
        <v>44</v>
      </c>
      <c r="M4" s="49">
        <v>4</v>
      </c>
      <c r="N4" s="49">
        <v>48</v>
      </c>
      <c r="O4" s="49">
        <v>2</v>
      </c>
      <c r="P4" s="50">
        <v>0</v>
      </c>
      <c r="Q4" s="50">
        <v>0</v>
      </c>
      <c r="R4" s="49">
        <v>1</v>
      </c>
      <c r="S4" s="49">
        <v>0</v>
      </c>
      <c r="T4" s="49">
        <v>41</v>
      </c>
      <c r="U4" s="49">
        <v>48</v>
      </c>
      <c r="V4" s="49">
        <v>5</v>
      </c>
      <c r="W4" s="50">
        <v>2.320048</v>
      </c>
      <c r="X4" s="50">
        <v>0.026829268292682926</v>
      </c>
      <c r="Y4" s="49">
        <v>0</v>
      </c>
      <c r="Z4" s="50">
        <v>0</v>
      </c>
      <c r="AA4" s="49">
        <v>0</v>
      </c>
      <c r="AB4" s="50">
        <v>0</v>
      </c>
      <c r="AC4" s="49">
        <v>0</v>
      </c>
      <c r="AD4" s="50">
        <v>0</v>
      </c>
      <c r="AE4" s="49">
        <v>937</v>
      </c>
      <c r="AF4" s="50">
        <v>100</v>
      </c>
      <c r="AG4" s="49">
        <v>937</v>
      </c>
      <c r="AH4" s="89" t="s">
        <v>3921</v>
      </c>
      <c r="AI4" s="89" t="s">
        <v>552</v>
      </c>
      <c r="AJ4" s="89" t="s">
        <v>3982</v>
      </c>
      <c r="AK4" s="96" t="s">
        <v>3999</v>
      </c>
      <c r="AL4" s="96" t="s">
        <v>4094</v>
      </c>
      <c r="AM4" s="96" t="s">
        <v>4126</v>
      </c>
      <c r="AN4" s="96" t="s">
        <v>4133</v>
      </c>
      <c r="AO4" s="96" t="s">
        <v>4151</v>
      </c>
    </row>
    <row r="5" spans="1:41" ht="15">
      <c r="A5" s="65" t="s">
        <v>2063</v>
      </c>
      <c r="B5" s="66" t="s">
        <v>2082</v>
      </c>
      <c r="C5" s="66" t="s">
        <v>56</v>
      </c>
      <c r="D5" s="114"/>
      <c r="E5" s="14" t="s">
        <v>65</v>
      </c>
      <c r="F5" s="15" t="s">
        <v>4426</v>
      </c>
      <c r="G5" s="64"/>
      <c r="H5" s="64"/>
      <c r="I5" s="115">
        <v>5</v>
      </c>
      <c r="J5" s="78"/>
      <c r="K5" s="49">
        <v>32</v>
      </c>
      <c r="L5" s="49">
        <v>30</v>
      </c>
      <c r="M5" s="49">
        <v>17</v>
      </c>
      <c r="N5" s="49">
        <v>47</v>
      </c>
      <c r="O5" s="49">
        <v>2</v>
      </c>
      <c r="P5" s="50">
        <v>0</v>
      </c>
      <c r="Q5" s="50">
        <v>0</v>
      </c>
      <c r="R5" s="49">
        <v>1</v>
      </c>
      <c r="S5" s="49">
        <v>0</v>
      </c>
      <c r="T5" s="49">
        <v>32</v>
      </c>
      <c r="U5" s="49">
        <v>47</v>
      </c>
      <c r="V5" s="49">
        <v>5</v>
      </c>
      <c r="W5" s="50">
        <v>2.652344</v>
      </c>
      <c r="X5" s="50">
        <v>0.036290322580645164</v>
      </c>
      <c r="Y5" s="49">
        <v>0</v>
      </c>
      <c r="Z5" s="50">
        <v>0</v>
      </c>
      <c r="AA5" s="49">
        <v>0</v>
      </c>
      <c r="AB5" s="50">
        <v>0</v>
      </c>
      <c r="AC5" s="49">
        <v>0</v>
      </c>
      <c r="AD5" s="50">
        <v>0</v>
      </c>
      <c r="AE5" s="49">
        <v>523</v>
      </c>
      <c r="AF5" s="50">
        <v>100</v>
      </c>
      <c r="AG5" s="49">
        <v>523</v>
      </c>
      <c r="AH5" s="89" t="s">
        <v>3948</v>
      </c>
      <c r="AI5" s="89" t="s">
        <v>3962</v>
      </c>
      <c r="AJ5" s="89" t="s">
        <v>3983</v>
      </c>
      <c r="AK5" s="96" t="s">
        <v>4000</v>
      </c>
      <c r="AL5" s="96" t="s">
        <v>4095</v>
      </c>
      <c r="AM5" s="96" t="s">
        <v>4127</v>
      </c>
      <c r="AN5" s="96" t="s">
        <v>4134</v>
      </c>
      <c r="AO5" s="96" t="s">
        <v>4152</v>
      </c>
    </row>
    <row r="6" spans="1:41" ht="15">
      <c r="A6" s="65" t="s">
        <v>2064</v>
      </c>
      <c r="B6" s="66" t="s">
        <v>2083</v>
      </c>
      <c r="C6" s="66" t="s">
        <v>56</v>
      </c>
      <c r="D6" s="114"/>
      <c r="E6" s="14" t="s">
        <v>65</v>
      </c>
      <c r="F6" s="15" t="s">
        <v>4427</v>
      </c>
      <c r="G6" s="64"/>
      <c r="H6" s="64"/>
      <c r="I6" s="115">
        <v>6</v>
      </c>
      <c r="J6" s="78"/>
      <c r="K6" s="49">
        <v>31</v>
      </c>
      <c r="L6" s="49">
        <v>31</v>
      </c>
      <c r="M6" s="49">
        <v>2</v>
      </c>
      <c r="N6" s="49">
        <v>33</v>
      </c>
      <c r="O6" s="49">
        <v>3</v>
      </c>
      <c r="P6" s="50">
        <v>0</v>
      </c>
      <c r="Q6" s="50">
        <v>0</v>
      </c>
      <c r="R6" s="49">
        <v>1</v>
      </c>
      <c r="S6" s="49">
        <v>0</v>
      </c>
      <c r="T6" s="49">
        <v>31</v>
      </c>
      <c r="U6" s="49">
        <v>33</v>
      </c>
      <c r="V6" s="49">
        <v>4</v>
      </c>
      <c r="W6" s="50">
        <v>2.043704</v>
      </c>
      <c r="X6" s="50">
        <v>0.03225806451612903</v>
      </c>
      <c r="Y6" s="49">
        <v>0</v>
      </c>
      <c r="Z6" s="50">
        <v>0</v>
      </c>
      <c r="AA6" s="49">
        <v>0</v>
      </c>
      <c r="AB6" s="50">
        <v>0</v>
      </c>
      <c r="AC6" s="49">
        <v>0</v>
      </c>
      <c r="AD6" s="50">
        <v>0</v>
      </c>
      <c r="AE6" s="49">
        <v>870</v>
      </c>
      <c r="AF6" s="50">
        <v>100</v>
      </c>
      <c r="AG6" s="49">
        <v>870</v>
      </c>
      <c r="AH6" s="89" t="s">
        <v>3915</v>
      </c>
      <c r="AI6" s="89" t="s">
        <v>549</v>
      </c>
      <c r="AJ6" s="89" t="s">
        <v>3984</v>
      </c>
      <c r="AK6" s="96" t="s">
        <v>4001</v>
      </c>
      <c r="AL6" s="96" t="s">
        <v>4096</v>
      </c>
      <c r="AM6" s="96" t="s">
        <v>4128</v>
      </c>
      <c r="AN6" s="96" t="s">
        <v>4135</v>
      </c>
      <c r="AO6" s="96" t="s">
        <v>4153</v>
      </c>
    </row>
    <row r="7" spans="1:41" ht="15">
      <c r="A7" s="65" t="s">
        <v>2065</v>
      </c>
      <c r="B7" s="66" t="s">
        <v>2084</v>
      </c>
      <c r="C7" s="66" t="s">
        <v>56</v>
      </c>
      <c r="D7" s="114"/>
      <c r="E7" s="14" t="s">
        <v>65</v>
      </c>
      <c r="F7" s="15" t="s">
        <v>4428</v>
      </c>
      <c r="G7" s="64"/>
      <c r="H7" s="64"/>
      <c r="I7" s="115">
        <v>7</v>
      </c>
      <c r="J7" s="78"/>
      <c r="K7" s="49">
        <v>20</v>
      </c>
      <c r="L7" s="49">
        <v>22</v>
      </c>
      <c r="M7" s="49">
        <v>4</v>
      </c>
      <c r="N7" s="49">
        <v>26</v>
      </c>
      <c r="O7" s="49">
        <v>2</v>
      </c>
      <c r="P7" s="50">
        <v>0</v>
      </c>
      <c r="Q7" s="50">
        <v>0</v>
      </c>
      <c r="R7" s="49">
        <v>1</v>
      </c>
      <c r="S7" s="49">
        <v>0</v>
      </c>
      <c r="T7" s="49">
        <v>20</v>
      </c>
      <c r="U7" s="49">
        <v>26</v>
      </c>
      <c r="V7" s="49">
        <v>7</v>
      </c>
      <c r="W7" s="50">
        <v>2.83</v>
      </c>
      <c r="X7" s="50">
        <v>0.05789473684210526</v>
      </c>
      <c r="Y7" s="49">
        <v>0</v>
      </c>
      <c r="Z7" s="50">
        <v>0</v>
      </c>
      <c r="AA7" s="49">
        <v>0</v>
      </c>
      <c r="AB7" s="50">
        <v>0</v>
      </c>
      <c r="AC7" s="49">
        <v>0</v>
      </c>
      <c r="AD7" s="50">
        <v>0</v>
      </c>
      <c r="AE7" s="49">
        <v>478</v>
      </c>
      <c r="AF7" s="50">
        <v>100</v>
      </c>
      <c r="AG7" s="49">
        <v>478</v>
      </c>
      <c r="AH7" s="89" t="s">
        <v>3913</v>
      </c>
      <c r="AI7" s="89" t="s">
        <v>554</v>
      </c>
      <c r="AJ7" s="89" t="s">
        <v>570</v>
      </c>
      <c r="AK7" s="96" t="s">
        <v>4002</v>
      </c>
      <c r="AL7" s="96" t="s">
        <v>4097</v>
      </c>
      <c r="AM7" s="96" t="s">
        <v>4129</v>
      </c>
      <c r="AN7" s="96" t="s">
        <v>4136</v>
      </c>
      <c r="AO7" s="96" t="s">
        <v>4154</v>
      </c>
    </row>
    <row r="8" spans="1:41" ht="15">
      <c r="A8" s="65" t="s">
        <v>2066</v>
      </c>
      <c r="B8" s="66" t="s">
        <v>2085</v>
      </c>
      <c r="C8" s="66" t="s">
        <v>56</v>
      </c>
      <c r="D8" s="114"/>
      <c r="E8" s="14" t="s">
        <v>65</v>
      </c>
      <c r="F8" s="15" t="s">
        <v>4429</v>
      </c>
      <c r="G8" s="64"/>
      <c r="H8" s="64"/>
      <c r="I8" s="115">
        <v>8</v>
      </c>
      <c r="J8" s="78"/>
      <c r="K8" s="49">
        <v>14</v>
      </c>
      <c r="L8" s="49">
        <v>14</v>
      </c>
      <c r="M8" s="49">
        <v>0</v>
      </c>
      <c r="N8" s="49">
        <v>14</v>
      </c>
      <c r="O8" s="49">
        <v>1</v>
      </c>
      <c r="P8" s="50">
        <v>0</v>
      </c>
      <c r="Q8" s="50">
        <v>0</v>
      </c>
      <c r="R8" s="49">
        <v>1</v>
      </c>
      <c r="S8" s="49">
        <v>0</v>
      </c>
      <c r="T8" s="49">
        <v>14</v>
      </c>
      <c r="U8" s="49">
        <v>14</v>
      </c>
      <c r="V8" s="49">
        <v>3</v>
      </c>
      <c r="W8" s="50">
        <v>1.836735</v>
      </c>
      <c r="X8" s="50">
        <v>0.07142857142857142</v>
      </c>
      <c r="Y8" s="49">
        <v>0</v>
      </c>
      <c r="Z8" s="50">
        <v>0</v>
      </c>
      <c r="AA8" s="49">
        <v>0</v>
      </c>
      <c r="AB8" s="50">
        <v>0</v>
      </c>
      <c r="AC8" s="49">
        <v>0</v>
      </c>
      <c r="AD8" s="50">
        <v>0</v>
      </c>
      <c r="AE8" s="49">
        <v>484</v>
      </c>
      <c r="AF8" s="50">
        <v>100</v>
      </c>
      <c r="AG8" s="49">
        <v>484</v>
      </c>
      <c r="AH8" s="89"/>
      <c r="AI8" s="89"/>
      <c r="AJ8" s="89" t="s">
        <v>555</v>
      </c>
      <c r="AK8" s="96" t="s">
        <v>4003</v>
      </c>
      <c r="AL8" s="96" t="s">
        <v>4098</v>
      </c>
      <c r="AM8" s="96" t="s">
        <v>4130</v>
      </c>
      <c r="AN8" s="96"/>
      <c r="AO8" s="96" t="s">
        <v>4155</v>
      </c>
    </row>
    <row r="9" spans="1:41" ht="15">
      <c r="A9" s="65" t="s">
        <v>2067</v>
      </c>
      <c r="B9" s="66" t="s">
        <v>2086</v>
      </c>
      <c r="C9" s="66" t="s">
        <v>56</v>
      </c>
      <c r="D9" s="114"/>
      <c r="E9" s="14" t="s">
        <v>66</v>
      </c>
      <c r="F9" s="15" t="s">
        <v>4430</v>
      </c>
      <c r="G9" s="64">
        <v>9292.603515625</v>
      </c>
      <c r="H9" s="64">
        <v>468.3372497558594</v>
      </c>
      <c r="I9" s="115">
        <v>9</v>
      </c>
      <c r="J9" s="78"/>
      <c r="K9" s="49">
        <v>12</v>
      </c>
      <c r="L9" s="49">
        <v>11</v>
      </c>
      <c r="M9" s="49">
        <v>2</v>
      </c>
      <c r="N9" s="49">
        <v>13</v>
      </c>
      <c r="O9" s="49">
        <v>13</v>
      </c>
      <c r="P9" s="50" t="s">
        <v>2096</v>
      </c>
      <c r="Q9" s="50" t="s">
        <v>2096</v>
      </c>
      <c r="R9" s="49">
        <v>12</v>
      </c>
      <c r="S9" s="49">
        <v>12</v>
      </c>
      <c r="T9" s="49">
        <v>1</v>
      </c>
      <c r="U9" s="49">
        <v>2</v>
      </c>
      <c r="V9" s="49">
        <v>0</v>
      </c>
      <c r="W9" s="50">
        <v>0</v>
      </c>
      <c r="X9" s="50">
        <v>0</v>
      </c>
      <c r="Y9" s="49">
        <v>1</v>
      </c>
      <c r="Z9" s="50">
        <v>0.4694835680751174</v>
      </c>
      <c r="AA9" s="49">
        <v>0</v>
      </c>
      <c r="AB9" s="50">
        <v>0</v>
      </c>
      <c r="AC9" s="49">
        <v>0</v>
      </c>
      <c r="AD9" s="50">
        <v>0</v>
      </c>
      <c r="AE9" s="49">
        <v>212</v>
      </c>
      <c r="AF9" s="50">
        <v>99.53051643192488</v>
      </c>
      <c r="AG9" s="49">
        <v>213</v>
      </c>
      <c r="AH9" s="89" t="s">
        <v>3949</v>
      </c>
      <c r="AI9" s="89" t="s">
        <v>3963</v>
      </c>
      <c r="AJ9" s="89" t="s">
        <v>3985</v>
      </c>
      <c r="AK9" s="96" t="s">
        <v>4004</v>
      </c>
      <c r="AL9" s="96" t="s">
        <v>4099</v>
      </c>
      <c r="AM9" s="96"/>
      <c r="AN9" s="96"/>
      <c r="AO9" s="96" t="s">
        <v>4156</v>
      </c>
    </row>
    <row r="10" spans="1:41" ht="14.25" customHeight="1">
      <c r="A10" s="65" t="s">
        <v>2068</v>
      </c>
      <c r="B10" s="66" t="s">
        <v>2087</v>
      </c>
      <c r="C10" s="66" t="s">
        <v>56</v>
      </c>
      <c r="D10" s="114"/>
      <c r="E10" s="14" t="s">
        <v>65</v>
      </c>
      <c r="F10" s="15" t="s">
        <v>4431</v>
      </c>
      <c r="G10" s="64"/>
      <c r="H10" s="64"/>
      <c r="I10" s="115">
        <v>10</v>
      </c>
      <c r="J10" s="78"/>
      <c r="K10" s="49">
        <v>10</v>
      </c>
      <c r="L10" s="49">
        <v>9</v>
      </c>
      <c r="M10" s="49">
        <v>0</v>
      </c>
      <c r="N10" s="49">
        <v>9</v>
      </c>
      <c r="O10" s="49">
        <v>0</v>
      </c>
      <c r="P10" s="50">
        <v>0</v>
      </c>
      <c r="Q10" s="50">
        <v>0</v>
      </c>
      <c r="R10" s="49">
        <v>1</v>
      </c>
      <c r="S10" s="49">
        <v>0</v>
      </c>
      <c r="T10" s="49">
        <v>10</v>
      </c>
      <c r="U10" s="49">
        <v>9</v>
      </c>
      <c r="V10" s="49">
        <v>2</v>
      </c>
      <c r="W10" s="50">
        <v>1.62</v>
      </c>
      <c r="X10" s="50">
        <v>0.1</v>
      </c>
      <c r="Y10" s="49">
        <v>0</v>
      </c>
      <c r="Z10" s="50">
        <v>0</v>
      </c>
      <c r="AA10" s="49">
        <v>0</v>
      </c>
      <c r="AB10" s="50">
        <v>0</v>
      </c>
      <c r="AC10" s="49">
        <v>0</v>
      </c>
      <c r="AD10" s="50">
        <v>0</v>
      </c>
      <c r="AE10" s="49">
        <v>34</v>
      </c>
      <c r="AF10" s="50">
        <v>100</v>
      </c>
      <c r="AG10" s="49">
        <v>34</v>
      </c>
      <c r="AH10" s="89"/>
      <c r="AI10" s="89"/>
      <c r="AJ10" s="89" t="s">
        <v>557</v>
      </c>
      <c r="AK10" s="96" t="s">
        <v>4005</v>
      </c>
      <c r="AL10" s="96" t="s">
        <v>1087</v>
      </c>
      <c r="AM10" s="96" t="s">
        <v>415</v>
      </c>
      <c r="AN10" s="96" t="s">
        <v>4137</v>
      </c>
      <c r="AO10" s="96" t="s">
        <v>4157</v>
      </c>
    </row>
    <row r="11" spans="1:41" ht="15">
      <c r="A11" s="65" t="s">
        <v>2069</v>
      </c>
      <c r="B11" s="66" t="s">
        <v>2088</v>
      </c>
      <c r="C11" s="66" t="s">
        <v>56</v>
      </c>
      <c r="D11" s="114"/>
      <c r="E11" s="14" t="s">
        <v>65</v>
      </c>
      <c r="F11" s="15" t="s">
        <v>2069</v>
      </c>
      <c r="G11" s="64"/>
      <c r="H11" s="64"/>
      <c r="I11" s="115">
        <v>11</v>
      </c>
      <c r="J11" s="78"/>
      <c r="K11" s="49">
        <v>4</v>
      </c>
      <c r="L11" s="49">
        <v>4</v>
      </c>
      <c r="M11" s="49">
        <v>0</v>
      </c>
      <c r="N11" s="49">
        <v>4</v>
      </c>
      <c r="O11" s="49">
        <v>0</v>
      </c>
      <c r="P11" s="50">
        <v>0</v>
      </c>
      <c r="Q11" s="50">
        <v>0</v>
      </c>
      <c r="R11" s="49">
        <v>1</v>
      </c>
      <c r="S11" s="49">
        <v>0</v>
      </c>
      <c r="T11" s="49">
        <v>4</v>
      </c>
      <c r="U11" s="49">
        <v>4</v>
      </c>
      <c r="V11" s="49">
        <v>2</v>
      </c>
      <c r="W11" s="50">
        <v>1</v>
      </c>
      <c r="X11" s="50">
        <v>0.3333333333333333</v>
      </c>
      <c r="Y11" s="49">
        <v>0</v>
      </c>
      <c r="Z11" s="50">
        <v>0</v>
      </c>
      <c r="AA11" s="49">
        <v>0</v>
      </c>
      <c r="AB11" s="50">
        <v>0</v>
      </c>
      <c r="AC11" s="49">
        <v>0</v>
      </c>
      <c r="AD11" s="50">
        <v>0</v>
      </c>
      <c r="AE11" s="49">
        <v>62</v>
      </c>
      <c r="AF11" s="50">
        <v>100</v>
      </c>
      <c r="AG11" s="49">
        <v>62</v>
      </c>
      <c r="AH11" s="89"/>
      <c r="AI11" s="89"/>
      <c r="AJ11" s="89"/>
      <c r="AK11" s="96" t="s">
        <v>4006</v>
      </c>
      <c r="AL11" s="96" t="s">
        <v>4100</v>
      </c>
      <c r="AM11" s="96" t="s">
        <v>444</v>
      </c>
      <c r="AN11" s="96"/>
      <c r="AO11" s="96" t="s">
        <v>4158</v>
      </c>
    </row>
    <row r="12" spans="1:41" ht="15">
      <c r="A12" s="65" t="s">
        <v>2070</v>
      </c>
      <c r="B12" s="66" t="s">
        <v>2089</v>
      </c>
      <c r="C12" s="66" t="s">
        <v>56</v>
      </c>
      <c r="D12" s="114"/>
      <c r="E12" s="14" t="s">
        <v>65</v>
      </c>
      <c r="F12" s="15" t="s">
        <v>2070</v>
      </c>
      <c r="G12" s="64"/>
      <c r="H12" s="64"/>
      <c r="I12" s="115">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66</v>
      </c>
      <c r="AF12" s="50">
        <v>100</v>
      </c>
      <c r="AG12" s="49">
        <v>66</v>
      </c>
      <c r="AH12" s="89"/>
      <c r="AI12" s="89"/>
      <c r="AJ12" s="89"/>
      <c r="AK12" s="96" t="s">
        <v>4007</v>
      </c>
      <c r="AL12" s="96" t="s">
        <v>4012</v>
      </c>
      <c r="AM12" s="96" t="s">
        <v>4131</v>
      </c>
      <c r="AN12" s="96"/>
      <c r="AO12" s="96" t="s">
        <v>4159</v>
      </c>
    </row>
    <row r="13" spans="1:41" ht="15">
      <c r="A13" s="65" t="s">
        <v>2071</v>
      </c>
      <c r="B13" s="66" t="s">
        <v>2090</v>
      </c>
      <c r="C13" s="66" t="s">
        <v>56</v>
      </c>
      <c r="D13" s="114"/>
      <c r="E13" s="14" t="s">
        <v>65</v>
      </c>
      <c r="F13" s="15" t="s">
        <v>2071</v>
      </c>
      <c r="G13" s="64"/>
      <c r="H13" s="64"/>
      <c r="I13" s="115">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99</v>
      </c>
      <c r="AF13" s="50">
        <v>100</v>
      </c>
      <c r="AG13" s="49">
        <v>99</v>
      </c>
      <c r="AH13" s="89" t="s">
        <v>3914</v>
      </c>
      <c r="AI13" s="89" t="s">
        <v>549</v>
      </c>
      <c r="AJ13" s="89"/>
      <c r="AK13" s="96" t="s">
        <v>4008</v>
      </c>
      <c r="AL13" s="96" t="s">
        <v>4101</v>
      </c>
      <c r="AM13" s="96"/>
      <c r="AN13" s="96"/>
      <c r="AO13" s="96" t="s">
        <v>4160</v>
      </c>
    </row>
    <row r="14" spans="1:41" ht="15">
      <c r="A14" s="65" t="s">
        <v>2072</v>
      </c>
      <c r="B14" s="66" t="s">
        <v>2091</v>
      </c>
      <c r="C14" s="66" t="s">
        <v>56</v>
      </c>
      <c r="D14" s="114"/>
      <c r="E14" s="14" t="s">
        <v>65</v>
      </c>
      <c r="F14" s="15" t="s">
        <v>2072</v>
      </c>
      <c r="G14" s="64"/>
      <c r="H14" s="64"/>
      <c r="I14" s="115">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v>
      </c>
      <c r="AF14" s="50">
        <v>100</v>
      </c>
      <c r="AG14" s="49">
        <v>4</v>
      </c>
      <c r="AH14" s="89"/>
      <c r="AI14" s="89"/>
      <c r="AJ14" s="89"/>
      <c r="AK14" s="96" t="s">
        <v>1087</v>
      </c>
      <c r="AL14" s="96" t="s">
        <v>1087</v>
      </c>
      <c r="AM14" s="96" t="s">
        <v>433</v>
      </c>
      <c r="AN14" s="96" t="s">
        <v>432</v>
      </c>
      <c r="AO14" s="96" t="s">
        <v>4161</v>
      </c>
    </row>
    <row r="15" spans="1:41" ht="15">
      <c r="A15" s="65" t="s">
        <v>2073</v>
      </c>
      <c r="B15" s="66" t="s">
        <v>2080</v>
      </c>
      <c r="C15" s="66" t="s">
        <v>59</v>
      </c>
      <c r="D15" s="114"/>
      <c r="E15" s="14" t="s">
        <v>65</v>
      </c>
      <c r="F15" s="15" t="s">
        <v>2073</v>
      </c>
      <c r="G15" s="64"/>
      <c r="H15" s="64"/>
      <c r="I15" s="115">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29</v>
      </c>
      <c r="AF15" s="50">
        <v>100</v>
      </c>
      <c r="AG15" s="49">
        <v>29</v>
      </c>
      <c r="AH15" s="89"/>
      <c r="AI15" s="89"/>
      <c r="AJ15" s="89"/>
      <c r="AK15" s="96" t="s">
        <v>4009</v>
      </c>
      <c r="AL15" s="96" t="s">
        <v>1087</v>
      </c>
      <c r="AM15" s="96" t="s">
        <v>428</v>
      </c>
      <c r="AN15" s="96"/>
      <c r="AO15" s="96" t="s">
        <v>4162</v>
      </c>
    </row>
    <row r="16" spans="1:41" ht="15">
      <c r="A16" s="65" t="s">
        <v>2074</v>
      </c>
      <c r="B16" s="66" t="s">
        <v>2081</v>
      </c>
      <c r="C16" s="66" t="s">
        <v>59</v>
      </c>
      <c r="D16" s="114"/>
      <c r="E16" s="14" t="s">
        <v>65</v>
      </c>
      <c r="F16" s="15" t="s">
        <v>4432</v>
      </c>
      <c r="G16" s="64"/>
      <c r="H16" s="64"/>
      <c r="I16" s="115">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16</v>
      </c>
      <c r="AF16" s="50">
        <v>100</v>
      </c>
      <c r="AG16" s="49">
        <v>16</v>
      </c>
      <c r="AH16" s="89"/>
      <c r="AI16" s="89"/>
      <c r="AJ16" s="89" t="s">
        <v>556</v>
      </c>
      <c r="AK16" s="96" t="s">
        <v>1087</v>
      </c>
      <c r="AL16" s="96" t="s">
        <v>1087</v>
      </c>
      <c r="AM16" s="96" t="s">
        <v>422</v>
      </c>
      <c r="AN16" s="96" t="s">
        <v>421</v>
      </c>
      <c r="AO16" s="96" t="s">
        <v>4163</v>
      </c>
    </row>
    <row r="17" spans="1:41" ht="15">
      <c r="A17" s="65" t="s">
        <v>2075</v>
      </c>
      <c r="B17" s="66" t="s">
        <v>2082</v>
      </c>
      <c r="C17" s="66" t="s">
        <v>59</v>
      </c>
      <c r="D17" s="114"/>
      <c r="E17" s="14" t="s">
        <v>65</v>
      </c>
      <c r="F17" s="15" t="s">
        <v>2075</v>
      </c>
      <c r="G17" s="64"/>
      <c r="H17" s="64"/>
      <c r="I17" s="115">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34</v>
      </c>
      <c r="AF17" s="50">
        <v>100</v>
      </c>
      <c r="AG17" s="49">
        <v>34</v>
      </c>
      <c r="AH17" s="89"/>
      <c r="AI17" s="89"/>
      <c r="AJ17" s="89"/>
      <c r="AK17" s="96" t="s">
        <v>1087</v>
      </c>
      <c r="AL17" s="96" t="s">
        <v>1087</v>
      </c>
      <c r="AM17" s="96" t="s">
        <v>418</v>
      </c>
      <c r="AN17" s="96" t="s">
        <v>417</v>
      </c>
      <c r="AO17" s="96" t="s">
        <v>4164</v>
      </c>
    </row>
    <row r="18" spans="1:41" ht="15">
      <c r="A18" s="65" t="s">
        <v>2076</v>
      </c>
      <c r="B18" s="66" t="s">
        <v>2083</v>
      </c>
      <c r="C18" s="66" t="s">
        <v>59</v>
      </c>
      <c r="D18" s="114"/>
      <c r="E18" s="14" t="s">
        <v>65</v>
      </c>
      <c r="F18" s="15" t="s">
        <v>2076</v>
      </c>
      <c r="G18" s="64"/>
      <c r="H18" s="64"/>
      <c r="I18" s="115">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56</v>
      </c>
      <c r="AF18" s="50">
        <v>100</v>
      </c>
      <c r="AG18" s="49">
        <v>56</v>
      </c>
      <c r="AH18" s="89" t="s">
        <v>3914</v>
      </c>
      <c r="AI18" s="89" t="s">
        <v>549</v>
      </c>
      <c r="AJ18" s="89"/>
      <c r="AK18" s="96" t="s">
        <v>4010</v>
      </c>
      <c r="AL18" s="96" t="s">
        <v>4102</v>
      </c>
      <c r="AM18" s="96"/>
      <c r="AN18" s="96"/>
      <c r="AO18" s="96" t="s">
        <v>4165</v>
      </c>
    </row>
    <row r="19" spans="1:41" ht="15">
      <c r="A19" s="65" t="s">
        <v>2077</v>
      </c>
      <c r="B19" s="66" t="s">
        <v>2084</v>
      </c>
      <c r="C19" s="66" t="s">
        <v>59</v>
      </c>
      <c r="D19" s="114"/>
      <c r="E19" s="14" t="s">
        <v>65</v>
      </c>
      <c r="F19" s="15" t="s">
        <v>2077</v>
      </c>
      <c r="G19" s="64"/>
      <c r="H19" s="64"/>
      <c r="I19" s="115">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89"/>
      <c r="AI19" s="89"/>
      <c r="AJ19" s="89"/>
      <c r="AK19" s="96" t="s">
        <v>1087</v>
      </c>
      <c r="AL19" s="96" t="s">
        <v>1087</v>
      </c>
      <c r="AM19" s="96" t="s">
        <v>435</v>
      </c>
      <c r="AN19" s="96"/>
      <c r="AO19" s="96" t="s">
        <v>4166</v>
      </c>
    </row>
    <row r="20" spans="1:41" ht="15">
      <c r="A20" s="65" t="s">
        <v>2078</v>
      </c>
      <c r="B20" s="66" t="s">
        <v>2085</v>
      </c>
      <c r="C20" s="66" t="s">
        <v>59</v>
      </c>
      <c r="D20" s="114"/>
      <c r="E20" s="14" t="s">
        <v>65</v>
      </c>
      <c r="F20" s="15" t="s">
        <v>2078</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23</v>
      </c>
      <c r="AF20" s="50">
        <v>100</v>
      </c>
      <c r="AG20" s="49">
        <v>23</v>
      </c>
      <c r="AH20" s="89"/>
      <c r="AI20" s="89"/>
      <c r="AJ20" s="89"/>
      <c r="AK20" s="96" t="s">
        <v>1087</v>
      </c>
      <c r="AL20" s="96" t="s">
        <v>1087</v>
      </c>
      <c r="AM20" s="96" t="s">
        <v>424</v>
      </c>
      <c r="AN20" s="96"/>
      <c r="AO20" s="96" t="s">
        <v>4167</v>
      </c>
    </row>
    <row r="21" spans="1:41" ht="15">
      <c r="A21" s="65" t="s">
        <v>2079</v>
      </c>
      <c r="B21" s="66" t="s">
        <v>2086</v>
      </c>
      <c r="C21" s="66" t="s">
        <v>59</v>
      </c>
      <c r="D21" s="114"/>
      <c r="E21" s="14" t="s">
        <v>65</v>
      </c>
      <c r="F21" s="15" t="s">
        <v>2079</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29</v>
      </c>
      <c r="AF21" s="50">
        <v>100</v>
      </c>
      <c r="AG21" s="49">
        <v>29</v>
      </c>
      <c r="AH21" s="89"/>
      <c r="AI21" s="89"/>
      <c r="AJ21" s="89"/>
      <c r="AK21" s="96" t="s">
        <v>1087</v>
      </c>
      <c r="AL21" s="96" t="s">
        <v>1087</v>
      </c>
      <c r="AM21" s="96" t="s">
        <v>419</v>
      </c>
      <c r="AN21" s="96"/>
      <c r="AO21" s="96" t="s">
        <v>4168</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2061</v>
      </c>
      <c r="B2" s="96" t="s">
        <v>341</v>
      </c>
      <c r="C2" s="89">
        <f>VLOOKUP(GroupVertices[[#This Row],[Vertex]],Vertices[],MATCH("ID",Vertices[[#Headers],[Vertex]:[Top Word Pairs in Tweet by Salience]],0),FALSE)</f>
        <v>121</v>
      </c>
    </row>
    <row r="3" spans="1:3" ht="15">
      <c r="A3" s="90" t="s">
        <v>2061</v>
      </c>
      <c r="B3" s="96" t="s">
        <v>360</v>
      </c>
      <c r="C3" s="89">
        <f>VLOOKUP(GroupVertices[[#This Row],[Vertex]],Vertices[],MATCH("ID",Vertices[[#Headers],[Vertex]:[Top Word Pairs in Tweet by Salience]],0),FALSE)</f>
        <v>189</v>
      </c>
    </row>
    <row r="4" spans="1:3" ht="15">
      <c r="A4" s="90" t="s">
        <v>2061</v>
      </c>
      <c r="B4" s="96" t="s">
        <v>358</v>
      </c>
      <c r="C4" s="89">
        <f>VLOOKUP(GroupVertices[[#This Row],[Vertex]],Vertices[],MATCH("ID",Vertices[[#Headers],[Vertex]:[Top Word Pairs in Tweet by Salience]],0),FALSE)</f>
        <v>186</v>
      </c>
    </row>
    <row r="5" spans="1:3" ht="15">
      <c r="A5" s="90" t="s">
        <v>2061</v>
      </c>
      <c r="B5" s="96" t="s">
        <v>355</v>
      </c>
      <c r="C5" s="89">
        <f>VLOOKUP(GroupVertices[[#This Row],[Vertex]],Vertices[],MATCH("ID",Vertices[[#Headers],[Vertex]:[Top Word Pairs in Tweet by Salience]],0),FALSE)</f>
        <v>184</v>
      </c>
    </row>
    <row r="6" spans="1:3" ht="15">
      <c r="A6" s="90" t="s">
        <v>2061</v>
      </c>
      <c r="B6" s="96" t="s">
        <v>352</v>
      </c>
      <c r="C6" s="89">
        <f>VLOOKUP(GroupVertices[[#This Row],[Vertex]],Vertices[],MATCH("ID",Vertices[[#Headers],[Vertex]:[Top Word Pairs in Tweet by Salience]],0),FALSE)</f>
        <v>179</v>
      </c>
    </row>
    <row r="7" spans="1:3" ht="15">
      <c r="A7" s="90" t="s">
        <v>2061</v>
      </c>
      <c r="B7" s="96" t="s">
        <v>351</v>
      </c>
      <c r="C7" s="89">
        <f>VLOOKUP(GroupVertices[[#This Row],[Vertex]],Vertices[],MATCH("ID",Vertices[[#Headers],[Vertex]:[Top Word Pairs in Tweet by Salience]],0),FALSE)</f>
        <v>178</v>
      </c>
    </row>
    <row r="8" spans="1:3" ht="15">
      <c r="A8" s="90" t="s">
        <v>2061</v>
      </c>
      <c r="B8" s="96" t="s">
        <v>344</v>
      </c>
      <c r="C8" s="89">
        <f>VLOOKUP(GroupVertices[[#This Row],[Vertex]],Vertices[],MATCH("ID",Vertices[[#Headers],[Vertex]:[Top Word Pairs in Tweet by Salience]],0),FALSE)</f>
        <v>172</v>
      </c>
    </row>
    <row r="9" spans="1:3" ht="15">
      <c r="A9" s="90" t="s">
        <v>2061</v>
      </c>
      <c r="B9" s="96" t="s">
        <v>343</v>
      </c>
      <c r="C9" s="89">
        <f>VLOOKUP(GroupVertices[[#This Row],[Vertex]],Vertices[],MATCH("ID",Vertices[[#Headers],[Vertex]:[Top Word Pairs in Tweet by Salience]],0),FALSE)</f>
        <v>171</v>
      </c>
    </row>
    <row r="10" spans="1:3" ht="15">
      <c r="A10" s="90" t="s">
        <v>2061</v>
      </c>
      <c r="B10" s="96" t="s">
        <v>340</v>
      </c>
      <c r="C10" s="89">
        <f>VLOOKUP(GroupVertices[[#This Row],[Vertex]],Vertices[],MATCH("ID",Vertices[[#Headers],[Vertex]:[Top Word Pairs in Tweet by Salience]],0),FALSE)</f>
        <v>169</v>
      </c>
    </row>
    <row r="11" spans="1:3" ht="15">
      <c r="A11" s="90" t="s">
        <v>2061</v>
      </c>
      <c r="B11" s="96" t="s">
        <v>338</v>
      </c>
      <c r="C11" s="89">
        <f>VLOOKUP(GroupVertices[[#This Row],[Vertex]],Vertices[],MATCH("ID",Vertices[[#Headers],[Vertex]:[Top Word Pairs in Tweet by Salience]],0),FALSE)</f>
        <v>167</v>
      </c>
    </row>
    <row r="12" spans="1:3" ht="15">
      <c r="A12" s="90" t="s">
        <v>2061</v>
      </c>
      <c r="B12" s="96" t="s">
        <v>337</v>
      </c>
      <c r="C12" s="89">
        <f>VLOOKUP(GroupVertices[[#This Row],[Vertex]],Vertices[],MATCH("ID",Vertices[[#Headers],[Vertex]:[Top Word Pairs in Tweet by Salience]],0),FALSE)</f>
        <v>166</v>
      </c>
    </row>
    <row r="13" spans="1:3" ht="15">
      <c r="A13" s="90" t="s">
        <v>2061</v>
      </c>
      <c r="B13" s="96" t="s">
        <v>335</v>
      </c>
      <c r="C13" s="89">
        <f>VLOOKUP(GroupVertices[[#This Row],[Vertex]],Vertices[],MATCH("ID",Vertices[[#Headers],[Vertex]:[Top Word Pairs in Tweet by Salience]],0),FALSE)</f>
        <v>164</v>
      </c>
    </row>
    <row r="14" spans="1:3" ht="15">
      <c r="A14" s="90" t="s">
        <v>2061</v>
      </c>
      <c r="B14" s="96" t="s">
        <v>332</v>
      </c>
      <c r="C14" s="89">
        <f>VLOOKUP(GroupVertices[[#This Row],[Vertex]],Vertices[],MATCH("ID",Vertices[[#Headers],[Vertex]:[Top Word Pairs in Tweet by Salience]],0),FALSE)</f>
        <v>163</v>
      </c>
    </row>
    <row r="15" spans="1:3" ht="15">
      <c r="A15" s="90" t="s">
        <v>2061</v>
      </c>
      <c r="B15" s="96" t="s">
        <v>331</v>
      </c>
      <c r="C15" s="89">
        <f>VLOOKUP(GroupVertices[[#This Row],[Vertex]],Vertices[],MATCH("ID",Vertices[[#Headers],[Vertex]:[Top Word Pairs in Tweet by Salience]],0),FALSE)</f>
        <v>162</v>
      </c>
    </row>
    <row r="16" spans="1:3" ht="15">
      <c r="A16" s="90" t="s">
        <v>2061</v>
      </c>
      <c r="B16" s="96" t="s">
        <v>330</v>
      </c>
      <c r="C16" s="89">
        <f>VLOOKUP(GroupVertices[[#This Row],[Vertex]],Vertices[],MATCH("ID",Vertices[[#Headers],[Vertex]:[Top Word Pairs in Tweet by Salience]],0),FALSE)</f>
        <v>161</v>
      </c>
    </row>
    <row r="17" spans="1:3" ht="15">
      <c r="A17" s="90" t="s">
        <v>2061</v>
      </c>
      <c r="B17" s="96" t="s">
        <v>328</v>
      </c>
      <c r="C17" s="89">
        <f>VLOOKUP(GroupVertices[[#This Row],[Vertex]],Vertices[],MATCH("ID",Vertices[[#Headers],[Vertex]:[Top Word Pairs in Tweet by Salience]],0),FALSE)</f>
        <v>156</v>
      </c>
    </row>
    <row r="18" spans="1:3" ht="15">
      <c r="A18" s="90" t="s">
        <v>2061</v>
      </c>
      <c r="B18" s="96" t="s">
        <v>327</v>
      </c>
      <c r="C18" s="89">
        <f>VLOOKUP(GroupVertices[[#This Row],[Vertex]],Vertices[],MATCH("ID",Vertices[[#Headers],[Vertex]:[Top Word Pairs in Tweet by Salience]],0),FALSE)</f>
        <v>155</v>
      </c>
    </row>
    <row r="19" spans="1:3" ht="15">
      <c r="A19" s="90" t="s">
        <v>2061</v>
      </c>
      <c r="B19" s="96" t="s">
        <v>326</v>
      </c>
      <c r="C19" s="89">
        <f>VLOOKUP(GroupVertices[[#This Row],[Vertex]],Vertices[],MATCH("ID",Vertices[[#Headers],[Vertex]:[Top Word Pairs in Tweet by Salience]],0),FALSE)</f>
        <v>154</v>
      </c>
    </row>
    <row r="20" spans="1:3" ht="15">
      <c r="A20" s="90" t="s">
        <v>2061</v>
      </c>
      <c r="B20" s="96" t="s">
        <v>325</v>
      </c>
      <c r="C20" s="89">
        <f>VLOOKUP(GroupVertices[[#This Row],[Vertex]],Vertices[],MATCH("ID",Vertices[[#Headers],[Vertex]:[Top Word Pairs in Tweet by Salience]],0),FALSE)</f>
        <v>153</v>
      </c>
    </row>
    <row r="21" spans="1:3" ht="15">
      <c r="A21" s="90" t="s">
        <v>2061</v>
      </c>
      <c r="B21" s="96" t="s">
        <v>324</v>
      </c>
      <c r="C21" s="89">
        <f>VLOOKUP(GroupVertices[[#This Row],[Vertex]],Vertices[],MATCH("ID",Vertices[[#Headers],[Vertex]:[Top Word Pairs in Tweet by Salience]],0),FALSE)</f>
        <v>152</v>
      </c>
    </row>
    <row r="22" spans="1:3" ht="15">
      <c r="A22" s="90" t="s">
        <v>2061</v>
      </c>
      <c r="B22" s="96" t="s">
        <v>322</v>
      </c>
      <c r="C22" s="89">
        <f>VLOOKUP(GroupVertices[[#This Row],[Vertex]],Vertices[],MATCH("ID",Vertices[[#Headers],[Vertex]:[Top Word Pairs in Tweet by Salience]],0),FALSE)</f>
        <v>149</v>
      </c>
    </row>
    <row r="23" spans="1:3" ht="15">
      <c r="A23" s="90" t="s">
        <v>2061</v>
      </c>
      <c r="B23" s="96" t="s">
        <v>321</v>
      </c>
      <c r="C23" s="89">
        <f>VLOOKUP(GroupVertices[[#This Row],[Vertex]],Vertices[],MATCH("ID",Vertices[[#Headers],[Vertex]:[Top Word Pairs in Tweet by Salience]],0),FALSE)</f>
        <v>148</v>
      </c>
    </row>
    <row r="24" spans="1:3" ht="15">
      <c r="A24" s="90" t="s">
        <v>2061</v>
      </c>
      <c r="B24" s="96" t="s">
        <v>320</v>
      </c>
      <c r="C24" s="89">
        <f>VLOOKUP(GroupVertices[[#This Row],[Vertex]],Vertices[],MATCH("ID",Vertices[[#Headers],[Vertex]:[Top Word Pairs in Tweet by Salience]],0),FALSE)</f>
        <v>147</v>
      </c>
    </row>
    <row r="25" spans="1:3" ht="15">
      <c r="A25" s="90" t="s">
        <v>2061</v>
      </c>
      <c r="B25" s="96" t="s">
        <v>319</v>
      </c>
      <c r="C25" s="89">
        <f>VLOOKUP(GroupVertices[[#This Row],[Vertex]],Vertices[],MATCH("ID",Vertices[[#Headers],[Vertex]:[Top Word Pairs in Tweet by Salience]],0),FALSE)</f>
        <v>146</v>
      </c>
    </row>
    <row r="26" spans="1:3" ht="15">
      <c r="A26" s="90" t="s">
        <v>2061</v>
      </c>
      <c r="B26" s="96" t="s">
        <v>318</v>
      </c>
      <c r="C26" s="89">
        <f>VLOOKUP(GroupVertices[[#This Row],[Vertex]],Vertices[],MATCH("ID",Vertices[[#Headers],[Vertex]:[Top Word Pairs in Tweet by Salience]],0),FALSE)</f>
        <v>145</v>
      </c>
    </row>
    <row r="27" spans="1:3" ht="15">
      <c r="A27" s="90" t="s">
        <v>2061</v>
      </c>
      <c r="B27" s="96" t="s">
        <v>317</v>
      </c>
      <c r="C27" s="89">
        <f>VLOOKUP(GroupVertices[[#This Row],[Vertex]],Vertices[],MATCH("ID",Vertices[[#Headers],[Vertex]:[Top Word Pairs in Tweet by Salience]],0),FALSE)</f>
        <v>144</v>
      </c>
    </row>
    <row r="28" spans="1:3" ht="15">
      <c r="A28" s="90" t="s">
        <v>2061</v>
      </c>
      <c r="B28" s="96" t="s">
        <v>314</v>
      </c>
      <c r="C28" s="89">
        <f>VLOOKUP(GroupVertices[[#This Row],[Vertex]],Vertices[],MATCH("ID",Vertices[[#Headers],[Vertex]:[Top Word Pairs in Tweet by Salience]],0),FALSE)</f>
        <v>141</v>
      </c>
    </row>
    <row r="29" spans="1:3" ht="15">
      <c r="A29" s="90" t="s">
        <v>2061</v>
      </c>
      <c r="B29" s="96" t="s">
        <v>313</v>
      </c>
      <c r="C29" s="89">
        <f>VLOOKUP(GroupVertices[[#This Row],[Vertex]],Vertices[],MATCH("ID",Vertices[[#Headers],[Vertex]:[Top Word Pairs in Tweet by Salience]],0),FALSE)</f>
        <v>140</v>
      </c>
    </row>
    <row r="30" spans="1:3" ht="15">
      <c r="A30" s="90" t="s">
        <v>2061</v>
      </c>
      <c r="B30" s="96" t="s">
        <v>312</v>
      </c>
      <c r="C30" s="89">
        <f>VLOOKUP(GroupVertices[[#This Row],[Vertex]],Vertices[],MATCH("ID",Vertices[[#Headers],[Vertex]:[Top Word Pairs in Tweet by Salience]],0),FALSE)</f>
        <v>139</v>
      </c>
    </row>
    <row r="31" spans="1:3" ht="15">
      <c r="A31" s="90" t="s">
        <v>2061</v>
      </c>
      <c r="B31" s="96" t="s">
        <v>311</v>
      </c>
      <c r="C31" s="89">
        <f>VLOOKUP(GroupVertices[[#This Row],[Vertex]],Vertices[],MATCH("ID",Vertices[[#Headers],[Vertex]:[Top Word Pairs in Tweet by Salience]],0),FALSE)</f>
        <v>138</v>
      </c>
    </row>
    <row r="32" spans="1:3" ht="15">
      <c r="A32" s="90" t="s">
        <v>2061</v>
      </c>
      <c r="B32" s="96" t="s">
        <v>310</v>
      </c>
      <c r="C32" s="89">
        <f>VLOOKUP(GroupVertices[[#This Row],[Vertex]],Vertices[],MATCH("ID",Vertices[[#Headers],[Vertex]:[Top Word Pairs in Tweet by Salience]],0),FALSE)</f>
        <v>137</v>
      </c>
    </row>
    <row r="33" spans="1:3" ht="15">
      <c r="A33" s="90" t="s">
        <v>2061</v>
      </c>
      <c r="B33" s="96" t="s">
        <v>309</v>
      </c>
      <c r="C33" s="89">
        <f>VLOOKUP(GroupVertices[[#This Row],[Vertex]],Vertices[],MATCH("ID",Vertices[[#Headers],[Vertex]:[Top Word Pairs in Tweet by Salience]],0),FALSE)</f>
        <v>136</v>
      </c>
    </row>
    <row r="34" spans="1:3" ht="15">
      <c r="A34" s="90" t="s">
        <v>2061</v>
      </c>
      <c r="B34" s="96" t="s">
        <v>307</v>
      </c>
      <c r="C34" s="89">
        <f>VLOOKUP(GroupVertices[[#This Row],[Vertex]],Vertices[],MATCH("ID",Vertices[[#Headers],[Vertex]:[Top Word Pairs in Tweet by Salience]],0),FALSE)</f>
        <v>133</v>
      </c>
    </row>
    <row r="35" spans="1:3" ht="15">
      <c r="A35" s="90" t="s">
        <v>2061</v>
      </c>
      <c r="B35" s="96" t="s">
        <v>305</v>
      </c>
      <c r="C35" s="89">
        <f>VLOOKUP(GroupVertices[[#This Row],[Vertex]],Vertices[],MATCH("ID",Vertices[[#Headers],[Vertex]:[Top Word Pairs in Tweet by Salience]],0),FALSE)</f>
        <v>129</v>
      </c>
    </row>
    <row r="36" spans="1:3" ht="15">
      <c r="A36" s="90" t="s">
        <v>2061</v>
      </c>
      <c r="B36" s="96" t="s">
        <v>304</v>
      </c>
      <c r="C36" s="89">
        <f>VLOOKUP(GroupVertices[[#This Row],[Vertex]],Vertices[],MATCH("ID",Vertices[[#Headers],[Vertex]:[Top Word Pairs in Tweet by Salience]],0),FALSE)</f>
        <v>128</v>
      </c>
    </row>
    <row r="37" spans="1:3" ht="15">
      <c r="A37" s="90" t="s">
        <v>2061</v>
      </c>
      <c r="B37" s="96" t="s">
        <v>303</v>
      </c>
      <c r="C37" s="89">
        <f>VLOOKUP(GroupVertices[[#This Row],[Vertex]],Vertices[],MATCH("ID",Vertices[[#Headers],[Vertex]:[Top Word Pairs in Tweet by Salience]],0),FALSE)</f>
        <v>127</v>
      </c>
    </row>
    <row r="38" spans="1:3" ht="15">
      <c r="A38" s="90" t="s">
        <v>2061</v>
      </c>
      <c r="B38" s="96" t="s">
        <v>302</v>
      </c>
      <c r="C38" s="89">
        <f>VLOOKUP(GroupVertices[[#This Row],[Vertex]],Vertices[],MATCH("ID",Vertices[[#Headers],[Vertex]:[Top Word Pairs in Tweet by Salience]],0),FALSE)</f>
        <v>126</v>
      </c>
    </row>
    <row r="39" spans="1:3" ht="15">
      <c r="A39" s="90" t="s">
        <v>2061</v>
      </c>
      <c r="B39" s="96" t="s">
        <v>300</v>
      </c>
      <c r="C39" s="89">
        <f>VLOOKUP(GroupVertices[[#This Row],[Vertex]],Vertices[],MATCH("ID",Vertices[[#Headers],[Vertex]:[Top Word Pairs in Tweet by Salience]],0),FALSE)</f>
        <v>124</v>
      </c>
    </row>
    <row r="40" spans="1:3" ht="15">
      <c r="A40" s="90" t="s">
        <v>2061</v>
      </c>
      <c r="B40" s="96" t="s">
        <v>299</v>
      </c>
      <c r="C40" s="89">
        <f>VLOOKUP(GroupVertices[[#This Row],[Vertex]],Vertices[],MATCH("ID",Vertices[[#Headers],[Vertex]:[Top Word Pairs in Tweet by Salience]],0),FALSE)</f>
        <v>123</v>
      </c>
    </row>
    <row r="41" spans="1:3" ht="15">
      <c r="A41" s="90" t="s">
        <v>2061</v>
      </c>
      <c r="B41" s="96" t="s">
        <v>298</v>
      </c>
      <c r="C41" s="89">
        <f>VLOOKUP(GroupVertices[[#This Row],[Vertex]],Vertices[],MATCH("ID",Vertices[[#Headers],[Vertex]:[Top Word Pairs in Tweet by Salience]],0),FALSE)</f>
        <v>122</v>
      </c>
    </row>
    <row r="42" spans="1:3" ht="15">
      <c r="A42" s="90" t="s">
        <v>2061</v>
      </c>
      <c r="B42" s="96" t="s">
        <v>297</v>
      </c>
      <c r="C42" s="89">
        <f>VLOOKUP(GroupVertices[[#This Row],[Vertex]],Vertices[],MATCH("ID",Vertices[[#Headers],[Vertex]:[Top Word Pairs in Tweet by Salience]],0),FALSE)</f>
        <v>120</v>
      </c>
    </row>
    <row r="43" spans="1:3" ht="15">
      <c r="A43" s="90" t="s">
        <v>2062</v>
      </c>
      <c r="B43" s="96" t="s">
        <v>384</v>
      </c>
      <c r="C43" s="89">
        <f>VLOOKUP(GroupVertices[[#This Row],[Vertex]],Vertices[],MATCH("ID",Vertices[[#Headers],[Vertex]:[Top Word Pairs in Tweet by Salience]],0),FALSE)</f>
        <v>6</v>
      </c>
    </row>
    <row r="44" spans="1:3" ht="15">
      <c r="A44" s="90" t="s">
        <v>2062</v>
      </c>
      <c r="B44" s="96" t="s">
        <v>380</v>
      </c>
      <c r="C44" s="89">
        <f>VLOOKUP(GroupVertices[[#This Row],[Vertex]],Vertices[],MATCH("ID",Vertices[[#Headers],[Vertex]:[Top Word Pairs in Tweet by Salience]],0),FALSE)</f>
        <v>211</v>
      </c>
    </row>
    <row r="45" spans="1:3" ht="15">
      <c r="A45" s="90" t="s">
        <v>2062</v>
      </c>
      <c r="B45" s="96" t="s">
        <v>446</v>
      </c>
      <c r="C45" s="89">
        <f>VLOOKUP(GroupVertices[[#This Row],[Vertex]],Vertices[],MATCH("ID",Vertices[[#Headers],[Vertex]:[Top Word Pairs in Tweet by Salience]],0),FALSE)</f>
        <v>212</v>
      </c>
    </row>
    <row r="46" spans="1:3" ht="15">
      <c r="A46" s="90" t="s">
        <v>2062</v>
      </c>
      <c r="B46" s="96" t="s">
        <v>301</v>
      </c>
      <c r="C46" s="89">
        <f>VLOOKUP(GroupVertices[[#This Row],[Vertex]],Vertices[],MATCH("ID",Vertices[[#Headers],[Vertex]:[Top Word Pairs in Tweet by Salience]],0),FALSE)</f>
        <v>125</v>
      </c>
    </row>
    <row r="47" spans="1:3" ht="15">
      <c r="A47" s="90" t="s">
        <v>2062</v>
      </c>
      <c r="B47" s="96" t="s">
        <v>276</v>
      </c>
      <c r="C47" s="89">
        <f>VLOOKUP(GroupVertices[[#This Row],[Vertex]],Vertices[],MATCH("ID",Vertices[[#Headers],[Vertex]:[Top Word Pairs in Tweet by Salience]],0),FALSE)</f>
        <v>91</v>
      </c>
    </row>
    <row r="48" spans="1:3" ht="15">
      <c r="A48" s="90" t="s">
        <v>2062</v>
      </c>
      <c r="B48" s="96" t="s">
        <v>420</v>
      </c>
      <c r="C48" s="89">
        <f>VLOOKUP(GroupVertices[[#This Row],[Vertex]],Vertices[],MATCH("ID",Vertices[[#Headers],[Vertex]:[Top Word Pairs in Tweet by Salience]],0),FALSE)</f>
        <v>55</v>
      </c>
    </row>
    <row r="49" spans="1:3" ht="15">
      <c r="A49" s="90" t="s">
        <v>2062</v>
      </c>
      <c r="B49" s="96" t="s">
        <v>273</v>
      </c>
      <c r="C49" s="89">
        <f>VLOOKUP(GroupVertices[[#This Row],[Vertex]],Vertices[],MATCH("ID",Vertices[[#Headers],[Vertex]:[Top Word Pairs in Tweet by Salience]],0),FALSE)</f>
        <v>56</v>
      </c>
    </row>
    <row r="50" spans="1:3" ht="15">
      <c r="A50" s="90" t="s">
        <v>2062</v>
      </c>
      <c r="B50" s="96" t="s">
        <v>272</v>
      </c>
      <c r="C50" s="89">
        <f>VLOOKUP(GroupVertices[[#This Row],[Vertex]],Vertices[],MATCH("ID",Vertices[[#Headers],[Vertex]:[Top Word Pairs in Tweet by Salience]],0),FALSE)</f>
        <v>86</v>
      </c>
    </row>
    <row r="51" spans="1:3" ht="15">
      <c r="A51" s="90" t="s">
        <v>2062</v>
      </c>
      <c r="B51" s="96" t="s">
        <v>423</v>
      </c>
      <c r="C51" s="89">
        <f>VLOOKUP(GroupVertices[[#This Row],[Vertex]],Vertices[],MATCH("ID",Vertices[[#Headers],[Vertex]:[Top Word Pairs in Tweet by Salience]],0),FALSE)</f>
        <v>73</v>
      </c>
    </row>
    <row r="52" spans="1:3" ht="15">
      <c r="A52" s="90" t="s">
        <v>2062</v>
      </c>
      <c r="B52" s="96" t="s">
        <v>267</v>
      </c>
      <c r="C52" s="89">
        <f>VLOOKUP(GroupVertices[[#This Row],[Vertex]],Vertices[],MATCH("ID",Vertices[[#Headers],[Vertex]:[Top Word Pairs in Tweet by Salience]],0),FALSE)</f>
        <v>78</v>
      </c>
    </row>
    <row r="53" spans="1:3" ht="15">
      <c r="A53" s="90" t="s">
        <v>2062</v>
      </c>
      <c r="B53" s="96" t="s">
        <v>263</v>
      </c>
      <c r="C53" s="89">
        <f>VLOOKUP(GroupVertices[[#This Row],[Vertex]],Vertices[],MATCH("ID",Vertices[[#Headers],[Vertex]:[Top Word Pairs in Tweet by Salience]],0),FALSE)</f>
        <v>72</v>
      </c>
    </row>
    <row r="54" spans="1:3" ht="15">
      <c r="A54" s="90" t="s">
        <v>2062</v>
      </c>
      <c r="B54" s="96" t="s">
        <v>257</v>
      </c>
      <c r="C54" s="89">
        <f>VLOOKUP(GroupVertices[[#This Row],[Vertex]],Vertices[],MATCH("ID",Vertices[[#Headers],[Vertex]:[Top Word Pairs in Tweet by Salience]],0),FALSE)</f>
        <v>65</v>
      </c>
    </row>
    <row r="55" spans="1:3" ht="15">
      <c r="A55" s="90" t="s">
        <v>2062</v>
      </c>
      <c r="B55" s="96" t="s">
        <v>255</v>
      </c>
      <c r="C55" s="89">
        <f>VLOOKUP(GroupVertices[[#This Row],[Vertex]],Vertices[],MATCH("ID",Vertices[[#Headers],[Vertex]:[Top Word Pairs in Tweet by Salience]],0),FALSE)</f>
        <v>61</v>
      </c>
    </row>
    <row r="56" spans="1:3" ht="15">
      <c r="A56" s="90" t="s">
        <v>2062</v>
      </c>
      <c r="B56" s="96" t="s">
        <v>254</v>
      </c>
      <c r="C56" s="89">
        <f>VLOOKUP(GroupVertices[[#This Row],[Vertex]],Vertices[],MATCH("ID",Vertices[[#Headers],[Vertex]:[Top Word Pairs in Tweet by Salience]],0),FALSE)</f>
        <v>60</v>
      </c>
    </row>
    <row r="57" spans="1:3" ht="15">
      <c r="A57" s="90" t="s">
        <v>2062</v>
      </c>
      <c r="B57" s="96" t="s">
        <v>253</v>
      </c>
      <c r="C57" s="89">
        <f>VLOOKUP(GroupVertices[[#This Row],[Vertex]],Vertices[],MATCH("ID",Vertices[[#Headers],[Vertex]:[Top Word Pairs in Tweet by Salience]],0),FALSE)</f>
        <v>59</v>
      </c>
    </row>
    <row r="58" spans="1:3" ht="15">
      <c r="A58" s="90" t="s">
        <v>2062</v>
      </c>
      <c r="B58" s="96" t="s">
        <v>252</v>
      </c>
      <c r="C58" s="89">
        <f>VLOOKUP(GroupVertices[[#This Row],[Vertex]],Vertices[],MATCH("ID",Vertices[[#Headers],[Vertex]:[Top Word Pairs in Tweet by Salience]],0),FALSE)</f>
        <v>58</v>
      </c>
    </row>
    <row r="59" spans="1:3" ht="15">
      <c r="A59" s="90" t="s">
        <v>2062</v>
      </c>
      <c r="B59" s="96" t="s">
        <v>250</v>
      </c>
      <c r="C59" s="89">
        <f>VLOOKUP(GroupVertices[[#This Row],[Vertex]],Vertices[],MATCH("ID",Vertices[[#Headers],[Vertex]:[Top Word Pairs in Tweet by Salience]],0),FALSE)</f>
        <v>54</v>
      </c>
    </row>
    <row r="60" spans="1:3" ht="15">
      <c r="A60" s="90" t="s">
        <v>2062</v>
      </c>
      <c r="B60" s="96" t="s">
        <v>248</v>
      </c>
      <c r="C60" s="89">
        <f>VLOOKUP(GroupVertices[[#This Row],[Vertex]],Vertices[],MATCH("ID",Vertices[[#Headers],[Vertex]:[Top Word Pairs in Tweet by Salience]],0),FALSE)</f>
        <v>51</v>
      </c>
    </row>
    <row r="61" spans="1:3" ht="15">
      <c r="A61" s="90" t="s">
        <v>2062</v>
      </c>
      <c r="B61" s="96" t="s">
        <v>247</v>
      </c>
      <c r="C61" s="89">
        <f>VLOOKUP(GroupVertices[[#This Row],[Vertex]],Vertices[],MATCH("ID",Vertices[[#Headers],[Vertex]:[Top Word Pairs in Tweet by Salience]],0),FALSE)</f>
        <v>50</v>
      </c>
    </row>
    <row r="62" spans="1:3" ht="15">
      <c r="A62" s="90" t="s">
        <v>2062</v>
      </c>
      <c r="B62" s="96" t="s">
        <v>246</v>
      </c>
      <c r="C62" s="89">
        <f>VLOOKUP(GroupVertices[[#This Row],[Vertex]],Vertices[],MATCH("ID",Vertices[[#Headers],[Vertex]:[Top Word Pairs in Tweet by Salience]],0),FALSE)</f>
        <v>49</v>
      </c>
    </row>
    <row r="63" spans="1:3" ht="15">
      <c r="A63" s="90" t="s">
        <v>2062</v>
      </c>
      <c r="B63" s="96" t="s">
        <v>245</v>
      </c>
      <c r="C63" s="89">
        <f>VLOOKUP(GroupVertices[[#This Row],[Vertex]],Vertices[],MATCH("ID",Vertices[[#Headers],[Vertex]:[Top Word Pairs in Tweet by Salience]],0),FALSE)</f>
        <v>48</v>
      </c>
    </row>
    <row r="64" spans="1:3" ht="15">
      <c r="A64" s="90" t="s">
        <v>2062</v>
      </c>
      <c r="B64" s="96" t="s">
        <v>243</v>
      </c>
      <c r="C64" s="89">
        <f>VLOOKUP(GroupVertices[[#This Row],[Vertex]],Vertices[],MATCH("ID",Vertices[[#Headers],[Vertex]:[Top Word Pairs in Tweet by Salience]],0),FALSE)</f>
        <v>44</v>
      </c>
    </row>
    <row r="65" spans="1:3" ht="15">
      <c r="A65" s="90" t="s">
        <v>2062</v>
      </c>
      <c r="B65" s="96" t="s">
        <v>239</v>
      </c>
      <c r="C65" s="89">
        <f>VLOOKUP(GroupVertices[[#This Row],[Vertex]],Vertices[],MATCH("ID",Vertices[[#Headers],[Vertex]:[Top Word Pairs in Tweet by Salience]],0),FALSE)</f>
        <v>39</v>
      </c>
    </row>
    <row r="66" spans="1:3" ht="15">
      <c r="A66" s="90" t="s">
        <v>2062</v>
      </c>
      <c r="B66" s="96" t="s">
        <v>238</v>
      </c>
      <c r="C66" s="89">
        <f>VLOOKUP(GroupVertices[[#This Row],[Vertex]],Vertices[],MATCH("ID",Vertices[[#Headers],[Vertex]:[Top Word Pairs in Tweet by Salience]],0),FALSE)</f>
        <v>38</v>
      </c>
    </row>
    <row r="67" spans="1:3" ht="15">
      <c r="A67" s="90" t="s">
        <v>2062</v>
      </c>
      <c r="B67" s="96" t="s">
        <v>236</v>
      </c>
      <c r="C67" s="89">
        <f>VLOOKUP(GroupVertices[[#This Row],[Vertex]],Vertices[],MATCH("ID",Vertices[[#Headers],[Vertex]:[Top Word Pairs in Tweet by Salience]],0),FALSE)</f>
        <v>36</v>
      </c>
    </row>
    <row r="68" spans="1:3" ht="15">
      <c r="A68" s="90" t="s">
        <v>2062</v>
      </c>
      <c r="B68" s="96" t="s">
        <v>235</v>
      </c>
      <c r="C68" s="89">
        <f>VLOOKUP(GroupVertices[[#This Row],[Vertex]],Vertices[],MATCH("ID",Vertices[[#Headers],[Vertex]:[Top Word Pairs in Tweet by Salience]],0),FALSE)</f>
        <v>35</v>
      </c>
    </row>
    <row r="69" spans="1:3" ht="15">
      <c r="A69" s="90" t="s">
        <v>2062</v>
      </c>
      <c r="B69" s="96" t="s">
        <v>234</v>
      </c>
      <c r="C69" s="89">
        <f>VLOOKUP(GroupVertices[[#This Row],[Vertex]],Vertices[],MATCH("ID",Vertices[[#Headers],[Vertex]:[Top Word Pairs in Tweet by Salience]],0),FALSE)</f>
        <v>34</v>
      </c>
    </row>
    <row r="70" spans="1:3" ht="15">
      <c r="A70" s="90" t="s">
        <v>2062</v>
      </c>
      <c r="B70" s="96" t="s">
        <v>231</v>
      </c>
      <c r="C70" s="89">
        <f>VLOOKUP(GroupVertices[[#This Row],[Vertex]],Vertices[],MATCH("ID",Vertices[[#Headers],[Vertex]:[Top Word Pairs in Tweet by Salience]],0),FALSE)</f>
        <v>22</v>
      </c>
    </row>
    <row r="71" spans="1:3" ht="15">
      <c r="A71" s="90" t="s">
        <v>2062</v>
      </c>
      <c r="B71" s="96" t="s">
        <v>230</v>
      </c>
      <c r="C71" s="89">
        <f>VLOOKUP(GroupVertices[[#This Row],[Vertex]],Vertices[],MATCH("ID",Vertices[[#Headers],[Vertex]:[Top Word Pairs in Tweet by Salience]],0),FALSE)</f>
        <v>21</v>
      </c>
    </row>
    <row r="72" spans="1:3" ht="15">
      <c r="A72" s="90" t="s">
        <v>2062</v>
      </c>
      <c r="B72" s="96" t="s">
        <v>228</v>
      </c>
      <c r="C72" s="89">
        <f>VLOOKUP(GroupVertices[[#This Row],[Vertex]],Vertices[],MATCH("ID",Vertices[[#Headers],[Vertex]:[Top Word Pairs in Tweet by Salience]],0),FALSE)</f>
        <v>19</v>
      </c>
    </row>
    <row r="73" spans="1:3" ht="15">
      <c r="A73" s="90" t="s">
        <v>2062</v>
      </c>
      <c r="B73" s="96" t="s">
        <v>227</v>
      </c>
      <c r="C73" s="89">
        <f>VLOOKUP(GroupVertices[[#This Row],[Vertex]],Vertices[],MATCH("ID",Vertices[[#Headers],[Vertex]:[Top Word Pairs in Tweet by Salience]],0),FALSE)</f>
        <v>18</v>
      </c>
    </row>
    <row r="74" spans="1:3" ht="15">
      <c r="A74" s="90" t="s">
        <v>2062</v>
      </c>
      <c r="B74" s="96" t="s">
        <v>226</v>
      </c>
      <c r="C74" s="89">
        <f>VLOOKUP(GroupVertices[[#This Row],[Vertex]],Vertices[],MATCH("ID",Vertices[[#Headers],[Vertex]:[Top Word Pairs in Tweet by Salience]],0),FALSE)</f>
        <v>17</v>
      </c>
    </row>
    <row r="75" spans="1:3" ht="15">
      <c r="A75" s="90" t="s">
        <v>2062</v>
      </c>
      <c r="B75" s="96" t="s">
        <v>225</v>
      </c>
      <c r="C75" s="89">
        <f>VLOOKUP(GroupVertices[[#This Row],[Vertex]],Vertices[],MATCH("ID",Vertices[[#Headers],[Vertex]:[Top Word Pairs in Tweet by Salience]],0),FALSE)</f>
        <v>16</v>
      </c>
    </row>
    <row r="76" spans="1:3" ht="15">
      <c r="A76" s="90" t="s">
        <v>2062</v>
      </c>
      <c r="B76" s="96" t="s">
        <v>224</v>
      </c>
      <c r="C76" s="89">
        <f>VLOOKUP(GroupVertices[[#This Row],[Vertex]],Vertices[],MATCH("ID",Vertices[[#Headers],[Vertex]:[Top Word Pairs in Tweet by Salience]],0),FALSE)</f>
        <v>14</v>
      </c>
    </row>
    <row r="77" spans="1:3" ht="15">
      <c r="A77" s="90" t="s">
        <v>2062</v>
      </c>
      <c r="B77" s="96" t="s">
        <v>406</v>
      </c>
      <c r="C77" s="89">
        <f>VLOOKUP(GroupVertices[[#This Row],[Vertex]],Vertices[],MATCH("ID",Vertices[[#Headers],[Vertex]:[Top Word Pairs in Tweet by Salience]],0),FALSE)</f>
        <v>15</v>
      </c>
    </row>
    <row r="78" spans="1:3" ht="15">
      <c r="A78" s="90" t="s">
        <v>2062</v>
      </c>
      <c r="B78" s="96" t="s">
        <v>223</v>
      </c>
      <c r="C78" s="89">
        <f>VLOOKUP(GroupVertices[[#This Row],[Vertex]],Vertices[],MATCH("ID",Vertices[[#Headers],[Vertex]:[Top Word Pairs in Tweet by Salience]],0),FALSE)</f>
        <v>13</v>
      </c>
    </row>
    <row r="79" spans="1:3" ht="15">
      <c r="A79" s="90" t="s">
        <v>2062</v>
      </c>
      <c r="B79" s="96" t="s">
        <v>222</v>
      </c>
      <c r="C79" s="89">
        <f>VLOOKUP(GroupVertices[[#This Row],[Vertex]],Vertices[],MATCH("ID",Vertices[[#Headers],[Vertex]:[Top Word Pairs in Tweet by Salience]],0),FALSE)</f>
        <v>12</v>
      </c>
    </row>
    <row r="80" spans="1:3" ht="15">
      <c r="A80" s="90" t="s">
        <v>2062</v>
      </c>
      <c r="B80" s="96" t="s">
        <v>221</v>
      </c>
      <c r="C80" s="89">
        <f>VLOOKUP(GroupVertices[[#This Row],[Vertex]],Vertices[],MATCH("ID",Vertices[[#Headers],[Vertex]:[Top Word Pairs in Tweet by Salience]],0),FALSE)</f>
        <v>11</v>
      </c>
    </row>
    <row r="81" spans="1:3" ht="15">
      <c r="A81" s="90" t="s">
        <v>2062</v>
      </c>
      <c r="B81" s="96" t="s">
        <v>220</v>
      </c>
      <c r="C81" s="89">
        <f>VLOOKUP(GroupVertices[[#This Row],[Vertex]],Vertices[],MATCH("ID",Vertices[[#Headers],[Vertex]:[Top Word Pairs in Tweet by Salience]],0),FALSE)</f>
        <v>10</v>
      </c>
    </row>
    <row r="82" spans="1:3" ht="15">
      <c r="A82" s="90" t="s">
        <v>2062</v>
      </c>
      <c r="B82" s="96" t="s">
        <v>219</v>
      </c>
      <c r="C82" s="89">
        <f>VLOOKUP(GroupVertices[[#This Row],[Vertex]],Vertices[],MATCH("ID",Vertices[[#Headers],[Vertex]:[Top Word Pairs in Tweet by Salience]],0),FALSE)</f>
        <v>9</v>
      </c>
    </row>
    <row r="83" spans="1:3" ht="15">
      <c r="A83" s="90" t="s">
        <v>2062</v>
      </c>
      <c r="B83" s="96" t="s">
        <v>218</v>
      </c>
      <c r="C83" s="89">
        <f>VLOOKUP(GroupVertices[[#This Row],[Vertex]],Vertices[],MATCH("ID",Vertices[[#Headers],[Vertex]:[Top Word Pairs in Tweet by Salience]],0),FALSE)</f>
        <v>8</v>
      </c>
    </row>
    <row r="84" spans="1:3" ht="15">
      <c r="A84" s="90" t="s">
        <v>2063</v>
      </c>
      <c r="B84" s="96" t="s">
        <v>377</v>
      </c>
      <c r="C84" s="89">
        <f>VLOOKUP(GroupVertices[[#This Row],[Vertex]],Vertices[],MATCH("ID",Vertices[[#Headers],[Vertex]:[Top Word Pairs in Tweet by Salience]],0),FALSE)</f>
        <v>208</v>
      </c>
    </row>
    <row r="85" spans="1:3" ht="15">
      <c r="A85" s="90" t="s">
        <v>2063</v>
      </c>
      <c r="B85" s="96" t="s">
        <v>416</v>
      </c>
      <c r="C85" s="89">
        <f>VLOOKUP(GroupVertices[[#This Row],[Vertex]],Vertices[],MATCH("ID",Vertices[[#Headers],[Vertex]:[Top Word Pairs in Tweet by Salience]],0),FALSE)</f>
        <v>43</v>
      </c>
    </row>
    <row r="86" spans="1:3" ht="15">
      <c r="A86" s="90" t="s">
        <v>2063</v>
      </c>
      <c r="B86" s="96" t="s">
        <v>375</v>
      </c>
      <c r="C86" s="89">
        <f>VLOOKUP(GroupVertices[[#This Row],[Vertex]],Vertices[],MATCH("ID",Vertices[[#Headers],[Vertex]:[Top Word Pairs in Tweet by Salience]],0),FALSE)</f>
        <v>205</v>
      </c>
    </row>
    <row r="87" spans="1:3" ht="15">
      <c r="A87" s="90" t="s">
        <v>2063</v>
      </c>
      <c r="B87" s="96" t="s">
        <v>445</v>
      </c>
      <c r="C87" s="89">
        <f>VLOOKUP(GroupVertices[[#This Row],[Vertex]],Vertices[],MATCH("ID",Vertices[[#Headers],[Vertex]:[Top Word Pairs in Tweet by Salience]],0),FALSE)</f>
        <v>206</v>
      </c>
    </row>
    <row r="88" spans="1:3" ht="15">
      <c r="A88" s="90" t="s">
        <v>2063</v>
      </c>
      <c r="B88" s="96" t="s">
        <v>329</v>
      </c>
      <c r="C88" s="89">
        <f>VLOOKUP(GroupVertices[[#This Row],[Vertex]],Vertices[],MATCH("ID",Vertices[[#Headers],[Vertex]:[Top Word Pairs in Tweet by Salience]],0),FALSE)</f>
        <v>157</v>
      </c>
    </row>
    <row r="89" spans="1:3" ht="15">
      <c r="A89" s="90" t="s">
        <v>2063</v>
      </c>
      <c r="B89" s="96" t="s">
        <v>440</v>
      </c>
      <c r="C89" s="89">
        <f>VLOOKUP(GroupVertices[[#This Row],[Vertex]],Vertices[],MATCH("ID",Vertices[[#Headers],[Vertex]:[Top Word Pairs in Tweet by Salience]],0),FALSE)</f>
        <v>160</v>
      </c>
    </row>
    <row r="90" spans="1:3" ht="15">
      <c r="A90" s="90" t="s">
        <v>2063</v>
      </c>
      <c r="B90" s="96" t="s">
        <v>439</v>
      </c>
      <c r="C90" s="89">
        <f>VLOOKUP(GroupVertices[[#This Row],[Vertex]],Vertices[],MATCH("ID",Vertices[[#Headers],[Vertex]:[Top Word Pairs in Tweet by Salience]],0),FALSE)</f>
        <v>159</v>
      </c>
    </row>
    <row r="91" spans="1:3" ht="15">
      <c r="A91" s="90" t="s">
        <v>2063</v>
      </c>
      <c r="B91" s="96" t="s">
        <v>438</v>
      </c>
      <c r="C91" s="89">
        <f>VLOOKUP(GroupVertices[[#This Row],[Vertex]],Vertices[],MATCH("ID",Vertices[[#Headers],[Vertex]:[Top Word Pairs in Tweet by Salience]],0),FALSE)</f>
        <v>158</v>
      </c>
    </row>
    <row r="92" spans="1:3" ht="15">
      <c r="A92" s="90" t="s">
        <v>2063</v>
      </c>
      <c r="B92" s="96" t="s">
        <v>431</v>
      </c>
      <c r="C92" s="89">
        <f>VLOOKUP(GroupVertices[[#This Row],[Vertex]],Vertices[],MATCH("ID",Vertices[[#Headers],[Vertex]:[Top Word Pairs in Tweet by Salience]],0),FALSE)</f>
        <v>98</v>
      </c>
    </row>
    <row r="93" spans="1:3" ht="15">
      <c r="A93" s="90" t="s">
        <v>2063</v>
      </c>
      <c r="B93" s="96" t="s">
        <v>316</v>
      </c>
      <c r="C93" s="89">
        <f>VLOOKUP(GroupVertices[[#This Row],[Vertex]],Vertices[],MATCH("ID",Vertices[[#Headers],[Vertex]:[Top Word Pairs in Tweet by Salience]],0),FALSE)</f>
        <v>143</v>
      </c>
    </row>
    <row r="94" spans="1:3" ht="15">
      <c r="A94" s="90" t="s">
        <v>2063</v>
      </c>
      <c r="B94" s="96" t="s">
        <v>315</v>
      </c>
      <c r="C94" s="89">
        <f>VLOOKUP(GroupVertices[[#This Row],[Vertex]],Vertices[],MATCH("ID",Vertices[[#Headers],[Vertex]:[Top Word Pairs in Tweet by Salience]],0),FALSE)</f>
        <v>142</v>
      </c>
    </row>
    <row r="95" spans="1:3" ht="15">
      <c r="A95" s="90" t="s">
        <v>2063</v>
      </c>
      <c r="B95" s="96" t="s">
        <v>434</v>
      </c>
      <c r="C95" s="89">
        <f>VLOOKUP(GroupVertices[[#This Row],[Vertex]],Vertices[],MATCH("ID",Vertices[[#Headers],[Vertex]:[Top Word Pairs in Tweet by Salience]],0),FALSE)</f>
        <v>116</v>
      </c>
    </row>
    <row r="96" spans="1:3" ht="15">
      <c r="A96" s="90" t="s">
        <v>2063</v>
      </c>
      <c r="B96" s="96" t="s">
        <v>294</v>
      </c>
      <c r="C96" s="89">
        <f>VLOOKUP(GroupVertices[[#This Row],[Vertex]],Vertices[],MATCH("ID",Vertices[[#Headers],[Vertex]:[Top Word Pairs in Tweet by Salience]],0),FALSE)</f>
        <v>115</v>
      </c>
    </row>
    <row r="97" spans="1:3" ht="15">
      <c r="A97" s="90" t="s">
        <v>2063</v>
      </c>
      <c r="B97" s="96" t="s">
        <v>289</v>
      </c>
      <c r="C97" s="89">
        <f>VLOOKUP(GroupVertices[[#This Row],[Vertex]],Vertices[],MATCH("ID",Vertices[[#Headers],[Vertex]:[Top Word Pairs in Tweet by Salience]],0),FALSE)</f>
        <v>107</v>
      </c>
    </row>
    <row r="98" spans="1:3" ht="15">
      <c r="A98" s="90" t="s">
        <v>2063</v>
      </c>
      <c r="B98" s="96" t="s">
        <v>427</v>
      </c>
      <c r="C98" s="89">
        <f>VLOOKUP(GroupVertices[[#This Row],[Vertex]],Vertices[],MATCH("ID",Vertices[[#Headers],[Vertex]:[Top Word Pairs in Tweet by Salience]],0),FALSE)</f>
        <v>85</v>
      </c>
    </row>
    <row r="99" spans="1:3" ht="15">
      <c r="A99" s="90" t="s">
        <v>2063</v>
      </c>
      <c r="B99" s="96" t="s">
        <v>285</v>
      </c>
      <c r="C99" s="89">
        <f>VLOOKUP(GroupVertices[[#This Row],[Vertex]],Vertices[],MATCH("ID",Vertices[[#Headers],[Vertex]:[Top Word Pairs in Tweet by Salience]],0),FALSE)</f>
        <v>103</v>
      </c>
    </row>
    <row r="100" spans="1:3" ht="15">
      <c r="A100" s="90" t="s">
        <v>2063</v>
      </c>
      <c r="B100" s="96" t="s">
        <v>282</v>
      </c>
      <c r="C100" s="89">
        <f>VLOOKUP(GroupVertices[[#This Row],[Vertex]],Vertices[],MATCH("ID",Vertices[[#Headers],[Vertex]:[Top Word Pairs in Tweet by Salience]],0),FALSE)</f>
        <v>100</v>
      </c>
    </row>
    <row r="101" spans="1:3" ht="15">
      <c r="A101" s="90" t="s">
        <v>2063</v>
      </c>
      <c r="B101" s="96" t="s">
        <v>280</v>
      </c>
      <c r="C101" s="89">
        <f>VLOOKUP(GroupVertices[[#This Row],[Vertex]],Vertices[],MATCH("ID",Vertices[[#Headers],[Vertex]:[Top Word Pairs in Tweet by Salience]],0),FALSE)</f>
        <v>97</v>
      </c>
    </row>
    <row r="102" spans="1:3" ht="15">
      <c r="A102" s="90" t="s">
        <v>2063</v>
      </c>
      <c r="B102" s="96" t="s">
        <v>278</v>
      </c>
      <c r="C102" s="89">
        <f>VLOOKUP(GroupVertices[[#This Row],[Vertex]],Vertices[],MATCH("ID",Vertices[[#Headers],[Vertex]:[Top Word Pairs in Tweet by Salience]],0),FALSE)</f>
        <v>93</v>
      </c>
    </row>
    <row r="103" spans="1:3" ht="15">
      <c r="A103" s="90" t="s">
        <v>2063</v>
      </c>
      <c r="B103" s="96" t="s">
        <v>430</v>
      </c>
      <c r="C103" s="89">
        <f>VLOOKUP(GroupVertices[[#This Row],[Vertex]],Vertices[],MATCH("ID",Vertices[[#Headers],[Vertex]:[Top Word Pairs in Tweet by Salience]],0),FALSE)</f>
        <v>95</v>
      </c>
    </row>
    <row r="104" spans="1:3" ht="15">
      <c r="A104" s="90" t="s">
        <v>2063</v>
      </c>
      <c r="B104" s="96" t="s">
        <v>429</v>
      </c>
      <c r="C104" s="89">
        <f>VLOOKUP(GroupVertices[[#This Row],[Vertex]],Vertices[],MATCH("ID",Vertices[[#Headers],[Vertex]:[Top Word Pairs in Tweet by Salience]],0),FALSE)</f>
        <v>94</v>
      </c>
    </row>
    <row r="105" spans="1:3" ht="15">
      <c r="A105" s="90" t="s">
        <v>2063</v>
      </c>
      <c r="B105" s="96" t="s">
        <v>270</v>
      </c>
      <c r="C105" s="89">
        <f>VLOOKUP(GroupVertices[[#This Row],[Vertex]],Vertices[],MATCH("ID",Vertices[[#Headers],[Vertex]:[Top Word Pairs in Tweet by Salience]],0),FALSE)</f>
        <v>81</v>
      </c>
    </row>
    <row r="106" spans="1:3" ht="15">
      <c r="A106" s="90" t="s">
        <v>2063</v>
      </c>
      <c r="B106" s="96" t="s">
        <v>271</v>
      </c>
      <c r="C106" s="89">
        <f>VLOOKUP(GroupVertices[[#This Row],[Vertex]],Vertices[],MATCH("ID",Vertices[[#Headers],[Vertex]:[Top Word Pairs in Tweet by Salience]],0),FALSE)</f>
        <v>84</v>
      </c>
    </row>
    <row r="107" spans="1:3" ht="15">
      <c r="A107" s="90" t="s">
        <v>2063</v>
      </c>
      <c r="B107" s="96" t="s">
        <v>426</v>
      </c>
      <c r="C107" s="89">
        <f>VLOOKUP(GroupVertices[[#This Row],[Vertex]],Vertices[],MATCH("ID",Vertices[[#Headers],[Vertex]:[Top Word Pairs in Tweet by Salience]],0),FALSE)</f>
        <v>83</v>
      </c>
    </row>
    <row r="108" spans="1:3" ht="15">
      <c r="A108" s="90" t="s">
        <v>2063</v>
      </c>
      <c r="B108" s="96" t="s">
        <v>425</v>
      </c>
      <c r="C108" s="89">
        <f>VLOOKUP(GroupVertices[[#This Row],[Vertex]],Vertices[],MATCH("ID",Vertices[[#Headers],[Vertex]:[Top Word Pairs in Tweet by Salience]],0),FALSE)</f>
        <v>82</v>
      </c>
    </row>
    <row r="109" spans="1:3" ht="15">
      <c r="A109" s="90" t="s">
        <v>2063</v>
      </c>
      <c r="B109" s="96" t="s">
        <v>269</v>
      </c>
      <c r="C109" s="89">
        <f>VLOOKUP(GroupVertices[[#This Row],[Vertex]],Vertices[],MATCH("ID",Vertices[[#Headers],[Vertex]:[Top Word Pairs in Tweet by Salience]],0),FALSE)</f>
        <v>80</v>
      </c>
    </row>
    <row r="110" spans="1:3" ht="15">
      <c r="A110" s="90" t="s">
        <v>2063</v>
      </c>
      <c r="B110" s="96" t="s">
        <v>266</v>
      </c>
      <c r="C110" s="89">
        <f>VLOOKUP(GroupVertices[[#This Row],[Vertex]],Vertices[],MATCH("ID",Vertices[[#Headers],[Vertex]:[Top Word Pairs in Tweet by Salience]],0),FALSE)</f>
        <v>77</v>
      </c>
    </row>
    <row r="111" spans="1:3" ht="15">
      <c r="A111" s="90" t="s">
        <v>2063</v>
      </c>
      <c r="B111" s="96" t="s">
        <v>265</v>
      </c>
      <c r="C111" s="89">
        <f>VLOOKUP(GroupVertices[[#This Row],[Vertex]],Vertices[],MATCH("ID",Vertices[[#Headers],[Vertex]:[Top Word Pairs in Tweet by Salience]],0),FALSE)</f>
        <v>76</v>
      </c>
    </row>
    <row r="112" spans="1:3" ht="15">
      <c r="A112" s="90" t="s">
        <v>2063</v>
      </c>
      <c r="B112" s="96" t="s">
        <v>262</v>
      </c>
      <c r="C112" s="89">
        <f>VLOOKUP(GroupVertices[[#This Row],[Vertex]],Vertices[],MATCH("ID",Vertices[[#Headers],[Vertex]:[Top Word Pairs in Tweet by Salience]],0),FALSE)</f>
        <v>71</v>
      </c>
    </row>
    <row r="113" spans="1:3" ht="15">
      <c r="A113" s="90" t="s">
        <v>2063</v>
      </c>
      <c r="B113" s="96" t="s">
        <v>259</v>
      </c>
      <c r="C113" s="89">
        <f>VLOOKUP(GroupVertices[[#This Row],[Vertex]],Vertices[],MATCH("ID",Vertices[[#Headers],[Vertex]:[Top Word Pairs in Tweet by Salience]],0),FALSE)</f>
        <v>67</v>
      </c>
    </row>
    <row r="114" spans="1:3" ht="15">
      <c r="A114" s="90" t="s">
        <v>2063</v>
      </c>
      <c r="B114" s="96" t="s">
        <v>258</v>
      </c>
      <c r="C114" s="89">
        <f>VLOOKUP(GroupVertices[[#This Row],[Vertex]],Vertices[],MATCH("ID",Vertices[[#Headers],[Vertex]:[Top Word Pairs in Tweet by Salience]],0),FALSE)</f>
        <v>66</v>
      </c>
    </row>
    <row r="115" spans="1:3" ht="15">
      <c r="A115" s="90" t="s">
        <v>2063</v>
      </c>
      <c r="B115" s="96" t="s">
        <v>242</v>
      </c>
      <c r="C115" s="89">
        <f>VLOOKUP(GroupVertices[[#This Row],[Vertex]],Vertices[],MATCH("ID",Vertices[[#Headers],[Vertex]:[Top Word Pairs in Tweet by Salience]],0),FALSE)</f>
        <v>42</v>
      </c>
    </row>
    <row r="116" spans="1:3" ht="15">
      <c r="A116" s="90" t="s">
        <v>2064</v>
      </c>
      <c r="B116" s="96" t="s">
        <v>404</v>
      </c>
      <c r="C116" s="89">
        <f>VLOOKUP(GroupVertices[[#This Row],[Vertex]],Vertices[],MATCH("ID",Vertices[[#Headers],[Vertex]:[Top Word Pairs in Tweet by Salience]],0),FALSE)</f>
        <v>233</v>
      </c>
    </row>
    <row r="117" spans="1:3" ht="15">
      <c r="A117" s="90" t="s">
        <v>2064</v>
      </c>
      <c r="B117" s="96" t="s">
        <v>403</v>
      </c>
      <c r="C117" s="89">
        <f>VLOOKUP(GroupVertices[[#This Row],[Vertex]],Vertices[],MATCH("ID",Vertices[[#Headers],[Vertex]:[Top Word Pairs in Tweet by Salience]],0),FALSE)</f>
        <v>188</v>
      </c>
    </row>
    <row r="118" spans="1:3" ht="15">
      <c r="A118" s="90" t="s">
        <v>2064</v>
      </c>
      <c r="B118" s="96" t="s">
        <v>402</v>
      </c>
      <c r="C118" s="89">
        <f>VLOOKUP(GroupVertices[[#This Row],[Vertex]],Vertices[],MATCH("ID",Vertices[[#Headers],[Vertex]:[Top Word Pairs in Tweet by Salience]],0),FALSE)</f>
        <v>232</v>
      </c>
    </row>
    <row r="119" spans="1:3" ht="15">
      <c r="A119" s="90" t="s">
        <v>2064</v>
      </c>
      <c r="B119" s="96" t="s">
        <v>396</v>
      </c>
      <c r="C119" s="89">
        <f>VLOOKUP(GroupVertices[[#This Row],[Vertex]],Vertices[],MATCH("ID",Vertices[[#Headers],[Vertex]:[Top Word Pairs in Tweet by Salience]],0),FALSE)</f>
        <v>227</v>
      </c>
    </row>
    <row r="120" spans="1:3" ht="15">
      <c r="A120" s="90" t="s">
        <v>2064</v>
      </c>
      <c r="B120" s="96" t="s">
        <v>395</v>
      </c>
      <c r="C120" s="89">
        <f>VLOOKUP(GroupVertices[[#This Row],[Vertex]],Vertices[],MATCH("ID",Vertices[[#Headers],[Vertex]:[Top Word Pairs in Tweet by Salience]],0),FALSE)</f>
        <v>226</v>
      </c>
    </row>
    <row r="121" spans="1:3" ht="15">
      <c r="A121" s="90" t="s">
        <v>2064</v>
      </c>
      <c r="B121" s="96" t="s">
        <v>394</v>
      </c>
      <c r="C121" s="89">
        <f>VLOOKUP(GroupVertices[[#This Row],[Vertex]],Vertices[],MATCH("ID",Vertices[[#Headers],[Vertex]:[Top Word Pairs in Tweet by Salience]],0),FALSE)</f>
        <v>225</v>
      </c>
    </row>
    <row r="122" spans="1:3" ht="15">
      <c r="A122" s="90" t="s">
        <v>2064</v>
      </c>
      <c r="B122" s="96" t="s">
        <v>393</v>
      </c>
      <c r="C122" s="89">
        <f>VLOOKUP(GroupVertices[[#This Row],[Vertex]],Vertices[],MATCH("ID",Vertices[[#Headers],[Vertex]:[Top Word Pairs in Tweet by Salience]],0),FALSE)</f>
        <v>224</v>
      </c>
    </row>
    <row r="123" spans="1:3" ht="15">
      <c r="A123" s="90" t="s">
        <v>2064</v>
      </c>
      <c r="B123" s="96" t="s">
        <v>392</v>
      </c>
      <c r="C123" s="89">
        <f>VLOOKUP(GroupVertices[[#This Row],[Vertex]],Vertices[],MATCH("ID",Vertices[[#Headers],[Vertex]:[Top Word Pairs in Tweet by Salience]],0),FALSE)</f>
        <v>223</v>
      </c>
    </row>
    <row r="124" spans="1:3" ht="15">
      <c r="A124" s="90" t="s">
        <v>2064</v>
      </c>
      <c r="B124" s="96" t="s">
        <v>391</v>
      </c>
      <c r="C124" s="89">
        <f>VLOOKUP(GroupVertices[[#This Row],[Vertex]],Vertices[],MATCH("ID",Vertices[[#Headers],[Vertex]:[Top Word Pairs in Tweet by Salience]],0),FALSE)</f>
        <v>222</v>
      </c>
    </row>
    <row r="125" spans="1:3" ht="15">
      <c r="A125" s="90" t="s">
        <v>2064</v>
      </c>
      <c r="B125" s="96" t="s">
        <v>390</v>
      </c>
      <c r="C125" s="89">
        <f>VLOOKUP(GroupVertices[[#This Row],[Vertex]],Vertices[],MATCH("ID",Vertices[[#Headers],[Vertex]:[Top Word Pairs in Tweet by Salience]],0),FALSE)</f>
        <v>221</v>
      </c>
    </row>
    <row r="126" spans="1:3" ht="15">
      <c r="A126" s="90" t="s">
        <v>2064</v>
      </c>
      <c r="B126" s="96" t="s">
        <v>389</v>
      </c>
      <c r="C126" s="89">
        <f>VLOOKUP(GroupVertices[[#This Row],[Vertex]],Vertices[],MATCH("ID",Vertices[[#Headers],[Vertex]:[Top Word Pairs in Tweet by Salience]],0),FALSE)</f>
        <v>220</v>
      </c>
    </row>
    <row r="127" spans="1:3" ht="15">
      <c r="A127" s="90" t="s">
        <v>2064</v>
      </c>
      <c r="B127" s="96" t="s">
        <v>386</v>
      </c>
      <c r="C127" s="89">
        <f>VLOOKUP(GroupVertices[[#This Row],[Vertex]],Vertices[],MATCH("ID",Vertices[[#Headers],[Vertex]:[Top Word Pairs in Tweet by Salience]],0),FALSE)</f>
        <v>217</v>
      </c>
    </row>
    <row r="128" spans="1:3" ht="15">
      <c r="A128" s="90" t="s">
        <v>2064</v>
      </c>
      <c r="B128" s="96" t="s">
        <v>385</v>
      </c>
      <c r="C128" s="89">
        <f>VLOOKUP(GroupVertices[[#This Row],[Vertex]],Vertices[],MATCH("ID",Vertices[[#Headers],[Vertex]:[Top Word Pairs in Tweet by Salience]],0),FALSE)</f>
        <v>216</v>
      </c>
    </row>
    <row r="129" spans="1:3" ht="15">
      <c r="A129" s="90" t="s">
        <v>2064</v>
      </c>
      <c r="B129" s="96" t="s">
        <v>381</v>
      </c>
      <c r="C129" s="89">
        <f>VLOOKUP(GroupVertices[[#This Row],[Vertex]],Vertices[],MATCH("ID",Vertices[[#Headers],[Vertex]:[Top Word Pairs in Tweet by Salience]],0),FALSE)</f>
        <v>213</v>
      </c>
    </row>
    <row r="130" spans="1:3" ht="15">
      <c r="A130" s="90" t="s">
        <v>2064</v>
      </c>
      <c r="B130" s="96" t="s">
        <v>379</v>
      </c>
      <c r="C130" s="89">
        <f>VLOOKUP(GroupVertices[[#This Row],[Vertex]],Vertices[],MATCH("ID",Vertices[[#Headers],[Vertex]:[Top Word Pairs in Tweet by Salience]],0),FALSE)</f>
        <v>210</v>
      </c>
    </row>
    <row r="131" spans="1:3" ht="15">
      <c r="A131" s="90" t="s">
        <v>2064</v>
      </c>
      <c r="B131" s="96" t="s">
        <v>378</v>
      </c>
      <c r="C131" s="89">
        <f>VLOOKUP(GroupVertices[[#This Row],[Vertex]],Vertices[],MATCH("ID",Vertices[[#Headers],[Vertex]:[Top Word Pairs in Tweet by Salience]],0),FALSE)</f>
        <v>209</v>
      </c>
    </row>
    <row r="132" spans="1:3" ht="15">
      <c r="A132" s="90" t="s">
        <v>2064</v>
      </c>
      <c r="B132" s="96" t="s">
        <v>376</v>
      </c>
      <c r="C132" s="89">
        <f>VLOOKUP(GroupVertices[[#This Row],[Vertex]],Vertices[],MATCH("ID",Vertices[[#Headers],[Vertex]:[Top Word Pairs in Tweet by Salience]],0),FALSE)</f>
        <v>207</v>
      </c>
    </row>
    <row r="133" spans="1:3" ht="15">
      <c r="A133" s="90" t="s">
        <v>2064</v>
      </c>
      <c r="B133" s="96" t="s">
        <v>373</v>
      </c>
      <c r="C133" s="89">
        <f>VLOOKUP(GroupVertices[[#This Row],[Vertex]],Vertices[],MATCH("ID",Vertices[[#Headers],[Vertex]:[Top Word Pairs in Tweet by Salience]],0),FALSE)</f>
        <v>202</v>
      </c>
    </row>
    <row r="134" spans="1:3" ht="15">
      <c r="A134" s="90" t="s">
        <v>2064</v>
      </c>
      <c r="B134" s="96" t="s">
        <v>372</v>
      </c>
      <c r="C134" s="89">
        <f>VLOOKUP(GroupVertices[[#This Row],[Vertex]],Vertices[],MATCH("ID",Vertices[[#Headers],[Vertex]:[Top Word Pairs in Tweet by Salience]],0),FALSE)</f>
        <v>201</v>
      </c>
    </row>
    <row r="135" spans="1:3" ht="15">
      <c r="A135" s="90" t="s">
        <v>2064</v>
      </c>
      <c r="B135" s="96" t="s">
        <v>368</v>
      </c>
      <c r="C135" s="89">
        <f>VLOOKUP(GroupVertices[[#This Row],[Vertex]],Vertices[],MATCH("ID",Vertices[[#Headers],[Vertex]:[Top Word Pairs in Tweet by Salience]],0),FALSE)</f>
        <v>198</v>
      </c>
    </row>
    <row r="136" spans="1:3" ht="15">
      <c r="A136" s="90" t="s">
        <v>2064</v>
      </c>
      <c r="B136" s="96" t="s">
        <v>367</v>
      </c>
      <c r="C136" s="89">
        <f>VLOOKUP(GroupVertices[[#This Row],[Vertex]],Vertices[],MATCH("ID",Vertices[[#Headers],[Vertex]:[Top Word Pairs in Tweet by Salience]],0),FALSE)</f>
        <v>197</v>
      </c>
    </row>
    <row r="137" spans="1:3" ht="15">
      <c r="A137" s="90" t="s">
        <v>2064</v>
      </c>
      <c r="B137" s="96" t="s">
        <v>366</v>
      </c>
      <c r="C137" s="89">
        <f>VLOOKUP(GroupVertices[[#This Row],[Vertex]],Vertices[],MATCH("ID",Vertices[[#Headers],[Vertex]:[Top Word Pairs in Tweet by Salience]],0),FALSE)</f>
        <v>196</v>
      </c>
    </row>
    <row r="138" spans="1:3" ht="15">
      <c r="A138" s="90" t="s">
        <v>2064</v>
      </c>
      <c r="B138" s="96" t="s">
        <v>365</v>
      </c>
      <c r="C138" s="89">
        <f>VLOOKUP(GroupVertices[[#This Row],[Vertex]],Vertices[],MATCH("ID",Vertices[[#Headers],[Vertex]:[Top Word Pairs in Tweet by Salience]],0),FALSE)</f>
        <v>195</v>
      </c>
    </row>
    <row r="139" spans="1:3" ht="15">
      <c r="A139" s="90" t="s">
        <v>2064</v>
      </c>
      <c r="B139" s="96" t="s">
        <v>363</v>
      </c>
      <c r="C139" s="89">
        <f>VLOOKUP(GroupVertices[[#This Row],[Vertex]],Vertices[],MATCH("ID",Vertices[[#Headers],[Vertex]:[Top Word Pairs in Tweet by Salience]],0),FALSE)</f>
        <v>192</v>
      </c>
    </row>
    <row r="140" spans="1:3" ht="15">
      <c r="A140" s="90" t="s">
        <v>2064</v>
      </c>
      <c r="B140" s="96" t="s">
        <v>442</v>
      </c>
      <c r="C140" s="89">
        <f>VLOOKUP(GroupVertices[[#This Row],[Vertex]],Vertices[],MATCH("ID",Vertices[[#Headers],[Vertex]:[Top Word Pairs in Tweet by Salience]],0),FALSE)</f>
        <v>193</v>
      </c>
    </row>
    <row r="141" spans="1:3" ht="15">
      <c r="A141" s="90" t="s">
        <v>2064</v>
      </c>
      <c r="B141" s="96" t="s">
        <v>362</v>
      </c>
      <c r="C141" s="89">
        <f>VLOOKUP(GroupVertices[[#This Row],[Vertex]],Vertices[],MATCH("ID",Vertices[[#Headers],[Vertex]:[Top Word Pairs in Tweet by Salience]],0),FALSE)</f>
        <v>191</v>
      </c>
    </row>
    <row r="142" spans="1:3" ht="15">
      <c r="A142" s="90" t="s">
        <v>2064</v>
      </c>
      <c r="B142" s="96" t="s">
        <v>361</v>
      </c>
      <c r="C142" s="89">
        <f>VLOOKUP(GroupVertices[[#This Row],[Vertex]],Vertices[],MATCH("ID",Vertices[[#Headers],[Vertex]:[Top Word Pairs in Tweet by Salience]],0),FALSE)</f>
        <v>190</v>
      </c>
    </row>
    <row r="143" spans="1:3" ht="15">
      <c r="A143" s="90" t="s">
        <v>2064</v>
      </c>
      <c r="B143" s="96" t="s">
        <v>369</v>
      </c>
      <c r="C143" s="89">
        <f>VLOOKUP(GroupVertices[[#This Row],[Vertex]],Vertices[],MATCH("ID",Vertices[[#Headers],[Vertex]:[Top Word Pairs in Tweet by Salience]],0),FALSE)</f>
        <v>109</v>
      </c>
    </row>
    <row r="144" spans="1:3" ht="15">
      <c r="A144" s="90" t="s">
        <v>2064</v>
      </c>
      <c r="B144" s="96" t="s">
        <v>359</v>
      </c>
      <c r="C144" s="89">
        <f>VLOOKUP(GroupVertices[[#This Row],[Vertex]],Vertices[],MATCH("ID",Vertices[[#Headers],[Vertex]:[Top Word Pairs in Tweet by Salience]],0),FALSE)</f>
        <v>187</v>
      </c>
    </row>
    <row r="145" spans="1:3" ht="15">
      <c r="A145" s="90" t="s">
        <v>2064</v>
      </c>
      <c r="B145" s="96" t="s">
        <v>292</v>
      </c>
      <c r="C145" s="89">
        <f>VLOOKUP(GroupVertices[[#This Row],[Vertex]],Vertices[],MATCH("ID",Vertices[[#Headers],[Vertex]:[Top Word Pairs in Tweet by Salience]],0),FALSE)</f>
        <v>111</v>
      </c>
    </row>
    <row r="146" spans="1:3" ht="15">
      <c r="A146" s="90" t="s">
        <v>2064</v>
      </c>
      <c r="B146" s="96" t="s">
        <v>290</v>
      </c>
      <c r="C146" s="89">
        <f>VLOOKUP(GroupVertices[[#This Row],[Vertex]],Vertices[],MATCH("ID",Vertices[[#Headers],[Vertex]:[Top Word Pairs in Tweet by Salience]],0),FALSE)</f>
        <v>108</v>
      </c>
    </row>
    <row r="147" spans="1:3" ht="15">
      <c r="A147" s="90" t="s">
        <v>2065</v>
      </c>
      <c r="B147" s="96" t="s">
        <v>399</v>
      </c>
      <c r="C147" s="89">
        <f>VLOOKUP(GroupVertices[[#This Row],[Vertex]],Vertices[],MATCH("ID",Vertices[[#Headers],[Vertex]:[Top Word Pairs in Tweet by Salience]],0),FALSE)</f>
        <v>230</v>
      </c>
    </row>
    <row r="148" spans="1:3" ht="15">
      <c r="A148" s="90" t="s">
        <v>2065</v>
      </c>
      <c r="B148" s="96" t="s">
        <v>401</v>
      </c>
      <c r="C148" s="89">
        <f>VLOOKUP(GroupVertices[[#This Row],[Vertex]],Vertices[],MATCH("ID",Vertices[[#Headers],[Vertex]:[Top Word Pairs in Tweet by Salience]],0),FALSE)</f>
        <v>231</v>
      </c>
    </row>
    <row r="149" spans="1:3" ht="15">
      <c r="A149" s="90" t="s">
        <v>2065</v>
      </c>
      <c r="B149" s="96" t="s">
        <v>400</v>
      </c>
      <c r="C149" s="89">
        <f>VLOOKUP(GroupVertices[[#This Row],[Vertex]],Vertices[],MATCH("ID",Vertices[[#Headers],[Vertex]:[Top Word Pairs in Tweet by Salience]],0),FALSE)</f>
        <v>151</v>
      </c>
    </row>
    <row r="150" spans="1:3" ht="15">
      <c r="A150" s="90" t="s">
        <v>2065</v>
      </c>
      <c r="B150" s="96" t="s">
        <v>346</v>
      </c>
      <c r="C150" s="89">
        <f>VLOOKUP(GroupVertices[[#This Row],[Vertex]],Vertices[],MATCH("ID",Vertices[[#Headers],[Vertex]:[Top Word Pairs in Tweet by Salience]],0),FALSE)</f>
        <v>70</v>
      </c>
    </row>
    <row r="151" spans="1:3" ht="15">
      <c r="A151" s="90" t="s">
        <v>2065</v>
      </c>
      <c r="B151" s="96" t="s">
        <v>398</v>
      </c>
      <c r="C151" s="89">
        <f>VLOOKUP(GroupVertices[[#This Row],[Vertex]],Vertices[],MATCH("ID",Vertices[[#Headers],[Vertex]:[Top Word Pairs in Tweet by Salience]],0),FALSE)</f>
        <v>229</v>
      </c>
    </row>
    <row r="152" spans="1:3" ht="15">
      <c r="A152" s="90" t="s">
        <v>2065</v>
      </c>
      <c r="B152" s="96" t="s">
        <v>370</v>
      </c>
      <c r="C152" s="89">
        <f>VLOOKUP(GroupVertices[[#This Row],[Vertex]],Vertices[],MATCH("ID",Vertices[[#Headers],[Vertex]:[Top Word Pairs in Tweet by Salience]],0),FALSE)</f>
        <v>199</v>
      </c>
    </row>
    <row r="153" spans="1:3" ht="15">
      <c r="A153" s="90" t="s">
        <v>2065</v>
      </c>
      <c r="B153" s="96" t="s">
        <v>347</v>
      </c>
      <c r="C153" s="89">
        <f>VLOOKUP(GroupVertices[[#This Row],[Vertex]],Vertices[],MATCH("ID",Vertices[[#Headers],[Vertex]:[Top Word Pairs in Tweet by Salience]],0),FALSE)</f>
        <v>175</v>
      </c>
    </row>
    <row r="154" spans="1:3" ht="15">
      <c r="A154" s="90" t="s">
        <v>2065</v>
      </c>
      <c r="B154" s="96" t="s">
        <v>441</v>
      </c>
      <c r="C154" s="89">
        <f>VLOOKUP(GroupVertices[[#This Row],[Vertex]],Vertices[],MATCH("ID",Vertices[[#Headers],[Vertex]:[Top Word Pairs in Tweet by Salience]],0),FALSE)</f>
        <v>174</v>
      </c>
    </row>
    <row r="155" spans="1:3" ht="15">
      <c r="A155" s="90" t="s">
        <v>2065</v>
      </c>
      <c r="B155" s="96" t="s">
        <v>345</v>
      </c>
      <c r="C155" s="89">
        <f>VLOOKUP(GroupVertices[[#This Row],[Vertex]],Vertices[],MATCH("ID",Vertices[[#Headers],[Vertex]:[Top Word Pairs in Tweet by Salience]],0),FALSE)</f>
        <v>173</v>
      </c>
    </row>
    <row r="156" spans="1:3" ht="15">
      <c r="A156" s="90" t="s">
        <v>2065</v>
      </c>
      <c r="B156" s="96" t="s">
        <v>339</v>
      </c>
      <c r="C156" s="89">
        <f>VLOOKUP(GroupVertices[[#This Row],[Vertex]],Vertices[],MATCH("ID",Vertices[[#Headers],[Vertex]:[Top Word Pairs in Tweet by Salience]],0),FALSE)</f>
        <v>168</v>
      </c>
    </row>
    <row r="157" spans="1:3" ht="15">
      <c r="A157" s="90" t="s">
        <v>2065</v>
      </c>
      <c r="B157" s="96" t="s">
        <v>336</v>
      </c>
      <c r="C157" s="89">
        <f>VLOOKUP(GroupVertices[[#This Row],[Vertex]],Vertices[],MATCH("ID",Vertices[[#Headers],[Vertex]:[Top Word Pairs in Tweet by Salience]],0),FALSE)</f>
        <v>165</v>
      </c>
    </row>
    <row r="158" spans="1:3" ht="15">
      <c r="A158" s="90" t="s">
        <v>2065</v>
      </c>
      <c r="B158" s="96" t="s">
        <v>334</v>
      </c>
      <c r="C158" s="89">
        <f>VLOOKUP(GroupVertices[[#This Row],[Vertex]],Vertices[],MATCH("ID",Vertices[[#Headers],[Vertex]:[Top Word Pairs in Tweet by Salience]],0),FALSE)</f>
        <v>132</v>
      </c>
    </row>
    <row r="159" spans="1:3" ht="15">
      <c r="A159" s="90" t="s">
        <v>2065</v>
      </c>
      <c r="B159" s="96" t="s">
        <v>323</v>
      </c>
      <c r="C159" s="89">
        <f>VLOOKUP(GroupVertices[[#This Row],[Vertex]],Vertices[],MATCH("ID",Vertices[[#Headers],[Vertex]:[Top Word Pairs in Tweet by Salience]],0),FALSE)</f>
        <v>150</v>
      </c>
    </row>
    <row r="160" spans="1:3" ht="15">
      <c r="A160" s="90" t="s">
        <v>2065</v>
      </c>
      <c r="B160" s="96" t="s">
        <v>308</v>
      </c>
      <c r="C160" s="89">
        <f>VLOOKUP(GroupVertices[[#This Row],[Vertex]],Vertices[],MATCH("ID",Vertices[[#Headers],[Vertex]:[Top Word Pairs in Tweet by Salience]],0),FALSE)</f>
        <v>134</v>
      </c>
    </row>
    <row r="161" spans="1:3" ht="15">
      <c r="A161" s="90" t="s">
        <v>2065</v>
      </c>
      <c r="B161" s="96" t="s">
        <v>437</v>
      </c>
      <c r="C161" s="89">
        <f>VLOOKUP(GroupVertices[[#This Row],[Vertex]],Vertices[],MATCH("ID",Vertices[[#Headers],[Vertex]:[Top Word Pairs in Tweet by Salience]],0),FALSE)</f>
        <v>135</v>
      </c>
    </row>
    <row r="162" spans="1:3" ht="15">
      <c r="A162" s="90" t="s">
        <v>2065</v>
      </c>
      <c r="B162" s="96" t="s">
        <v>306</v>
      </c>
      <c r="C162" s="89">
        <f>VLOOKUP(GroupVertices[[#This Row],[Vertex]],Vertices[],MATCH("ID",Vertices[[#Headers],[Vertex]:[Top Word Pairs in Tweet by Salience]],0),FALSE)</f>
        <v>130</v>
      </c>
    </row>
    <row r="163" spans="1:3" ht="15">
      <c r="A163" s="90" t="s">
        <v>2065</v>
      </c>
      <c r="B163" s="96" t="s">
        <v>436</v>
      </c>
      <c r="C163" s="89">
        <f>VLOOKUP(GroupVertices[[#This Row],[Vertex]],Vertices[],MATCH("ID",Vertices[[#Headers],[Vertex]:[Top Word Pairs in Tweet by Salience]],0),FALSE)</f>
        <v>131</v>
      </c>
    </row>
    <row r="164" spans="1:3" ht="15">
      <c r="A164" s="90" t="s">
        <v>2065</v>
      </c>
      <c r="B164" s="96" t="s">
        <v>283</v>
      </c>
      <c r="C164" s="89">
        <f>VLOOKUP(GroupVertices[[#This Row],[Vertex]],Vertices[],MATCH("ID",Vertices[[#Headers],[Vertex]:[Top Word Pairs in Tweet by Salience]],0),FALSE)</f>
        <v>101</v>
      </c>
    </row>
    <row r="165" spans="1:3" ht="15">
      <c r="A165" s="90" t="s">
        <v>2065</v>
      </c>
      <c r="B165" s="96" t="s">
        <v>281</v>
      </c>
      <c r="C165" s="89">
        <f>VLOOKUP(GroupVertices[[#This Row],[Vertex]],Vertices[],MATCH("ID",Vertices[[#Headers],[Vertex]:[Top Word Pairs in Tweet by Salience]],0),FALSE)</f>
        <v>99</v>
      </c>
    </row>
    <row r="166" spans="1:3" ht="15">
      <c r="A166" s="90" t="s">
        <v>2065</v>
      </c>
      <c r="B166" s="96" t="s">
        <v>261</v>
      </c>
      <c r="C166" s="89">
        <f>VLOOKUP(GroupVertices[[#This Row],[Vertex]],Vertices[],MATCH("ID",Vertices[[#Headers],[Vertex]:[Top Word Pairs in Tweet by Salience]],0),FALSE)</f>
        <v>69</v>
      </c>
    </row>
    <row r="167" spans="1:3" ht="15">
      <c r="A167" s="90" t="s">
        <v>2066</v>
      </c>
      <c r="B167" s="96" t="s">
        <v>350</v>
      </c>
      <c r="C167" s="89">
        <f>VLOOKUP(GroupVertices[[#This Row],[Vertex]],Vertices[],MATCH("ID",Vertices[[#Headers],[Vertex]:[Top Word Pairs in Tweet by Salience]],0),FALSE)</f>
        <v>177</v>
      </c>
    </row>
    <row r="168" spans="1:3" ht="15">
      <c r="A168" s="90" t="s">
        <v>2066</v>
      </c>
      <c r="B168" s="96" t="s">
        <v>349</v>
      </c>
      <c r="C168" s="89">
        <f>VLOOKUP(GroupVertices[[#This Row],[Vertex]],Vertices[],MATCH("ID",Vertices[[#Headers],[Vertex]:[Top Word Pairs in Tweet by Salience]],0),FALSE)</f>
        <v>4</v>
      </c>
    </row>
    <row r="169" spans="1:3" ht="15">
      <c r="A169" s="90" t="s">
        <v>2066</v>
      </c>
      <c r="B169" s="96" t="s">
        <v>333</v>
      </c>
      <c r="C169" s="89">
        <f>VLOOKUP(GroupVertices[[#This Row],[Vertex]],Vertices[],MATCH("ID",Vertices[[#Headers],[Vertex]:[Top Word Pairs in Tweet by Salience]],0),FALSE)</f>
        <v>87</v>
      </c>
    </row>
    <row r="170" spans="1:3" ht="15">
      <c r="A170" s="90" t="s">
        <v>2066</v>
      </c>
      <c r="B170" s="96" t="s">
        <v>284</v>
      </c>
      <c r="C170" s="89">
        <f>VLOOKUP(GroupVertices[[#This Row],[Vertex]],Vertices[],MATCH("ID",Vertices[[#Headers],[Vertex]:[Top Word Pairs in Tweet by Salience]],0),FALSE)</f>
        <v>102</v>
      </c>
    </row>
    <row r="171" spans="1:3" ht="15">
      <c r="A171" s="90" t="s">
        <v>2066</v>
      </c>
      <c r="B171" s="96" t="s">
        <v>279</v>
      </c>
      <c r="C171" s="89">
        <f>VLOOKUP(GroupVertices[[#This Row],[Vertex]],Vertices[],MATCH("ID",Vertices[[#Headers],[Vertex]:[Top Word Pairs in Tweet by Salience]],0),FALSE)</f>
        <v>96</v>
      </c>
    </row>
    <row r="172" spans="1:3" ht="15">
      <c r="A172" s="90" t="s">
        <v>2066</v>
      </c>
      <c r="B172" s="96" t="s">
        <v>277</v>
      </c>
      <c r="C172" s="89">
        <f>VLOOKUP(GroupVertices[[#This Row],[Vertex]],Vertices[],MATCH("ID",Vertices[[#Headers],[Vertex]:[Top Word Pairs in Tweet by Salience]],0),FALSE)</f>
        <v>92</v>
      </c>
    </row>
    <row r="173" spans="1:3" ht="15">
      <c r="A173" s="90" t="s">
        <v>2066</v>
      </c>
      <c r="B173" s="96" t="s">
        <v>251</v>
      </c>
      <c r="C173" s="89">
        <f>VLOOKUP(GroupVertices[[#This Row],[Vertex]],Vertices[],MATCH("ID",Vertices[[#Headers],[Vertex]:[Top Word Pairs in Tweet by Salience]],0),FALSE)</f>
        <v>57</v>
      </c>
    </row>
    <row r="174" spans="1:3" ht="15">
      <c r="A174" s="90" t="s">
        <v>2066</v>
      </c>
      <c r="B174" s="96" t="s">
        <v>241</v>
      </c>
      <c r="C174" s="89">
        <f>VLOOKUP(GroupVertices[[#This Row],[Vertex]],Vertices[],MATCH("ID",Vertices[[#Headers],[Vertex]:[Top Word Pairs in Tweet by Salience]],0),FALSE)</f>
        <v>41</v>
      </c>
    </row>
    <row r="175" spans="1:3" ht="15">
      <c r="A175" s="90" t="s">
        <v>2066</v>
      </c>
      <c r="B175" s="96" t="s">
        <v>240</v>
      </c>
      <c r="C175" s="89">
        <f>VLOOKUP(GroupVertices[[#This Row],[Vertex]],Vertices[],MATCH("ID",Vertices[[#Headers],[Vertex]:[Top Word Pairs in Tweet by Salience]],0),FALSE)</f>
        <v>40</v>
      </c>
    </row>
    <row r="176" spans="1:3" ht="15">
      <c r="A176" s="90" t="s">
        <v>2066</v>
      </c>
      <c r="B176" s="96" t="s">
        <v>232</v>
      </c>
      <c r="C176" s="89">
        <f>VLOOKUP(GroupVertices[[#This Row],[Vertex]],Vertices[],MATCH("ID",Vertices[[#Headers],[Vertex]:[Top Word Pairs in Tweet by Salience]],0),FALSE)</f>
        <v>23</v>
      </c>
    </row>
    <row r="177" spans="1:3" ht="15">
      <c r="A177" s="90" t="s">
        <v>2066</v>
      </c>
      <c r="B177" s="96" t="s">
        <v>229</v>
      </c>
      <c r="C177" s="89">
        <f>VLOOKUP(GroupVertices[[#This Row],[Vertex]],Vertices[],MATCH("ID",Vertices[[#Headers],[Vertex]:[Top Word Pairs in Tweet by Salience]],0),FALSE)</f>
        <v>20</v>
      </c>
    </row>
    <row r="178" spans="1:3" ht="15">
      <c r="A178" s="90" t="s">
        <v>2066</v>
      </c>
      <c r="B178" s="96" t="s">
        <v>217</v>
      </c>
      <c r="C178" s="89">
        <f>VLOOKUP(GroupVertices[[#This Row],[Vertex]],Vertices[],MATCH("ID",Vertices[[#Headers],[Vertex]:[Top Word Pairs in Tweet by Salience]],0),FALSE)</f>
        <v>7</v>
      </c>
    </row>
    <row r="179" spans="1:3" ht="15">
      <c r="A179" s="90" t="s">
        <v>2066</v>
      </c>
      <c r="B179" s="96" t="s">
        <v>216</v>
      </c>
      <c r="C179" s="89">
        <f>VLOOKUP(GroupVertices[[#This Row],[Vertex]],Vertices[],MATCH("ID",Vertices[[#Headers],[Vertex]:[Top Word Pairs in Tweet by Salience]],0),FALSE)</f>
        <v>5</v>
      </c>
    </row>
    <row r="180" spans="1:3" ht="15">
      <c r="A180" s="90" t="s">
        <v>2066</v>
      </c>
      <c r="B180" s="96" t="s">
        <v>405</v>
      </c>
      <c r="C180" s="89">
        <f>VLOOKUP(GroupVertices[[#This Row],[Vertex]],Vertices[],MATCH("ID",Vertices[[#Headers],[Vertex]:[Top Word Pairs in Tweet by Salience]],0),FALSE)</f>
        <v>3</v>
      </c>
    </row>
    <row r="181" spans="1:3" ht="15">
      <c r="A181" s="90" t="s">
        <v>2067</v>
      </c>
      <c r="B181" s="96" t="s">
        <v>237</v>
      </c>
      <c r="C181" s="89">
        <f>VLOOKUP(GroupVertices[[#This Row],[Vertex]],Vertices[],MATCH("ID",Vertices[[#Headers],[Vertex]:[Top Word Pairs in Tweet by Salience]],0),FALSE)</f>
        <v>37</v>
      </c>
    </row>
    <row r="182" spans="1:3" ht="15">
      <c r="A182" s="90" t="s">
        <v>2067</v>
      </c>
      <c r="B182" s="96" t="s">
        <v>260</v>
      </c>
      <c r="C182" s="89">
        <f>VLOOKUP(GroupVertices[[#This Row],[Vertex]],Vertices[],MATCH("ID",Vertices[[#Headers],[Vertex]:[Top Word Pairs in Tweet by Salience]],0),FALSE)</f>
        <v>68</v>
      </c>
    </row>
    <row r="183" spans="1:3" ht="15">
      <c r="A183" s="90" t="s">
        <v>2067</v>
      </c>
      <c r="B183" s="96" t="s">
        <v>268</v>
      </c>
      <c r="C183" s="89">
        <f>VLOOKUP(GroupVertices[[#This Row],[Vertex]],Vertices[],MATCH("ID",Vertices[[#Headers],[Vertex]:[Top Word Pairs in Tweet by Salience]],0),FALSE)</f>
        <v>79</v>
      </c>
    </row>
    <row r="184" spans="1:3" ht="15">
      <c r="A184" s="90" t="s">
        <v>2067</v>
      </c>
      <c r="B184" s="96" t="s">
        <v>275</v>
      </c>
      <c r="C184" s="89">
        <f>VLOOKUP(GroupVertices[[#This Row],[Vertex]],Vertices[],MATCH("ID",Vertices[[#Headers],[Vertex]:[Top Word Pairs in Tweet by Salience]],0),FALSE)</f>
        <v>90</v>
      </c>
    </row>
    <row r="185" spans="1:3" ht="15">
      <c r="A185" s="90" t="s">
        <v>2067</v>
      </c>
      <c r="B185" s="96" t="s">
        <v>286</v>
      </c>
      <c r="C185" s="89">
        <f>VLOOKUP(GroupVertices[[#This Row],[Vertex]],Vertices[],MATCH("ID",Vertices[[#Headers],[Vertex]:[Top Word Pairs in Tweet by Salience]],0),FALSE)</f>
        <v>104</v>
      </c>
    </row>
    <row r="186" spans="1:3" ht="15">
      <c r="A186" s="90" t="s">
        <v>2067</v>
      </c>
      <c r="B186" s="96" t="s">
        <v>287</v>
      </c>
      <c r="C186" s="89">
        <f>VLOOKUP(GroupVertices[[#This Row],[Vertex]],Vertices[],MATCH("ID",Vertices[[#Headers],[Vertex]:[Top Word Pairs in Tweet by Salience]],0),FALSE)</f>
        <v>105</v>
      </c>
    </row>
    <row r="187" spans="1:3" ht="15">
      <c r="A187" s="90" t="s">
        <v>2067</v>
      </c>
      <c r="B187" s="96" t="s">
        <v>291</v>
      </c>
      <c r="C187" s="89">
        <f>VLOOKUP(GroupVertices[[#This Row],[Vertex]],Vertices[],MATCH("ID",Vertices[[#Headers],[Vertex]:[Top Word Pairs in Tweet by Salience]],0),FALSE)</f>
        <v>110</v>
      </c>
    </row>
    <row r="188" spans="1:3" ht="15">
      <c r="A188" s="90" t="s">
        <v>2067</v>
      </c>
      <c r="B188" s="96" t="s">
        <v>295</v>
      </c>
      <c r="C188" s="89">
        <f>VLOOKUP(GroupVertices[[#This Row],[Vertex]],Vertices[],MATCH("ID",Vertices[[#Headers],[Vertex]:[Top Word Pairs in Tweet by Salience]],0),FALSE)</f>
        <v>117</v>
      </c>
    </row>
    <row r="189" spans="1:3" ht="15">
      <c r="A189" s="90" t="s">
        <v>2067</v>
      </c>
      <c r="B189" s="96" t="s">
        <v>342</v>
      </c>
      <c r="C189" s="89">
        <f>VLOOKUP(GroupVertices[[#This Row],[Vertex]],Vertices[],MATCH("ID",Vertices[[#Headers],[Vertex]:[Top Word Pairs in Tweet by Salience]],0),FALSE)</f>
        <v>170</v>
      </c>
    </row>
    <row r="190" spans="1:3" ht="15">
      <c r="A190" s="90" t="s">
        <v>2067</v>
      </c>
      <c r="B190" s="96" t="s">
        <v>348</v>
      </c>
      <c r="C190" s="89">
        <f>VLOOKUP(GroupVertices[[#This Row],[Vertex]],Vertices[],MATCH("ID",Vertices[[#Headers],[Vertex]:[Top Word Pairs in Tweet by Salience]],0),FALSE)</f>
        <v>176</v>
      </c>
    </row>
    <row r="191" spans="1:3" ht="15">
      <c r="A191" s="90" t="s">
        <v>2067</v>
      </c>
      <c r="B191" s="96" t="s">
        <v>371</v>
      </c>
      <c r="C191" s="89">
        <f>VLOOKUP(GroupVertices[[#This Row],[Vertex]],Vertices[],MATCH("ID",Vertices[[#Headers],[Vertex]:[Top Word Pairs in Tweet by Salience]],0),FALSE)</f>
        <v>200</v>
      </c>
    </row>
    <row r="192" spans="1:3" ht="15">
      <c r="A192" s="90" t="s">
        <v>2067</v>
      </c>
      <c r="B192" s="96" t="s">
        <v>397</v>
      </c>
      <c r="C192" s="89">
        <f>VLOOKUP(GroupVertices[[#This Row],[Vertex]],Vertices[],MATCH("ID",Vertices[[#Headers],[Vertex]:[Top Word Pairs in Tweet by Salience]],0),FALSE)</f>
        <v>228</v>
      </c>
    </row>
    <row r="193" spans="1:3" ht="15">
      <c r="A193" s="90" t="s">
        <v>2068</v>
      </c>
      <c r="B193" s="96" t="s">
        <v>233</v>
      </c>
      <c r="C193" s="89">
        <f>VLOOKUP(GroupVertices[[#This Row],[Vertex]],Vertices[],MATCH("ID",Vertices[[#Headers],[Vertex]:[Top Word Pairs in Tweet by Salience]],0),FALSE)</f>
        <v>24</v>
      </c>
    </row>
    <row r="194" spans="1:3" ht="15">
      <c r="A194" s="90" t="s">
        <v>2068</v>
      </c>
      <c r="B194" s="96" t="s">
        <v>415</v>
      </c>
      <c r="C194" s="89">
        <f>VLOOKUP(GroupVertices[[#This Row],[Vertex]],Vertices[],MATCH("ID",Vertices[[#Headers],[Vertex]:[Top Word Pairs in Tweet by Salience]],0),FALSE)</f>
        <v>33</v>
      </c>
    </row>
    <row r="195" spans="1:3" ht="15">
      <c r="A195" s="90" t="s">
        <v>2068</v>
      </c>
      <c r="B195" s="96" t="s">
        <v>414</v>
      </c>
      <c r="C195" s="89">
        <f>VLOOKUP(GroupVertices[[#This Row],[Vertex]],Vertices[],MATCH("ID",Vertices[[#Headers],[Vertex]:[Top Word Pairs in Tweet by Salience]],0),FALSE)</f>
        <v>32</v>
      </c>
    </row>
    <row r="196" spans="1:3" ht="15">
      <c r="A196" s="90" t="s">
        <v>2068</v>
      </c>
      <c r="B196" s="96" t="s">
        <v>413</v>
      </c>
      <c r="C196" s="89">
        <f>VLOOKUP(GroupVertices[[#This Row],[Vertex]],Vertices[],MATCH("ID",Vertices[[#Headers],[Vertex]:[Top Word Pairs in Tweet by Salience]],0),FALSE)</f>
        <v>31</v>
      </c>
    </row>
    <row r="197" spans="1:3" ht="15">
      <c r="A197" s="90" t="s">
        <v>2068</v>
      </c>
      <c r="B197" s="96" t="s">
        <v>412</v>
      </c>
      <c r="C197" s="89">
        <f>VLOOKUP(GroupVertices[[#This Row],[Vertex]],Vertices[],MATCH("ID",Vertices[[#Headers],[Vertex]:[Top Word Pairs in Tweet by Salience]],0),FALSE)</f>
        <v>30</v>
      </c>
    </row>
    <row r="198" spans="1:3" ht="15">
      <c r="A198" s="90" t="s">
        <v>2068</v>
      </c>
      <c r="B198" s="96" t="s">
        <v>411</v>
      </c>
      <c r="C198" s="89">
        <f>VLOOKUP(GroupVertices[[#This Row],[Vertex]],Vertices[],MATCH("ID",Vertices[[#Headers],[Vertex]:[Top Word Pairs in Tweet by Salience]],0),FALSE)</f>
        <v>29</v>
      </c>
    </row>
    <row r="199" spans="1:3" ht="15">
      <c r="A199" s="90" t="s">
        <v>2068</v>
      </c>
      <c r="B199" s="96" t="s">
        <v>410</v>
      </c>
      <c r="C199" s="89">
        <f>VLOOKUP(GroupVertices[[#This Row],[Vertex]],Vertices[],MATCH("ID",Vertices[[#Headers],[Vertex]:[Top Word Pairs in Tweet by Salience]],0),FALSE)</f>
        <v>28</v>
      </c>
    </row>
    <row r="200" spans="1:3" ht="15">
      <c r="A200" s="90" t="s">
        <v>2068</v>
      </c>
      <c r="B200" s="96" t="s">
        <v>409</v>
      </c>
      <c r="C200" s="89">
        <f>VLOOKUP(GroupVertices[[#This Row],[Vertex]],Vertices[],MATCH("ID",Vertices[[#Headers],[Vertex]:[Top Word Pairs in Tweet by Salience]],0),FALSE)</f>
        <v>27</v>
      </c>
    </row>
    <row r="201" spans="1:3" ht="15">
      <c r="A201" s="90" t="s">
        <v>2068</v>
      </c>
      <c r="B201" s="96" t="s">
        <v>408</v>
      </c>
      <c r="C201" s="89">
        <f>VLOOKUP(GroupVertices[[#This Row],[Vertex]],Vertices[],MATCH("ID",Vertices[[#Headers],[Vertex]:[Top Word Pairs in Tweet by Salience]],0),FALSE)</f>
        <v>26</v>
      </c>
    </row>
    <row r="202" spans="1:3" ht="15">
      <c r="A202" s="90" t="s">
        <v>2068</v>
      </c>
      <c r="B202" s="96" t="s">
        <v>407</v>
      </c>
      <c r="C202" s="89">
        <f>VLOOKUP(GroupVertices[[#This Row],[Vertex]],Vertices[],MATCH("ID",Vertices[[#Headers],[Vertex]:[Top Word Pairs in Tweet by Salience]],0),FALSE)</f>
        <v>25</v>
      </c>
    </row>
    <row r="203" spans="1:3" ht="15">
      <c r="A203" s="90" t="s">
        <v>2069</v>
      </c>
      <c r="B203" s="96" t="s">
        <v>383</v>
      </c>
      <c r="C203" s="89">
        <f>VLOOKUP(GroupVertices[[#This Row],[Vertex]],Vertices[],MATCH("ID",Vertices[[#Headers],[Vertex]:[Top Word Pairs in Tweet by Salience]],0),FALSE)</f>
        <v>215</v>
      </c>
    </row>
    <row r="204" spans="1:3" ht="15">
      <c r="A204" s="90" t="s">
        <v>2069</v>
      </c>
      <c r="B204" s="96" t="s">
        <v>444</v>
      </c>
      <c r="C204" s="89">
        <f>VLOOKUP(GroupVertices[[#This Row],[Vertex]],Vertices[],MATCH("ID",Vertices[[#Headers],[Vertex]:[Top Word Pairs in Tweet by Salience]],0),FALSE)</f>
        <v>204</v>
      </c>
    </row>
    <row r="205" spans="1:3" ht="15">
      <c r="A205" s="90" t="s">
        <v>2069</v>
      </c>
      <c r="B205" s="96" t="s">
        <v>382</v>
      </c>
      <c r="C205" s="89">
        <f>VLOOKUP(GroupVertices[[#This Row],[Vertex]],Vertices[],MATCH("ID",Vertices[[#Headers],[Vertex]:[Top Word Pairs in Tweet by Salience]],0),FALSE)</f>
        <v>214</v>
      </c>
    </row>
    <row r="206" spans="1:3" ht="15">
      <c r="A206" s="90" t="s">
        <v>2069</v>
      </c>
      <c r="B206" s="96" t="s">
        <v>374</v>
      </c>
      <c r="C206" s="89">
        <f>VLOOKUP(GroupVertices[[#This Row],[Vertex]],Vertices[],MATCH("ID",Vertices[[#Headers],[Vertex]:[Top Word Pairs in Tweet by Salience]],0),FALSE)</f>
        <v>203</v>
      </c>
    </row>
    <row r="207" spans="1:3" ht="15">
      <c r="A207" s="90" t="s">
        <v>2070</v>
      </c>
      <c r="B207" s="96" t="s">
        <v>364</v>
      </c>
      <c r="C207" s="89">
        <f>VLOOKUP(GroupVertices[[#This Row],[Vertex]],Vertices[],MATCH("ID",Vertices[[#Headers],[Vertex]:[Top Word Pairs in Tweet by Salience]],0),FALSE)</f>
        <v>183</v>
      </c>
    </row>
    <row r="208" spans="1:3" ht="15">
      <c r="A208" s="90" t="s">
        <v>2070</v>
      </c>
      <c r="B208" s="96" t="s">
        <v>443</v>
      </c>
      <c r="C208" s="89">
        <f>VLOOKUP(GroupVertices[[#This Row],[Vertex]],Vertices[],MATCH("ID",Vertices[[#Headers],[Vertex]:[Top Word Pairs in Tweet by Salience]],0),FALSE)</f>
        <v>194</v>
      </c>
    </row>
    <row r="209" spans="1:3" ht="15">
      <c r="A209" s="90" t="s">
        <v>2070</v>
      </c>
      <c r="B209" s="96" t="s">
        <v>354</v>
      </c>
      <c r="C209" s="89">
        <f>VLOOKUP(GroupVertices[[#This Row],[Vertex]],Vertices[],MATCH("ID",Vertices[[#Headers],[Vertex]:[Top Word Pairs in Tweet by Salience]],0),FALSE)</f>
        <v>182</v>
      </c>
    </row>
    <row r="210" spans="1:3" ht="15">
      <c r="A210" s="90" t="s">
        <v>2071</v>
      </c>
      <c r="B210" s="96" t="s">
        <v>357</v>
      </c>
      <c r="C210" s="89">
        <f>VLOOKUP(GroupVertices[[#This Row],[Vertex]],Vertices[],MATCH("ID",Vertices[[#Headers],[Vertex]:[Top Word Pairs in Tweet by Salience]],0),FALSE)</f>
        <v>185</v>
      </c>
    </row>
    <row r="211" spans="1:3" ht="15">
      <c r="A211" s="90" t="s">
        <v>2071</v>
      </c>
      <c r="B211" s="96" t="s">
        <v>356</v>
      </c>
      <c r="C211" s="89">
        <f>VLOOKUP(GroupVertices[[#This Row],[Vertex]],Vertices[],MATCH("ID",Vertices[[#Headers],[Vertex]:[Top Word Pairs in Tweet by Salience]],0),FALSE)</f>
        <v>181</v>
      </c>
    </row>
    <row r="212" spans="1:3" ht="15">
      <c r="A212" s="90" t="s">
        <v>2071</v>
      </c>
      <c r="B212" s="96" t="s">
        <v>353</v>
      </c>
      <c r="C212" s="89">
        <f>VLOOKUP(GroupVertices[[#This Row],[Vertex]],Vertices[],MATCH("ID",Vertices[[#Headers],[Vertex]:[Top Word Pairs in Tweet by Salience]],0),FALSE)</f>
        <v>180</v>
      </c>
    </row>
    <row r="213" spans="1:3" ht="15">
      <c r="A213" s="90" t="s">
        <v>2072</v>
      </c>
      <c r="B213" s="96" t="s">
        <v>293</v>
      </c>
      <c r="C213" s="89">
        <f>VLOOKUP(GroupVertices[[#This Row],[Vertex]],Vertices[],MATCH("ID",Vertices[[#Headers],[Vertex]:[Top Word Pairs in Tweet by Salience]],0),FALSE)</f>
        <v>112</v>
      </c>
    </row>
    <row r="214" spans="1:3" ht="15">
      <c r="A214" s="90" t="s">
        <v>2072</v>
      </c>
      <c r="B214" s="96" t="s">
        <v>433</v>
      </c>
      <c r="C214" s="89">
        <f>VLOOKUP(GroupVertices[[#This Row],[Vertex]],Vertices[],MATCH("ID",Vertices[[#Headers],[Vertex]:[Top Word Pairs in Tweet by Salience]],0),FALSE)</f>
        <v>114</v>
      </c>
    </row>
    <row r="215" spans="1:3" ht="15">
      <c r="A215" s="90" t="s">
        <v>2072</v>
      </c>
      <c r="B215" s="96" t="s">
        <v>432</v>
      </c>
      <c r="C215" s="89">
        <f>VLOOKUP(GroupVertices[[#This Row],[Vertex]],Vertices[],MATCH("ID",Vertices[[#Headers],[Vertex]:[Top Word Pairs in Tweet by Salience]],0),FALSE)</f>
        <v>113</v>
      </c>
    </row>
    <row r="216" spans="1:3" ht="15">
      <c r="A216" s="90" t="s">
        <v>2073</v>
      </c>
      <c r="B216" s="96" t="s">
        <v>288</v>
      </c>
      <c r="C216" s="89">
        <f>VLOOKUP(GroupVertices[[#This Row],[Vertex]],Vertices[],MATCH("ID",Vertices[[#Headers],[Vertex]:[Top Word Pairs in Tweet by Salience]],0),FALSE)</f>
        <v>106</v>
      </c>
    </row>
    <row r="217" spans="1:3" ht="15">
      <c r="A217" s="90" t="s">
        <v>2073</v>
      </c>
      <c r="B217" s="96" t="s">
        <v>428</v>
      </c>
      <c r="C217" s="89">
        <f>VLOOKUP(GroupVertices[[#This Row],[Vertex]],Vertices[],MATCH("ID",Vertices[[#Headers],[Vertex]:[Top Word Pairs in Tweet by Salience]],0),FALSE)</f>
        <v>89</v>
      </c>
    </row>
    <row r="218" spans="1:3" ht="15">
      <c r="A218" s="90" t="s">
        <v>2073</v>
      </c>
      <c r="B218" s="96" t="s">
        <v>274</v>
      </c>
      <c r="C218" s="89">
        <f>VLOOKUP(GroupVertices[[#This Row],[Vertex]],Vertices[],MATCH("ID",Vertices[[#Headers],[Vertex]:[Top Word Pairs in Tweet by Salience]],0),FALSE)</f>
        <v>88</v>
      </c>
    </row>
    <row r="219" spans="1:3" ht="15">
      <c r="A219" s="90" t="s">
        <v>2074</v>
      </c>
      <c r="B219" s="96" t="s">
        <v>256</v>
      </c>
      <c r="C219" s="89">
        <f>VLOOKUP(GroupVertices[[#This Row],[Vertex]],Vertices[],MATCH("ID",Vertices[[#Headers],[Vertex]:[Top Word Pairs in Tweet by Salience]],0),FALSE)</f>
        <v>62</v>
      </c>
    </row>
    <row r="220" spans="1:3" ht="15">
      <c r="A220" s="90" t="s">
        <v>2074</v>
      </c>
      <c r="B220" s="96" t="s">
        <v>422</v>
      </c>
      <c r="C220" s="89">
        <f>VLOOKUP(GroupVertices[[#This Row],[Vertex]],Vertices[],MATCH("ID",Vertices[[#Headers],[Vertex]:[Top Word Pairs in Tweet by Salience]],0),FALSE)</f>
        <v>64</v>
      </c>
    </row>
    <row r="221" spans="1:3" ht="15">
      <c r="A221" s="90" t="s">
        <v>2074</v>
      </c>
      <c r="B221" s="96" t="s">
        <v>421</v>
      </c>
      <c r="C221" s="89">
        <f>VLOOKUP(GroupVertices[[#This Row],[Vertex]],Vertices[],MATCH("ID",Vertices[[#Headers],[Vertex]:[Top Word Pairs in Tweet by Salience]],0),FALSE)</f>
        <v>63</v>
      </c>
    </row>
    <row r="222" spans="1:3" ht="15">
      <c r="A222" s="90" t="s">
        <v>2075</v>
      </c>
      <c r="B222" s="96" t="s">
        <v>244</v>
      </c>
      <c r="C222" s="89">
        <f>VLOOKUP(GroupVertices[[#This Row],[Vertex]],Vertices[],MATCH("ID",Vertices[[#Headers],[Vertex]:[Top Word Pairs in Tweet by Salience]],0),FALSE)</f>
        <v>45</v>
      </c>
    </row>
    <row r="223" spans="1:3" ht="15">
      <c r="A223" s="90" t="s">
        <v>2075</v>
      </c>
      <c r="B223" s="96" t="s">
        <v>418</v>
      </c>
      <c r="C223" s="89">
        <f>VLOOKUP(GroupVertices[[#This Row],[Vertex]],Vertices[],MATCH("ID",Vertices[[#Headers],[Vertex]:[Top Word Pairs in Tweet by Salience]],0),FALSE)</f>
        <v>47</v>
      </c>
    </row>
    <row r="224" spans="1:3" ht="15">
      <c r="A224" s="90" t="s">
        <v>2075</v>
      </c>
      <c r="B224" s="96" t="s">
        <v>417</v>
      </c>
      <c r="C224" s="89">
        <f>VLOOKUP(GroupVertices[[#This Row],[Vertex]],Vertices[],MATCH("ID",Vertices[[#Headers],[Vertex]:[Top Word Pairs in Tweet by Salience]],0),FALSE)</f>
        <v>46</v>
      </c>
    </row>
    <row r="225" spans="1:3" ht="15">
      <c r="A225" s="90" t="s">
        <v>2076</v>
      </c>
      <c r="B225" s="96" t="s">
        <v>388</v>
      </c>
      <c r="C225" s="89">
        <f>VLOOKUP(GroupVertices[[#This Row],[Vertex]],Vertices[],MATCH("ID",Vertices[[#Headers],[Vertex]:[Top Word Pairs in Tweet by Salience]],0),FALSE)</f>
        <v>219</v>
      </c>
    </row>
    <row r="226" spans="1:3" ht="15">
      <c r="A226" s="90" t="s">
        <v>2076</v>
      </c>
      <c r="B226" s="96" t="s">
        <v>387</v>
      </c>
      <c r="C226" s="89">
        <f>VLOOKUP(GroupVertices[[#This Row],[Vertex]],Vertices[],MATCH("ID",Vertices[[#Headers],[Vertex]:[Top Word Pairs in Tweet by Salience]],0),FALSE)</f>
        <v>218</v>
      </c>
    </row>
    <row r="227" spans="1:3" ht="15">
      <c r="A227" s="90" t="s">
        <v>2077</v>
      </c>
      <c r="B227" s="96" t="s">
        <v>296</v>
      </c>
      <c r="C227" s="89">
        <f>VLOOKUP(GroupVertices[[#This Row],[Vertex]],Vertices[],MATCH("ID",Vertices[[#Headers],[Vertex]:[Top Word Pairs in Tweet by Salience]],0),FALSE)</f>
        <v>118</v>
      </c>
    </row>
    <row r="228" spans="1:3" ht="15">
      <c r="A228" s="90" t="s">
        <v>2077</v>
      </c>
      <c r="B228" s="96" t="s">
        <v>435</v>
      </c>
      <c r="C228" s="89">
        <f>VLOOKUP(GroupVertices[[#This Row],[Vertex]],Vertices[],MATCH("ID",Vertices[[#Headers],[Vertex]:[Top Word Pairs in Tweet by Salience]],0),FALSE)</f>
        <v>119</v>
      </c>
    </row>
    <row r="229" spans="1:3" ht="15">
      <c r="A229" s="90" t="s">
        <v>2078</v>
      </c>
      <c r="B229" s="96" t="s">
        <v>264</v>
      </c>
      <c r="C229" s="89">
        <f>VLOOKUP(GroupVertices[[#This Row],[Vertex]],Vertices[],MATCH("ID",Vertices[[#Headers],[Vertex]:[Top Word Pairs in Tweet by Salience]],0),FALSE)</f>
        <v>74</v>
      </c>
    </row>
    <row r="230" spans="1:3" ht="15">
      <c r="A230" s="90" t="s">
        <v>2078</v>
      </c>
      <c r="B230" s="96" t="s">
        <v>424</v>
      </c>
      <c r="C230" s="89">
        <f>VLOOKUP(GroupVertices[[#This Row],[Vertex]],Vertices[],MATCH("ID",Vertices[[#Headers],[Vertex]:[Top Word Pairs in Tweet by Salience]],0),FALSE)</f>
        <v>75</v>
      </c>
    </row>
    <row r="231" spans="1:3" ht="15">
      <c r="A231" s="90" t="s">
        <v>2079</v>
      </c>
      <c r="B231" s="96" t="s">
        <v>249</v>
      </c>
      <c r="C231" s="89">
        <f>VLOOKUP(GroupVertices[[#This Row],[Vertex]],Vertices[],MATCH("ID",Vertices[[#Headers],[Vertex]:[Top Word Pairs in Tweet by Salience]],0),FALSE)</f>
        <v>52</v>
      </c>
    </row>
    <row r="232" spans="1:3" ht="15">
      <c r="A232" s="90" t="s">
        <v>2079</v>
      </c>
      <c r="B232" s="96" t="s">
        <v>419</v>
      </c>
      <c r="C232" s="89">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232"/>
    <dataValidation allowBlank="1" showInputMessage="1" showErrorMessage="1" promptTitle="Vertex Name" prompt="Enter the name of a vertex to include in the group." sqref="B2:B232"/>
    <dataValidation allowBlank="1" showInputMessage="1" promptTitle="Vertex ID" prompt="This is the value of the hidden ID cell in the Vertices worksheet.  It gets filled in by the items on the NodeXL, Analysis, Groups menu." sqref="C2:C2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3881</v>
      </c>
      <c r="B2" s="35" t="s">
        <v>2043</v>
      </c>
      <c r="D2" s="32">
        <f>MIN(Vertices[Degree])</f>
        <v>0</v>
      </c>
      <c r="E2" s="3">
        <f>COUNTIF(Vertices[Degree],"&gt;= "&amp;D2)-COUNTIF(Vertices[Degree],"&gt;="&amp;D3)</f>
        <v>0</v>
      </c>
      <c r="F2" s="38">
        <f>MIN(Vertices[In-Degree])</f>
        <v>0</v>
      </c>
      <c r="G2" s="39">
        <f>COUNTIF(Vertices[In-Degree],"&gt;= "&amp;F2)-COUNTIF(Vertices[In-Degree],"&gt;="&amp;F3)</f>
        <v>207</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205</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111</v>
      </c>
      <c r="P2" s="38">
        <f>MIN(Vertices[PageRank])</f>
        <v>0.003753</v>
      </c>
      <c r="Q2" s="39">
        <f>COUNTIF(Vertices[PageRank],"&gt;= "&amp;P2)-COUNTIF(Vertices[PageRank],"&gt;="&amp;P3)</f>
        <v>204</v>
      </c>
      <c r="R2" s="38">
        <f>MIN(Vertices[Clustering Coefficient])</f>
        <v>0</v>
      </c>
      <c r="S2" s="44">
        <f>COUNTIF(Vertices[Clustering Coefficient],"&gt;= "&amp;R2)-COUNTIF(Vertices[Clustering Coefficient],"&gt;="&amp;R3)</f>
        <v>211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10</v>
      </c>
      <c r="H3" s="40">
        <f aca="true" t="shared" si="3" ref="H3:H35">H2+($H$36-$H$2)/BinDivisor</f>
        <v>0.2647058823529412</v>
      </c>
      <c r="I3" s="41">
        <f>COUNTIF(Vertices[Out-Degree],"&gt;= "&amp;H3)-COUNTIF(Vertices[Out-Degree],"&gt;="&amp;H4)</f>
        <v>0</v>
      </c>
      <c r="J3" s="40">
        <f aca="true" t="shared" si="4" ref="J3:J35">J2+($J$36-$J$2)/BinDivisor</f>
        <v>463.6398695882353</v>
      </c>
      <c r="K3" s="41">
        <f>COUNTIF(Vertices[Betweenness Centrality],"&gt;= "&amp;J3)-COUNTIF(Vertices[Betweenness Centrality],"&gt;="&amp;J4)</f>
        <v>7</v>
      </c>
      <c r="L3" s="40">
        <f aca="true" t="shared" si="5" ref="L3:L35">L2+($L$36-$L$2)/BinDivisor</f>
        <v>0.00910485294117647</v>
      </c>
      <c r="M3" s="41">
        <f>COUNTIF(Vertices[Closeness Centrality],"&gt;= "&amp;L3)-COUNTIF(Vertices[Closeness Centrality],"&gt;="&amp;L4)</f>
        <v>3</v>
      </c>
      <c r="N3" s="40">
        <f aca="true" t="shared" si="6" ref="N3:N35">N2+($N$36-$N$2)/BinDivisor</f>
        <v>0.01933255882352941</v>
      </c>
      <c r="O3" s="41">
        <f>COUNTIF(Vertices[Eigenvector Centrality],"&gt;= "&amp;N3)-COUNTIF(Vertices[Eigenvector Centrality],"&gt;="&amp;N4)</f>
        <v>57</v>
      </c>
      <c r="P3" s="40">
        <f aca="true" t="shared" si="7" ref="P3:P35">P2+($P$36-$P$2)/BinDivisor</f>
        <v>0.004472441176470588</v>
      </c>
      <c r="Q3" s="41">
        <f>COUNTIF(Vertices[PageRank],"&gt;= "&amp;P3)-COUNTIF(Vertices[PageRank],"&gt;="&amp;P4)</f>
        <v>17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231</v>
      </c>
      <c r="D4" s="33">
        <f t="shared" si="1"/>
        <v>0</v>
      </c>
      <c r="E4" s="3">
        <f>COUNTIF(Vertices[Degree],"&gt;= "&amp;D4)-COUNTIF(Vertices[Degree],"&gt;="&amp;D5)</f>
        <v>0</v>
      </c>
      <c r="F4" s="38">
        <f t="shared" si="2"/>
        <v>2.9411764705882355</v>
      </c>
      <c r="G4" s="39">
        <f>COUNTIF(Vertices[In-Degree],"&gt;= "&amp;F4)-COUNTIF(Vertices[In-Degree],"&gt;="&amp;F5)</f>
        <v>7</v>
      </c>
      <c r="H4" s="38">
        <f t="shared" si="3"/>
        <v>0.5294117647058824</v>
      </c>
      <c r="I4" s="39">
        <f>COUNTIF(Vertices[Out-Degree],"&gt;= "&amp;H4)-COUNTIF(Vertices[Out-Degree],"&gt;="&amp;H5)</f>
        <v>0</v>
      </c>
      <c r="J4" s="38">
        <f t="shared" si="4"/>
        <v>927.2797391764706</v>
      </c>
      <c r="K4" s="39">
        <f>COUNTIF(Vertices[Betweenness Centrality],"&gt;= "&amp;J4)-COUNTIF(Vertices[Betweenness Centrality],"&gt;="&amp;J5)</f>
        <v>6</v>
      </c>
      <c r="L4" s="38">
        <f t="shared" si="5"/>
        <v>0.01820970588235294</v>
      </c>
      <c r="M4" s="39">
        <f>COUNTIF(Vertices[Closeness Centrality],"&gt;= "&amp;L4)-COUNTIF(Vertices[Closeness Centrality],"&gt;="&amp;L5)</f>
        <v>9</v>
      </c>
      <c r="N4" s="38">
        <f t="shared" si="6"/>
        <v>0.03866511764705882</v>
      </c>
      <c r="O4" s="39">
        <f>COUNTIF(Vertices[Eigenvector Centrality],"&gt;= "&amp;N4)-COUNTIF(Vertices[Eigenvector Centrality],"&gt;="&amp;N5)</f>
        <v>9</v>
      </c>
      <c r="P4" s="38">
        <f t="shared" si="7"/>
        <v>0.005191882352941176</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4.411764705882353</v>
      </c>
      <c r="G5" s="41">
        <f>COUNTIF(Vertices[In-Degree],"&gt;= "&amp;F5)-COUNTIF(Vertices[In-Degree],"&gt;="&amp;F6)</f>
        <v>0</v>
      </c>
      <c r="H5" s="40">
        <f t="shared" si="3"/>
        <v>0.7941176470588236</v>
      </c>
      <c r="I5" s="41">
        <f>COUNTIF(Vertices[Out-Degree],"&gt;= "&amp;H5)-COUNTIF(Vertices[Out-Degree],"&gt;="&amp;H6)</f>
        <v>144</v>
      </c>
      <c r="J5" s="40">
        <f t="shared" si="4"/>
        <v>1390.9196087647058</v>
      </c>
      <c r="K5" s="41">
        <f>COUNTIF(Vertices[Betweenness Centrality],"&gt;= "&amp;J5)-COUNTIF(Vertices[Betweenness Centrality],"&gt;="&amp;J6)</f>
        <v>3</v>
      </c>
      <c r="L5" s="40">
        <f t="shared" si="5"/>
        <v>0.02731455882352941</v>
      </c>
      <c r="M5" s="41">
        <f>COUNTIF(Vertices[Closeness Centrality],"&gt;= "&amp;L5)-COUNTIF(Vertices[Closeness Centrality],"&gt;="&amp;L6)</f>
        <v>0</v>
      </c>
      <c r="N5" s="40">
        <f t="shared" si="6"/>
        <v>0.05799767647058823</v>
      </c>
      <c r="O5" s="41">
        <f>COUNTIF(Vertices[Eigenvector Centrality],"&gt;= "&amp;N5)-COUNTIF(Vertices[Eigenvector Centrality],"&gt;="&amp;N6)</f>
        <v>1</v>
      </c>
      <c r="P5" s="40">
        <f t="shared" si="7"/>
        <v>0.005911323529411765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241</v>
      </c>
      <c r="D6" s="33">
        <f t="shared" si="1"/>
        <v>0</v>
      </c>
      <c r="E6" s="3">
        <f>COUNTIF(Vertices[Degree],"&gt;= "&amp;D6)-COUNTIF(Vertices[Degree],"&gt;="&amp;D7)</f>
        <v>0</v>
      </c>
      <c r="F6" s="38">
        <f t="shared" si="2"/>
        <v>5.882352941176471</v>
      </c>
      <c r="G6" s="39">
        <f>COUNTIF(Vertices[In-Degree],"&gt;= "&amp;F6)-COUNTIF(Vertices[In-Degree],"&gt;="&amp;F7)</f>
        <v>1</v>
      </c>
      <c r="H6" s="38">
        <f t="shared" si="3"/>
        <v>1.0588235294117647</v>
      </c>
      <c r="I6" s="39">
        <f>COUNTIF(Vertices[Out-Degree],"&gt;= "&amp;H6)-COUNTIF(Vertices[Out-Degree],"&gt;="&amp;H7)</f>
        <v>0</v>
      </c>
      <c r="J6" s="38">
        <f t="shared" si="4"/>
        <v>1854.5594783529411</v>
      </c>
      <c r="K6" s="39">
        <f>COUNTIF(Vertices[Betweenness Centrality],"&gt;= "&amp;J6)-COUNTIF(Vertices[Betweenness Centrality],"&gt;="&amp;J7)</f>
        <v>0</v>
      </c>
      <c r="L6" s="38">
        <f t="shared" si="5"/>
        <v>0.03641941176470588</v>
      </c>
      <c r="M6" s="39">
        <f>COUNTIF(Vertices[Closeness Centrality],"&gt;= "&amp;L6)-COUNTIF(Vertices[Closeness Centrality],"&gt;="&amp;L7)</f>
        <v>1</v>
      </c>
      <c r="N6" s="38">
        <f t="shared" si="6"/>
        <v>0.07733023529411764</v>
      </c>
      <c r="O6" s="39">
        <f>COUNTIF(Vertices[Eigenvector Centrality],"&gt;= "&amp;N6)-COUNTIF(Vertices[Eigenvector Centrality],"&gt;="&amp;N7)</f>
        <v>42</v>
      </c>
      <c r="P6" s="38">
        <f t="shared" si="7"/>
        <v>0.006630764705882353</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50</v>
      </c>
      <c r="D7" s="33">
        <f t="shared" si="1"/>
        <v>0</v>
      </c>
      <c r="E7" s="3">
        <f>COUNTIF(Vertices[Degree],"&gt;= "&amp;D7)-COUNTIF(Vertices[Degree],"&gt;="&amp;D8)</f>
        <v>0</v>
      </c>
      <c r="F7" s="40">
        <f t="shared" si="2"/>
        <v>7.352941176470589</v>
      </c>
      <c r="G7" s="41">
        <f>COUNTIF(Vertices[In-Degree],"&gt;= "&amp;F7)-COUNTIF(Vertices[In-Degree],"&gt;="&amp;F8)</f>
        <v>0</v>
      </c>
      <c r="H7" s="40">
        <f t="shared" si="3"/>
        <v>1.3235294117647058</v>
      </c>
      <c r="I7" s="41">
        <f>COUNTIF(Vertices[Out-Degree],"&gt;= "&amp;H7)-COUNTIF(Vertices[Out-Degree],"&gt;="&amp;H8)</f>
        <v>0</v>
      </c>
      <c r="J7" s="40">
        <f t="shared" si="4"/>
        <v>2318.1993479411763</v>
      </c>
      <c r="K7" s="41">
        <f>COUNTIF(Vertices[Betweenness Centrality],"&gt;= "&amp;J7)-COUNTIF(Vertices[Betweenness Centrality],"&gt;="&amp;J8)</f>
        <v>3</v>
      </c>
      <c r="L7" s="40">
        <f t="shared" si="5"/>
        <v>0.04552426470588235</v>
      </c>
      <c r="M7" s="41">
        <f>COUNTIF(Vertices[Closeness Centrality],"&gt;= "&amp;L7)-COUNTIF(Vertices[Closeness Centrality],"&gt;="&amp;L8)</f>
        <v>0</v>
      </c>
      <c r="N7" s="40">
        <f t="shared" si="6"/>
        <v>0.09666279411764706</v>
      </c>
      <c r="O7" s="41">
        <f>COUNTIF(Vertices[Eigenvector Centrality],"&gt;= "&amp;N7)-COUNTIF(Vertices[Eigenvector Centrality],"&gt;="&amp;N8)</f>
        <v>5</v>
      </c>
      <c r="P7" s="40">
        <f t="shared" si="7"/>
        <v>0.007350205882352942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291</v>
      </c>
      <c r="D8" s="33">
        <f t="shared" si="1"/>
        <v>0</v>
      </c>
      <c r="E8" s="3">
        <f>COUNTIF(Vertices[Degree],"&gt;= "&amp;D8)-COUNTIF(Vertices[Degree],"&gt;="&amp;D9)</f>
        <v>0</v>
      </c>
      <c r="F8" s="38">
        <f t="shared" si="2"/>
        <v>8.823529411764707</v>
      </c>
      <c r="G8" s="39">
        <f>COUNTIF(Vertices[In-Degree],"&gt;= "&amp;F8)-COUNTIF(Vertices[In-Degree],"&gt;="&amp;F9)</f>
        <v>1</v>
      </c>
      <c r="H8" s="38">
        <f t="shared" si="3"/>
        <v>1.588235294117647</v>
      </c>
      <c r="I8" s="39">
        <f>COUNTIF(Vertices[Out-Degree],"&gt;= "&amp;H8)-COUNTIF(Vertices[Out-Degree],"&gt;="&amp;H9)</f>
        <v>0</v>
      </c>
      <c r="J8" s="38">
        <f t="shared" si="4"/>
        <v>2781.8392175294116</v>
      </c>
      <c r="K8" s="39">
        <f>COUNTIF(Vertices[Betweenness Centrality],"&gt;= "&amp;J8)-COUNTIF(Vertices[Betweenness Centrality],"&gt;="&amp;J9)</f>
        <v>1</v>
      </c>
      <c r="L8" s="38">
        <f t="shared" si="5"/>
        <v>0.054629117647058814</v>
      </c>
      <c r="M8" s="39">
        <f>COUNTIF(Vertices[Closeness Centrality],"&gt;= "&amp;L8)-COUNTIF(Vertices[Closeness Centrality],"&gt;="&amp;L9)</f>
        <v>0</v>
      </c>
      <c r="N8" s="38">
        <f t="shared" si="6"/>
        <v>0.11599535294117647</v>
      </c>
      <c r="O8" s="39">
        <f>COUNTIF(Vertices[Eigenvector Centrality],"&gt;= "&amp;N8)-COUNTIF(Vertices[Eigenvector Centrality],"&gt;="&amp;N9)</f>
        <v>2</v>
      </c>
      <c r="P8" s="38">
        <f t="shared" si="7"/>
        <v>0.00806964705882353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10.294117647058824</v>
      </c>
      <c r="G9" s="41">
        <f>COUNTIF(Vertices[In-Degree],"&gt;= "&amp;F9)-COUNTIF(Vertices[In-Degree],"&gt;="&amp;F10)</f>
        <v>0</v>
      </c>
      <c r="H9" s="40">
        <f t="shared" si="3"/>
        <v>1.852941176470588</v>
      </c>
      <c r="I9" s="41">
        <f>COUNTIF(Vertices[Out-Degree],"&gt;= "&amp;H9)-COUNTIF(Vertices[Out-Degree],"&gt;="&amp;H10)</f>
        <v>31</v>
      </c>
      <c r="J9" s="40">
        <f t="shared" si="4"/>
        <v>3245.479087117647</v>
      </c>
      <c r="K9" s="41">
        <f>COUNTIF(Vertices[Betweenness Centrality],"&gt;= "&amp;J9)-COUNTIF(Vertices[Betweenness Centrality],"&gt;="&amp;J10)</f>
        <v>1</v>
      </c>
      <c r="L9" s="40">
        <f t="shared" si="5"/>
        <v>0.06373397058823528</v>
      </c>
      <c r="M9" s="41">
        <f>COUNTIF(Vertices[Closeness Centrality],"&gt;= "&amp;L9)-COUNTIF(Vertices[Closeness Centrality],"&gt;="&amp;L10)</f>
        <v>0</v>
      </c>
      <c r="N9" s="40">
        <f t="shared" si="6"/>
        <v>0.13532791176470588</v>
      </c>
      <c r="O9" s="41">
        <f>COUNTIF(Vertices[Eigenvector Centrality],"&gt;= "&amp;N9)-COUNTIF(Vertices[Eigenvector Centrality],"&gt;="&amp;N10)</f>
        <v>1</v>
      </c>
      <c r="P9" s="40">
        <f t="shared" si="7"/>
        <v>0.008789088235294118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3882</v>
      </c>
      <c r="B10" s="35">
        <v>5</v>
      </c>
      <c r="D10" s="33">
        <f t="shared" si="1"/>
        <v>0</v>
      </c>
      <c r="E10" s="3">
        <f>COUNTIF(Vertices[Degree],"&gt;= "&amp;D10)-COUNTIF(Vertices[Degree],"&gt;="&amp;D11)</f>
        <v>0</v>
      </c>
      <c r="F10" s="38">
        <f t="shared" si="2"/>
        <v>11.764705882352942</v>
      </c>
      <c r="G10" s="39">
        <f>COUNTIF(Vertices[In-Degree],"&gt;= "&amp;F10)-COUNTIF(Vertices[In-Degree],"&gt;="&amp;F11)</f>
        <v>1</v>
      </c>
      <c r="H10" s="38">
        <f t="shared" si="3"/>
        <v>2.1176470588235294</v>
      </c>
      <c r="I10" s="39">
        <f>COUNTIF(Vertices[Out-Degree],"&gt;= "&amp;H10)-COUNTIF(Vertices[Out-Degree],"&gt;="&amp;H11)</f>
        <v>0</v>
      </c>
      <c r="J10" s="38">
        <f t="shared" si="4"/>
        <v>3709.1189567058823</v>
      </c>
      <c r="K10" s="39">
        <f>COUNTIF(Vertices[Betweenness Centrality],"&gt;= "&amp;J10)-COUNTIF(Vertices[Betweenness Centrality],"&gt;="&amp;J11)</f>
        <v>0</v>
      </c>
      <c r="L10" s="38">
        <f t="shared" si="5"/>
        <v>0.07283882352941175</v>
      </c>
      <c r="M10" s="39">
        <f>COUNTIF(Vertices[Closeness Centrality],"&gt;= "&amp;L10)-COUNTIF(Vertices[Closeness Centrality],"&gt;="&amp;L11)</f>
        <v>0</v>
      </c>
      <c r="N10" s="38">
        <f t="shared" si="6"/>
        <v>0.1546604705882353</v>
      </c>
      <c r="O10" s="39">
        <f>COUNTIF(Vertices[Eigenvector Centrality],"&gt;= "&amp;N10)-COUNTIF(Vertices[Eigenvector Centrality],"&gt;="&amp;N11)</f>
        <v>1</v>
      </c>
      <c r="P10" s="38">
        <f t="shared" si="7"/>
        <v>0.009508529411764706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13.23529411764706</v>
      </c>
      <c r="G11" s="41">
        <f>COUNTIF(Vertices[In-Degree],"&gt;= "&amp;F11)-COUNTIF(Vertices[In-Degree],"&gt;="&amp;F12)</f>
        <v>0</v>
      </c>
      <c r="H11" s="40">
        <f t="shared" si="3"/>
        <v>2.3823529411764706</v>
      </c>
      <c r="I11" s="41">
        <f>COUNTIF(Vertices[Out-Degree],"&gt;= "&amp;H11)-COUNTIF(Vertices[Out-Degree],"&gt;="&amp;H12)</f>
        <v>0</v>
      </c>
      <c r="J11" s="40">
        <f t="shared" si="4"/>
        <v>4172.758826294117</v>
      </c>
      <c r="K11" s="41">
        <f>COUNTIF(Vertices[Betweenness Centrality],"&gt;= "&amp;J11)-COUNTIF(Vertices[Betweenness Centrality],"&gt;="&amp;J12)</f>
        <v>0</v>
      </c>
      <c r="L11" s="40">
        <f t="shared" si="5"/>
        <v>0.08194367647058821</v>
      </c>
      <c r="M11" s="41">
        <f>COUNTIF(Vertices[Closeness Centrality],"&gt;= "&amp;L11)-COUNTIF(Vertices[Closeness Centrality],"&gt;="&amp;L12)</f>
        <v>0</v>
      </c>
      <c r="N11" s="40">
        <f t="shared" si="6"/>
        <v>0.1739930294117647</v>
      </c>
      <c r="O11" s="41">
        <f>COUNTIF(Vertices[Eigenvector Centrality],"&gt;= "&amp;N11)-COUNTIF(Vertices[Eigenvector Centrality],"&gt;="&amp;N12)</f>
        <v>0</v>
      </c>
      <c r="P11" s="40">
        <f t="shared" si="7"/>
        <v>0.010227970588235293</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447</v>
      </c>
      <c r="B12" s="35">
        <v>144</v>
      </c>
      <c r="D12" s="33">
        <f t="shared" si="1"/>
        <v>0</v>
      </c>
      <c r="E12" s="3">
        <f>COUNTIF(Vertices[Degree],"&gt;= "&amp;D12)-COUNTIF(Vertices[Degree],"&gt;="&amp;D13)</f>
        <v>0</v>
      </c>
      <c r="F12" s="38">
        <f t="shared" si="2"/>
        <v>14.705882352941178</v>
      </c>
      <c r="G12" s="39">
        <f>COUNTIF(Vertices[In-Degree],"&gt;= "&amp;F12)-COUNTIF(Vertices[In-Degree],"&gt;="&amp;F13)</f>
        <v>0</v>
      </c>
      <c r="H12" s="38">
        <f t="shared" si="3"/>
        <v>2.6470588235294117</v>
      </c>
      <c r="I12" s="39">
        <f>COUNTIF(Vertices[Out-Degree],"&gt;= "&amp;H12)-COUNTIF(Vertices[Out-Degree],"&gt;="&amp;H13)</f>
        <v>0</v>
      </c>
      <c r="J12" s="38">
        <f t="shared" si="4"/>
        <v>4636.3986958823525</v>
      </c>
      <c r="K12" s="39">
        <f>COUNTIF(Vertices[Betweenness Centrality],"&gt;= "&amp;J12)-COUNTIF(Vertices[Betweenness Centrality],"&gt;="&amp;J13)</f>
        <v>0</v>
      </c>
      <c r="L12" s="38">
        <f t="shared" si="5"/>
        <v>0.09104852941176468</v>
      </c>
      <c r="M12" s="39">
        <f>COUNTIF(Vertices[Closeness Centrality],"&gt;= "&amp;L12)-COUNTIF(Vertices[Closeness Centrality],"&gt;="&amp;L13)</f>
        <v>0</v>
      </c>
      <c r="N12" s="38">
        <f t="shared" si="6"/>
        <v>0.1933255882352941</v>
      </c>
      <c r="O12" s="39">
        <f>COUNTIF(Vertices[Eigenvector Centrality],"&gt;= "&amp;N12)-COUNTIF(Vertices[Eigenvector Centrality],"&gt;="&amp;N13)</f>
        <v>0</v>
      </c>
      <c r="P12" s="38">
        <f t="shared" si="7"/>
        <v>0.01094741176470588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178</v>
      </c>
      <c r="B13" s="35">
        <v>28</v>
      </c>
      <c r="D13" s="33">
        <f t="shared" si="1"/>
        <v>0</v>
      </c>
      <c r="E13" s="3">
        <f>COUNTIF(Vertices[Degree],"&gt;= "&amp;D13)-COUNTIF(Vertices[Degree],"&gt;="&amp;D14)</f>
        <v>0</v>
      </c>
      <c r="F13" s="40">
        <f t="shared" si="2"/>
        <v>16.176470588235297</v>
      </c>
      <c r="G13" s="41">
        <f>COUNTIF(Vertices[In-Degree],"&gt;= "&amp;F13)-COUNTIF(Vertices[In-Degree],"&gt;="&amp;F14)</f>
        <v>0</v>
      </c>
      <c r="H13" s="40">
        <f t="shared" si="3"/>
        <v>2.911764705882353</v>
      </c>
      <c r="I13" s="41">
        <f>COUNTIF(Vertices[Out-Degree],"&gt;= "&amp;H13)-COUNTIF(Vertices[Out-Degree],"&gt;="&amp;H14)</f>
        <v>10</v>
      </c>
      <c r="J13" s="40">
        <f t="shared" si="4"/>
        <v>5100.038565470588</v>
      </c>
      <c r="K13" s="41">
        <f>COUNTIF(Vertices[Betweenness Centrality],"&gt;= "&amp;J13)-COUNTIF(Vertices[Betweenness Centrality],"&gt;="&amp;J14)</f>
        <v>0</v>
      </c>
      <c r="L13" s="40">
        <f t="shared" si="5"/>
        <v>0.10015338235294115</v>
      </c>
      <c r="M13" s="41">
        <f>COUNTIF(Vertices[Closeness Centrality],"&gt;= "&amp;L13)-COUNTIF(Vertices[Closeness Centrality],"&gt;="&amp;L14)</f>
        <v>0</v>
      </c>
      <c r="N13" s="40">
        <f t="shared" si="6"/>
        <v>0.21265814705882352</v>
      </c>
      <c r="O13" s="41">
        <f>COUNTIF(Vertices[Eigenvector Centrality],"&gt;= "&amp;N13)-COUNTIF(Vertices[Eigenvector Centrality],"&gt;="&amp;N14)</f>
        <v>0</v>
      </c>
      <c r="P13" s="40">
        <f t="shared" si="7"/>
        <v>0.011666852941176468</v>
      </c>
      <c r="Q13" s="41">
        <f>COUNTIF(Vertices[PageRank],"&gt;= "&amp;P13)-COUNTIF(Vertices[PageRank],"&gt;="&amp;P14)</f>
        <v>0</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448</v>
      </c>
      <c r="B14" s="35">
        <v>71</v>
      </c>
      <c r="D14" s="33">
        <f t="shared" si="1"/>
        <v>0</v>
      </c>
      <c r="E14" s="3">
        <f>COUNTIF(Vertices[Degree],"&gt;= "&amp;D14)-COUNTIF(Vertices[Degree],"&gt;="&amp;D15)</f>
        <v>0</v>
      </c>
      <c r="F14" s="38">
        <f t="shared" si="2"/>
        <v>17.647058823529413</v>
      </c>
      <c r="G14" s="39">
        <f>COUNTIF(Vertices[In-Degree],"&gt;= "&amp;F14)-COUNTIF(Vertices[In-Degree],"&gt;="&amp;F15)</f>
        <v>0</v>
      </c>
      <c r="H14" s="38">
        <f t="shared" si="3"/>
        <v>3.176470588235294</v>
      </c>
      <c r="I14" s="39">
        <f>COUNTIF(Vertices[Out-Degree],"&gt;= "&amp;H14)-COUNTIF(Vertices[Out-Degree],"&gt;="&amp;H15)</f>
        <v>0</v>
      </c>
      <c r="J14" s="38">
        <f t="shared" si="4"/>
        <v>5563.678435058823</v>
      </c>
      <c r="K14" s="39">
        <f>COUNTIF(Vertices[Betweenness Centrality],"&gt;= "&amp;J14)-COUNTIF(Vertices[Betweenness Centrality],"&gt;="&amp;J15)</f>
        <v>0</v>
      </c>
      <c r="L14" s="38">
        <f t="shared" si="5"/>
        <v>0.10925823529411761</v>
      </c>
      <c r="M14" s="39">
        <f>COUNTIF(Vertices[Closeness Centrality],"&gt;= "&amp;L14)-COUNTIF(Vertices[Closeness Centrality],"&gt;="&amp;L15)</f>
        <v>0</v>
      </c>
      <c r="N14" s="38">
        <f t="shared" si="6"/>
        <v>0.23199070588235293</v>
      </c>
      <c r="O14" s="39">
        <f>COUNTIF(Vertices[Eigenvector Centrality],"&gt;= "&amp;N14)-COUNTIF(Vertices[Eigenvector Centrality],"&gt;="&amp;N15)</f>
        <v>1</v>
      </c>
      <c r="P14" s="38">
        <f t="shared" si="7"/>
        <v>0.012386294117647056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449</v>
      </c>
      <c r="B15" s="35">
        <v>47</v>
      </c>
      <c r="D15" s="33">
        <f t="shared" si="1"/>
        <v>0</v>
      </c>
      <c r="E15" s="3">
        <f>COUNTIF(Vertices[Degree],"&gt;= "&amp;D15)-COUNTIF(Vertices[Degree],"&gt;="&amp;D16)</f>
        <v>0</v>
      </c>
      <c r="F15" s="40">
        <f t="shared" si="2"/>
        <v>19.11764705882353</v>
      </c>
      <c r="G15" s="41">
        <f>COUNTIF(Vertices[In-Degree],"&gt;= "&amp;F15)-COUNTIF(Vertices[In-Degree],"&gt;="&amp;F16)</f>
        <v>0</v>
      </c>
      <c r="H15" s="40">
        <f t="shared" si="3"/>
        <v>3.441176470588235</v>
      </c>
      <c r="I15" s="41">
        <f>COUNTIF(Vertices[Out-Degree],"&gt;= "&amp;H15)-COUNTIF(Vertices[Out-Degree],"&gt;="&amp;H16)</f>
        <v>0</v>
      </c>
      <c r="J15" s="40">
        <f t="shared" si="4"/>
        <v>6027.3183046470585</v>
      </c>
      <c r="K15" s="41">
        <f>COUNTIF(Vertices[Betweenness Centrality],"&gt;= "&amp;J15)-COUNTIF(Vertices[Betweenness Centrality],"&gt;="&amp;J16)</f>
        <v>1</v>
      </c>
      <c r="L15" s="40">
        <f t="shared" si="5"/>
        <v>0.11836308823529408</v>
      </c>
      <c r="M15" s="41">
        <f>COUNTIF(Vertices[Closeness Centrality],"&gt;= "&amp;L15)-COUNTIF(Vertices[Closeness Centrality],"&gt;="&amp;L16)</f>
        <v>0</v>
      </c>
      <c r="N15" s="40">
        <f t="shared" si="6"/>
        <v>0.25132326470588234</v>
      </c>
      <c r="O15" s="41">
        <f>COUNTIF(Vertices[Eigenvector Centrality],"&gt;= "&amp;N15)-COUNTIF(Vertices[Eigenvector Centrality],"&gt;="&amp;N16)</f>
        <v>0</v>
      </c>
      <c r="P15" s="40">
        <f t="shared" si="7"/>
        <v>0.013105735294117644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450</v>
      </c>
      <c r="B16" s="35">
        <v>1</v>
      </c>
      <c r="D16" s="33">
        <f t="shared" si="1"/>
        <v>0</v>
      </c>
      <c r="E16" s="3">
        <f>COUNTIF(Vertices[Degree],"&gt;= "&amp;D16)-COUNTIF(Vertices[Degree],"&gt;="&amp;D17)</f>
        <v>0</v>
      </c>
      <c r="F16" s="38">
        <f t="shared" si="2"/>
        <v>20.588235294117645</v>
      </c>
      <c r="G16" s="39">
        <f>COUNTIF(Vertices[In-Degree],"&gt;= "&amp;F16)-COUNTIF(Vertices[In-Degree],"&gt;="&amp;F17)</f>
        <v>1</v>
      </c>
      <c r="H16" s="38">
        <f t="shared" si="3"/>
        <v>3.705882352941176</v>
      </c>
      <c r="I16" s="39">
        <f>COUNTIF(Vertices[Out-Degree],"&gt;= "&amp;H16)-COUNTIF(Vertices[Out-Degree],"&gt;="&amp;H17)</f>
        <v>0</v>
      </c>
      <c r="J16" s="38">
        <f t="shared" si="4"/>
        <v>6490.958174235294</v>
      </c>
      <c r="K16" s="39">
        <f>COUNTIF(Vertices[Betweenness Centrality],"&gt;= "&amp;J16)-COUNTIF(Vertices[Betweenness Centrality],"&gt;="&amp;J17)</f>
        <v>0</v>
      </c>
      <c r="L16" s="38">
        <f t="shared" si="5"/>
        <v>0.12746794117647056</v>
      </c>
      <c r="M16" s="39">
        <f>COUNTIF(Vertices[Closeness Centrality],"&gt;= "&amp;L16)-COUNTIF(Vertices[Closeness Centrality],"&gt;="&amp;L17)</f>
        <v>1</v>
      </c>
      <c r="N16" s="38">
        <f t="shared" si="6"/>
        <v>0.27065582352941175</v>
      </c>
      <c r="O16" s="39">
        <f>COUNTIF(Vertices[Eigenvector Centrality],"&gt;= "&amp;N16)-COUNTIF(Vertices[Eigenvector Centrality],"&gt;="&amp;N17)</f>
        <v>0</v>
      </c>
      <c r="P16" s="38">
        <f t="shared" si="7"/>
        <v>0.013825176470588231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22.05882352941176</v>
      </c>
      <c r="G17" s="41">
        <f>COUNTIF(Vertices[In-Degree],"&gt;= "&amp;F17)-COUNTIF(Vertices[In-Degree],"&gt;="&amp;F18)</f>
        <v>0</v>
      </c>
      <c r="H17" s="40">
        <f t="shared" si="3"/>
        <v>3.9705882352941173</v>
      </c>
      <c r="I17" s="41">
        <f>COUNTIF(Vertices[Out-Degree],"&gt;= "&amp;H17)-COUNTIF(Vertices[Out-Degree],"&gt;="&amp;H18)</f>
        <v>1</v>
      </c>
      <c r="J17" s="40">
        <f t="shared" si="4"/>
        <v>6954.598043823529</v>
      </c>
      <c r="K17" s="41">
        <f>COUNTIF(Vertices[Betweenness Centrality],"&gt;= "&amp;J17)-COUNTIF(Vertices[Betweenness Centrality],"&gt;="&amp;J18)</f>
        <v>0</v>
      </c>
      <c r="L17" s="40">
        <f t="shared" si="5"/>
        <v>0.13657279411764703</v>
      </c>
      <c r="M17" s="41">
        <f>COUNTIF(Vertices[Closeness Centrality],"&gt;= "&amp;L17)-COUNTIF(Vertices[Closeness Centrality],"&gt;="&amp;L18)</f>
        <v>3</v>
      </c>
      <c r="N17" s="40">
        <f t="shared" si="6"/>
        <v>0.28998838235294117</v>
      </c>
      <c r="O17" s="41">
        <f>COUNTIF(Vertices[Eigenvector Centrality],"&gt;= "&amp;N17)-COUNTIF(Vertices[Eigenvector Centrality],"&gt;="&amp;N18)</f>
        <v>0</v>
      </c>
      <c r="P17" s="40">
        <f t="shared" si="7"/>
        <v>0.014544617647058819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23.529411764705877</v>
      </c>
      <c r="G18" s="39">
        <f>COUNTIF(Vertices[In-Degree],"&gt;= "&amp;F18)-COUNTIF(Vertices[In-Degree],"&gt;="&amp;F19)</f>
        <v>0</v>
      </c>
      <c r="H18" s="38">
        <f t="shared" si="3"/>
        <v>4.235294117647059</v>
      </c>
      <c r="I18" s="39">
        <f>COUNTIF(Vertices[Out-Degree],"&gt;= "&amp;H18)-COUNTIF(Vertices[Out-Degree],"&gt;="&amp;H19)</f>
        <v>0</v>
      </c>
      <c r="J18" s="38">
        <f t="shared" si="4"/>
        <v>7418.237913411765</v>
      </c>
      <c r="K18" s="39">
        <f>COUNTIF(Vertices[Betweenness Centrality],"&gt;= "&amp;J18)-COUNTIF(Vertices[Betweenness Centrality],"&gt;="&amp;J19)</f>
        <v>0</v>
      </c>
      <c r="L18" s="38">
        <f t="shared" si="5"/>
        <v>0.1456776470588235</v>
      </c>
      <c r="M18" s="39">
        <f>COUNTIF(Vertices[Closeness Centrality],"&gt;= "&amp;L18)-COUNTIF(Vertices[Closeness Centrality],"&gt;="&amp;L19)</f>
        <v>0</v>
      </c>
      <c r="N18" s="38">
        <f t="shared" si="6"/>
        <v>0.3093209411764706</v>
      </c>
      <c r="O18" s="39">
        <f>COUNTIF(Vertices[Eigenvector Centrality],"&gt;= "&amp;N18)-COUNTIF(Vertices[Eigenvector Centrality],"&gt;="&amp;N19)</f>
        <v>0</v>
      </c>
      <c r="P18" s="38">
        <f t="shared" si="7"/>
        <v>0.015264058823529407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24.999999999999993</v>
      </c>
      <c r="G19" s="41">
        <f>COUNTIF(Vertices[In-Degree],"&gt;= "&amp;F19)-COUNTIF(Vertices[In-Degree],"&gt;="&amp;F20)</f>
        <v>0</v>
      </c>
      <c r="H19" s="40">
        <f t="shared" si="3"/>
        <v>4.5</v>
      </c>
      <c r="I19" s="41">
        <f>COUNTIF(Vertices[Out-Degree],"&gt;= "&amp;H19)-COUNTIF(Vertices[Out-Degree],"&gt;="&amp;H20)</f>
        <v>0</v>
      </c>
      <c r="J19" s="40">
        <f t="shared" si="4"/>
        <v>7881.877783</v>
      </c>
      <c r="K19" s="41">
        <f>COUNTIF(Vertices[Betweenness Centrality],"&gt;= "&amp;J19)-COUNTIF(Vertices[Betweenness Centrality],"&gt;="&amp;J20)</f>
        <v>0</v>
      </c>
      <c r="L19" s="40">
        <f t="shared" si="5"/>
        <v>0.15478249999999996</v>
      </c>
      <c r="M19" s="41">
        <f>COUNTIF(Vertices[Closeness Centrality],"&gt;= "&amp;L19)-COUNTIF(Vertices[Closeness Centrality],"&gt;="&amp;L20)</f>
        <v>24</v>
      </c>
      <c r="N19" s="40">
        <f t="shared" si="6"/>
        <v>0.3286535</v>
      </c>
      <c r="O19" s="41">
        <f>COUNTIF(Vertices[Eigenvector Centrality],"&gt;= "&amp;N19)-COUNTIF(Vertices[Eigenvector Centrality],"&gt;="&amp;N20)</f>
        <v>0</v>
      </c>
      <c r="P19" s="40">
        <f t="shared" si="7"/>
        <v>0.015983499999999994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26.47058823529411</v>
      </c>
      <c r="G20" s="39">
        <f>COUNTIF(Vertices[In-Degree],"&gt;= "&amp;F20)-COUNTIF(Vertices[In-Degree],"&gt;="&amp;F21)</f>
        <v>0</v>
      </c>
      <c r="H20" s="38">
        <f t="shared" si="3"/>
        <v>4.764705882352941</v>
      </c>
      <c r="I20" s="39">
        <f>COUNTIF(Vertices[Out-Degree],"&gt;= "&amp;H20)-COUNTIF(Vertices[Out-Degree],"&gt;="&amp;H21)</f>
        <v>2</v>
      </c>
      <c r="J20" s="38">
        <f t="shared" si="4"/>
        <v>8345.517652588234</v>
      </c>
      <c r="K20" s="39">
        <f>COUNTIF(Vertices[Betweenness Centrality],"&gt;= "&amp;J20)-COUNTIF(Vertices[Betweenness Centrality],"&gt;="&amp;J21)</f>
        <v>1</v>
      </c>
      <c r="L20" s="38">
        <f t="shared" si="5"/>
        <v>0.16388735294117643</v>
      </c>
      <c r="M20" s="39">
        <f>COUNTIF(Vertices[Closeness Centrality],"&gt;= "&amp;L20)-COUNTIF(Vertices[Closeness Centrality],"&gt;="&amp;L21)</f>
        <v>6</v>
      </c>
      <c r="N20" s="38">
        <f t="shared" si="6"/>
        <v>0.3479860588235294</v>
      </c>
      <c r="O20" s="39">
        <f>COUNTIF(Vertices[Eigenvector Centrality],"&gt;= "&amp;N20)-COUNTIF(Vertices[Eigenvector Centrality],"&gt;="&amp;N21)</f>
        <v>0</v>
      </c>
      <c r="P20" s="38">
        <f t="shared" si="7"/>
        <v>0.016702941176470584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27.941176470588225</v>
      </c>
      <c r="G21" s="41">
        <f>COUNTIF(Vertices[In-Degree],"&gt;= "&amp;F21)-COUNTIF(Vertices[In-Degree],"&gt;="&amp;F22)</f>
        <v>0</v>
      </c>
      <c r="H21" s="40">
        <f t="shared" si="3"/>
        <v>5.029411764705882</v>
      </c>
      <c r="I21" s="41">
        <f>COUNTIF(Vertices[Out-Degree],"&gt;= "&amp;H21)-COUNTIF(Vertices[Out-Degree],"&gt;="&amp;H22)</f>
        <v>0</v>
      </c>
      <c r="J21" s="40">
        <f t="shared" si="4"/>
        <v>8809.157522176469</v>
      </c>
      <c r="K21" s="41">
        <f>COUNTIF(Vertices[Betweenness Centrality],"&gt;= "&amp;J21)-COUNTIF(Vertices[Betweenness Centrality],"&gt;="&amp;J22)</f>
        <v>0</v>
      </c>
      <c r="L21" s="40">
        <f t="shared" si="5"/>
        <v>0.1729922058823529</v>
      </c>
      <c r="M21" s="41">
        <f>COUNTIF(Vertices[Closeness Centrality],"&gt;= "&amp;L21)-COUNTIF(Vertices[Closeness Centrality],"&gt;="&amp;L22)</f>
        <v>1</v>
      </c>
      <c r="N21" s="40">
        <f t="shared" si="6"/>
        <v>0.3673186176470588</v>
      </c>
      <c r="O21" s="41">
        <f>COUNTIF(Vertices[Eigenvector Centrality],"&gt;= "&amp;N21)-COUNTIF(Vertices[Eigenvector Centrality],"&gt;="&amp;N22)</f>
        <v>0</v>
      </c>
      <c r="P21" s="40">
        <f t="shared" si="7"/>
        <v>0.017422382352941173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29.41176470588234</v>
      </c>
      <c r="G22" s="39">
        <f>COUNTIF(Vertices[In-Degree],"&gt;= "&amp;F22)-COUNTIF(Vertices[In-Degree],"&gt;="&amp;F23)</f>
        <v>1</v>
      </c>
      <c r="H22" s="38">
        <f t="shared" si="3"/>
        <v>5.294117647058823</v>
      </c>
      <c r="I22" s="39">
        <f>COUNTIF(Vertices[Out-Degree],"&gt;= "&amp;H22)-COUNTIF(Vertices[Out-Degree],"&gt;="&amp;H23)</f>
        <v>0</v>
      </c>
      <c r="J22" s="38">
        <f t="shared" si="4"/>
        <v>9272.797391764703</v>
      </c>
      <c r="K22" s="39">
        <f>COUNTIF(Vertices[Betweenness Centrality],"&gt;= "&amp;J22)-COUNTIF(Vertices[Betweenness Centrality],"&gt;="&amp;J23)</f>
        <v>0</v>
      </c>
      <c r="L22" s="38">
        <f t="shared" si="5"/>
        <v>0.18209705882352936</v>
      </c>
      <c r="M22" s="39">
        <f>COUNTIF(Vertices[Closeness Centrality],"&gt;= "&amp;L22)-COUNTIF(Vertices[Closeness Centrality],"&gt;="&amp;L23)</f>
        <v>1</v>
      </c>
      <c r="N22" s="38">
        <f t="shared" si="6"/>
        <v>0.3866511764705882</v>
      </c>
      <c r="O22" s="39">
        <f>COUNTIF(Vertices[Eigenvector Centrality],"&gt;= "&amp;N22)-COUNTIF(Vertices[Eigenvector Centrality],"&gt;="&amp;N23)</f>
        <v>0</v>
      </c>
      <c r="P22" s="38">
        <f t="shared" si="7"/>
        <v>0.018141823529411762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30.882352941176457</v>
      </c>
      <c r="G23" s="41">
        <f>COUNTIF(Vertices[In-Degree],"&gt;= "&amp;F23)-COUNTIF(Vertices[In-Degree],"&gt;="&amp;F24)</f>
        <v>0</v>
      </c>
      <c r="H23" s="40">
        <f t="shared" si="3"/>
        <v>5.5588235294117645</v>
      </c>
      <c r="I23" s="41">
        <f>COUNTIF(Vertices[Out-Degree],"&gt;= "&amp;H23)-COUNTIF(Vertices[Out-Degree],"&gt;="&amp;H24)</f>
        <v>0</v>
      </c>
      <c r="J23" s="40">
        <f t="shared" si="4"/>
        <v>9736.437261352938</v>
      </c>
      <c r="K23" s="41">
        <f>COUNTIF(Vertices[Betweenness Centrality],"&gt;= "&amp;J23)-COUNTIF(Vertices[Betweenness Centrality],"&gt;="&amp;J24)</f>
        <v>0</v>
      </c>
      <c r="L23" s="40">
        <f t="shared" si="5"/>
        <v>0.19120191176470583</v>
      </c>
      <c r="M23" s="41">
        <f>COUNTIF(Vertices[Closeness Centrality],"&gt;= "&amp;L23)-COUNTIF(Vertices[Closeness Centrality],"&gt;="&amp;L24)</f>
        <v>3</v>
      </c>
      <c r="N23" s="40">
        <f t="shared" si="6"/>
        <v>0.40598373529411763</v>
      </c>
      <c r="O23" s="41">
        <f>COUNTIF(Vertices[Eigenvector Centrality],"&gt;= "&amp;N23)-COUNTIF(Vertices[Eigenvector Centrality],"&gt;="&amp;N24)</f>
        <v>0</v>
      </c>
      <c r="P23" s="40">
        <f t="shared" si="7"/>
        <v>0.01886126470588235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32.35294117647057</v>
      </c>
      <c r="G24" s="39">
        <f>COUNTIF(Vertices[In-Degree],"&gt;= "&amp;F24)-COUNTIF(Vertices[In-Degree],"&gt;="&amp;F25)</f>
        <v>0</v>
      </c>
      <c r="H24" s="38">
        <f t="shared" si="3"/>
        <v>5.823529411764706</v>
      </c>
      <c r="I24" s="39">
        <f>COUNTIF(Vertices[Out-Degree],"&gt;= "&amp;H24)-COUNTIF(Vertices[Out-Degree],"&gt;="&amp;H25)</f>
        <v>1</v>
      </c>
      <c r="J24" s="38">
        <f t="shared" si="4"/>
        <v>10200.077130941172</v>
      </c>
      <c r="K24" s="39">
        <f>COUNTIF(Vertices[Betweenness Centrality],"&gt;= "&amp;J24)-COUNTIF(Vertices[Betweenness Centrality],"&gt;="&amp;J25)</f>
        <v>0</v>
      </c>
      <c r="L24" s="38">
        <f t="shared" si="5"/>
        <v>0.2003067647058823</v>
      </c>
      <c r="M24" s="39">
        <f>COUNTIF(Vertices[Closeness Centrality],"&gt;= "&amp;L24)-COUNTIF(Vertices[Closeness Centrality],"&gt;="&amp;L25)</f>
        <v>46</v>
      </c>
      <c r="N24" s="38">
        <f t="shared" si="6"/>
        <v>0.42531629411764704</v>
      </c>
      <c r="O24" s="39">
        <f>COUNTIF(Vertices[Eigenvector Centrality],"&gt;= "&amp;N24)-COUNTIF(Vertices[Eigenvector Centrality],"&gt;="&amp;N25)</f>
        <v>0</v>
      </c>
      <c r="P24" s="38">
        <f t="shared" si="7"/>
        <v>0.01958070588235294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33.82352941176469</v>
      </c>
      <c r="G25" s="41">
        <f>COUNTIF(Vertices[In-Degree],"&gt;= "&amp;F25)-COUNTIF(Vertices[In-Degree],"&gt;="&amp;F26)</f>
        <v>0</v>
      </c>
      <c r="H25" s="40">
        <f t="shared" si="3"/>
        <v>6.088235294117647</v>
      </c>
      <c r="I25" s="41">
        <f>COUNTIF(Vertices[Out-Degree],"&gt;= "&amp;H25)-COUNTIF(Vertices[Out-Degree],"&gt;="&amp;H26)</f>
        <v>0</v>
      </c>
      <c r="J25" s="40">
        <f t="shared" si="4"/>
        <v>10663.717000529407</v>
      </c>
      <c r="K25" s="41">
        <f>COUNTIF(Vertices[Betweenness Centrality],"&gt;= "&amp;J25)-COUNTIF(Vertices[Betweenness Centrality],"&gt;="&amp;J26)</f>
        <v>1</v>
      </c>
      <c r="L25" s="40">
        <f t="shared" si="5"/>
        <v>0.20941161764705876</v>
      </c>
      <c r="M25" s="41">
        <f>COUNTIF(Vertices[Closeness Centrality],"&gt;= "&amp;L25)-COUNTIF(Vertices[Closeness Centrality],"&gt;="&amp;L26)</f>
        <v>35</v>
      </c>
      <c r="N25" s="40">
        <f t="shared" si="6"/>
        <v>0.44464885294117645</v>
      </c>
      <c r="O25" s="41">
        <f>COUNTIF(Vertices[Eigenvector Centrality],"&gt;= "&amp;N25)-COUNTIF(Vertices[Eigenvector Centrality],"&gt;="&amp;N26)</f>
        <v>0</v>
      </c>
      <c r="P25" s="40">
        <f t="shared" si="7"/>
        <v>0.02030014705882353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35.294117647058805</v>
      </c>
      <c r="G26" s="39">
        <f>COUNTIF(Vertices[In-Degree],"&gt;= "&amp;F26)-COUNTIF(Vertices[In-Degree],"&gt;="&amp;F27)</f>
        <v>0</v>
      </c>
      <c r="H26" s="38">
        <f t="shared" si="3"/>
        <v>6.352941176470588</v>
      </c>
      <c r="I26" s="39">
        <f>COUNTIF(Vertices[Out-Degree],"&gt;= "&amp;H26)-COUNTIF(Vertices[Out-Degree],"&gt;="&amp;H27)</f>
        <v>0</v>
      </c>
      <c r="J26" s="38">
        <f t="shared" si="4"/>
        <v>11127.356870117641</v>
      </c>
      <c r="K26" s="39">
        <f>COUNTIF(Vertices[Betweenness Centrality],"&gt;= "&amp;J26)-COUNTIF(Vertices[Betweenness Centrality],"&gt;="&amp;J27)</f>
        <v>0</v>
      </c>
      <c r="L26" s="38">
        <f t="shared" si="5"/>
        <v>0.21851647058823523</v>
      </c>
      <c r="M26" s="39">
        <f>COUNTIF(Vertices[Closeness Centrality],"&gt;= "&amp;L26)-COUNTIF(Vertices[Closeness Centrality],"&gt;="&amp;L27)</f>
        <v>43</v>
      </c>
      <c r="N26" s="38">
        <f t="shared" si="6"/>
        <v>0.46398141176470586</v>
      </c>
      <c r="O26" s="39">
        <f>COUNTIF(Vertices[Eigenvector Centrality],"&gt;= "&amp;N26)-COUNTIF(Vertices[Eigenvector Centrality],"&gt;="&amp;N27)</f>
        <v>0</v>
      </c>
      <c r="P26" s="38">
        <f t="shared" si="7"/>
        <v>0.02101958823529412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36.76470588235292</v>
      </c>
      <c r="G27" s="41">
        <f>COUNTIF(Vertices[In-Degree],"&gt;= "&amp;F27)-COUNTIF(Vertices[In-Degree],"&gt;="&amp;F28)</f>
        <v>0</v>
      </c>
      <c r="H27" s="40">
        <f t="shared" si="3"/>
        <v>6.617647058823529</v>
      </c>
      <c r="I27" s="41">
        <f>COUNTIF(Vertices[Out-Degree],"&gt;= "&amp;H27)-COUNTIF(Vertices[Out-Degree],"&gt;="&amp;H28)</f>
        <v>0</v>
      </c>
      <c r="J27" s="40">
        <f t="shared" si="4"/>
        <v>11590.996739705875</v>
      </c>
      <c r="K27" s="41">
        <f>COUNTIF(Vertices[Betweenness Centrality],"&gt;= "&amp;J27)-COUNTIF(Vertices[Betweenness Centrality],"&gt;="&amp;J28)</f>
        <v>0</v>
      </c>
      <c r="L27" s="40">
        <f t="shared" si="5"/>
        <v>0.2276213235294117</v>
      </c>
      <c r="M27" s="41">
        <f>COUNTIF(Vertices[Closeness Centrality],"&gt;= "&amp;L27)-COUNTIF(Vertices[Closeness Centrality],"&gt;="&amp;L28)</f>
        <v>1</v>
      </c>
      <c r="N27" s="40">
        <f t="shared" si="6"/>
        <v>0.4833139705882353</v>
      </c>
      <c r="O27" s="41">
        <f>COUNTIF(Vertices[Eigenvector Centrality],"&gt;= "&amp;N27)-COUNTIF(Vertices[Eigenvector Centrality],"&gt;="&amp;N28)</f>
        <v>0</v>
      </c>
      <c r="P27" s="40">
        <f t="shared" si="7"/>
        <v>0.02173902941176471</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38.23529411764704</v>
      </c>
      <c r="G28" s="39">
        <f>COUNTIF(Vertices[In-Degree],"&gt;= "&amp;F28)-COUNTIF(Vertices[In-Degree],"&gt;="&amp;F29)</f>
        <v>0</v>
      </c>
      <c r="H28" s="38">
        <f t="shared" si="3"/>
        <v>6.88235294117647</v>
      </c>
      <c r="I28" s="39">
        <f>COUNTIF(Vertices[Out-Degree],"&gt;= "&amp;H28)-COUNTIF(Vertices[Out-Degree],"&gt;="&amp;H29)</f>
        <v>0</v>
      </c>
      <c r="J28" s="38">
        <f t="shared" si="4"/>
        <v>12054.63660929411</v>
      </c>
      <c r="K28" s="39">
        <f>COUNTIF(Vertices[Betweenness Centrality],"&gt;= "&amp;J28)-COUNTIF(Vertices[Betweenness Centrality],"&gt;="&amp;J29)</f>
        <v>0</v>
      </c>
      <c r="L28" s="38">
        <f t="shared" si="5"/>
        <v>0.23672617647058816</v>
      </c>
      <c r="M28" s="39">
        <f>COUNTIF(Vertices[Closeness Centrality],"&gt;= "&amp;L28)-COUNTIF(Vertices[Closeness Centrality],"&gt;="&amp;L29)</f>
        <v>5</v>
      </c>
      <c r="N28" s="38">
        <f t="shared" si="6"/>
        <v>0.5026465294117647</v>
      </c>
      <c r="O28" s="39">
        <f>COUNTIF(Vertices[Eigenvector Centrality],"&gt;= "&amp;N28)-COUNTIF(Vertices[Eigenvector Centrality],"&gt;="&amp;N29)</f>
        <v>0</v>
      </c>
      <c r="P28" s="38">
        <f t="shared" si="7"/>
        <v>0.0224584705882353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3.803654</v>
      </c>
      <c r="D29" s="33">
        <f t="shared" si="1"/>
        <v>0</v>
      </c>
      <c r="E29" s="3">
        <f>COUNTIF(Vertices[Degree],"&gt;= "&amp;D29)-COUNTIF(Vertices[Degree],"&gt;="&amp;D30)</f>
        <v>0</v>
      </c>
      <c r="F29" s="40">
        <f t="shared" si="2"/>
        <v>39.70588235294115</v>
      </c>
      <c r="G29" s="41">
        <f>COUNTIF(Vertices[In-Degree],"&gt;= "&amp;F29)-COUNTIF(Vertices[In-Degree],"&gt;="&amp;F30)</f>
        <v>0</v>
      </c>
      <c r="H29" s="40">
        <f t="shared" si="3"/>
        <v>7.147058823529411</v>
      </c>
      <c r="I29" s="41">
        <f>COUNTIF(Vertices[Out-Degree],"&gt;= "&amp;H29)-COUNTIF(Vertices[Out-Degree],"&gt;="&amp;H30)</f>
        <v>0</v>
      </c>
      <c r="J29" s="40">
        <f t="shared" si="4"/>
        <v>12518.276478882344</v>
      </c>
      <c r="K29" s="41">
        <f>COUNTIF(Vertices[Betweenness Centrality],"&gt;= "&amp;J29)-COUNTIF(Vertices[Betweenness Centrality],"&gt;="&amp;J30)</f>
        <v>0</v>
      </c>
      <c r="L29" s="40">
        <f t="shared" si="5"/>
        <v>0.24583102941176463</v>
      </c>
      <c r="M29" s="41">
        <f>COUNTIF(Vertices[Closeness Centrality],"&gt;= "&amp;L29)-COUNTIF(Vertices[Closeness Centrality],"&gt;="&amp;L30)</f>
        <v>2</v>
      </c>
      <c r="N29" s="40">
        <f t="shared" si="6"/>
        <v>0.5219790882352942</v>
      </c>
      <c r="O29" s="41">
        <f>COUNTIF(Vertices[Eigenvector Centrality],"&gt;= "&amp;N29)-COUNTIF(Vertices[Eigenvector Centrality],"&gt;="&amp;N30)</f>
        <v>0</v>
      </c>
      <c r="P29" s="40">
        <f t="shared" si="7"/>
        <v>0.023177911764705888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41.17647058823527</v>
      </c>
      <c r="G30" s="39">
        <f>COUNTIF(Vertices[In-Degree],"&gt;= "&amp;F30)-COUNTIF(Vertices[In-Degree],"&gt;="&amp;F31)</f>
        <v>1</v>
      </c>
      <c r="H30" s="38">
        <f t="shared" si="3"/>
        <v>7.411764705882352</v>
      </c>
      <c r="I30" s="39">
        <f>COUNTIF(Vertices[Out-Degree],"&gt;= "&amp;H30)-COUNTIF(Vertices[Out-Degree],"&gt;="&amp;H31)</f>
        <v>0</v>
      </c>
      <c r="J30" s="38">
        <f t="shared" si="4"/>
        <v>12981.916348470579</v>
      </c>
      <c r="K30" s="39">
        <f>COUNTIF(Vertices[Betweenness Centrality],"&gt;= "&amp;J30)-COUNTIF(Vertices[Betweenness Centrality],"&gt;="&amp;J31)</f>
        <v>1</v>
      </c>
      <c r="L30" s="38">
        <f t="shared" si="5"/>
        <v>0.2549358823529411</v>
      </c>
      <c r="M30" s="39">
        <f>COUNTIF(Vertices[Closeness Centrality],"&gt;= "&amp;L30)-COUNTIF(Vertices[Closeness Centrality],"&gt;="&amp;L31)</f>
        <v>1</v>
      </c>
      <c r="N30" s="38">
        <f t="shared" si="6"/>
        <v>0.5413116470588235</v>
      </c>
      <c r="O30" s="39">
        <f>COUNTIF(Vertices[Eigenvector Centrality],"&gt;= "&amp;N30)-COUNTIF(Vertices[Eigenvector Centrality],"&gt;="&amp;N31)</f>
        <v>0</v>
      </c>
      <c r="P30" s="38">
        <f t="shared" si="7"/>
        <v>0.023897352941176477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0.004517221908526256</v>
      </c>
      <c r="D31" s="33">
        <f t="shared" si="1"/>
        <v>0</v>
      </c>
      <c r="E31" s="3">
        <f>COUNTIF(Vertices[Degree],"&gt;= "&amp;D31)-COUNTIF(Vertices[Degree],"&gt;="&amp;D32)</f>
        <v>0</v>
      </c>
      <c r="F31" s="40">
        <f t="shared" si="2"/>
        <v>42.647058823529385</v>
      </c>
      <c r="G31" s="41">
        <f>COUNTIF(Vertices[In-Degree],"&gt;= "&amp;F31)-COUNTIF(Vertices[In-Degree],"&gt;="&amp;F32)</f>
        <v>0</v>
      </c>
      <c r="H31" s="40">
        <f t="shared" si="3"/>
        <v>7.6764705882352935</v>
      </c>
      <c r="I31" s="41">
        <f>COUNTIF(Vertices[Out-Degree],"&gt;= "&amp;H31)-COUNTIF(Vertices[Out-Degree],"&gt;="&amp;H32)</f>
        <v>0</v>
      </c>
      <c r="J31" s="40">
        <f t="shared" si="4"/>
        <v>13445.556218058813</v>
      </c>
      <c r="K31" s="41">
        <f>COUNTIF(Vertices[Betweenness Centrality],"&gt;= "&amp;J31)-COUNTIF(Vertices[Betweenness Centrality],"&gt;="&amp;J32)</f>
        <v>0</v>
      </c>
      <c r="L31" s="40">
        <f t="shared" si="5"/>
        <v>0.2640407352941176</v>
      </c>
      <c r="M31" s="41">
        <f>COUNTIF(Vertices[Closeness Centrality],"&gt;= "&amp;L31)-COUNTIF(Vertices[Closeness Centrality],"&gt;="&amp;L32)</f>
        <v>3</v>
      </c>
      <c r="N31" s="40">
        <f t="shared" si="6"/>
        <v>0.5606442058823529</v>
      </c>
      <c r="O31" s="41">
        <f>COUNTIF(Vertices[Eigenvector Centrality],"&gt;= "&amp;N31)-COUNTIF(Vertices[Eigenvector Centrality],"&gt;="&amp;N32)</f>
        <v>0</v>
      </c>
      <c r="P31" s="40">
        <f t="shared" si="7"/>
        <v>0.024616794117647067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3883</v>
      </c>
      <c r="B32" s="35">
        <v>0.675084</v>
      </c>
      <c r="D32" s="33">
        <f t="shared" si="1"/>
        <v>0</v>
      </c>
      <c r="E32" s="3">
        <f>COUNTIF(Vertices[Degree],"&gt;= "&amp;D32)-COUNTIF(Vertices[Degree],"&gt;="&amp;D33)</f>
        <v>0</v>
      </c>
      <c r="F32" s="38">
        <f t="shared" si="2"/>
        <v>44.1176470588235</v>
      </c>
      <c r="G32" s="39">
        <f>COUNTIF(Vertices[In-Degree],"&gt;= "&amp;F32)-COUNTIF(Vertices[In-Degree],"&gt;="&amp;F33)</f>
        <v>0</v>
      </c>
      <c r="H32" s="38">
        <f t="shared" si="3"/>
        <v>7.941176470588235</v>
      </c>
      <c r="I32" s="39">
        <f>COUNTIF(Vertices[Out-Degree],"&gt;= "&amp;H32)-COUNTIF(Vertices[Out-Degree],"&gt;="&amp;H33)</f>
        <v>0</v>
      </c>
      <c r="J32" s="38">
        <f t="shared" si="4"/>
        <v>13909.196087647048</v>
      </c>
      <c r="K32" s="39">
        <f>COUNTIF(Vertices[Betweenness Centrality],"&gt;= "&amp;J32)-COUNTIF(Vertices[Betweenness Centrality],"&gt;="&amp;J33)</f>
        <v>0</v>
      </c>
      <c r="L32" s="38">
        <f t="shared" si="5"/>
        <v>0.27314558823529406</v>
      </c>
      <c r="M32" s="39">
        <f>COUNTIF(Vertices[Closeness Centrality],"&gt;= "&amp;L32)-COUNTIF(Vertices[Closeness Centrality],"&gt;="&amp;L33)</f>
        <v>1</v>
      </c>
      <c r="N32" s="38">
        <f t="shared" si="6"/>
        <v>0.5799767647058822</v>
      </c>
      <c r="O32" s="39">
        <f>COUNTIF(Vertices[Eigenvector Centrality],"&gt;= "&amp;N32)-COUNTIF(Vertices[Eigenvector Centrality],"&gt;="&amp;N33)</f>
        <v>0</v>
      </c>
      <c r="P32" s="38">
        <f t="shared" si="7"/>
        <v>0.025336235294117656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45.58823529411762</v>
      </c>
      <c r="G33" s="41">
        <f>COUNTIF(Vertices[In-Degree],"&gt;= "&amp;F33)-COUNTIF(Vertices[In-Degree],"&gt;="&amp;F34)</f>
        <v>0</v>
      </c>
      <c r="H33" s="40">
        <f t="shared" si="3"/>
        <v>8.205882352941176</v>
      </c>
      <c r="I33" s="41">
        <f>COUNTIF(Vertices[Out-Degree],"&gt;= "&amp;H33)-COUNTIF(Vertices[Out-Degree],"&gt;="&amp;H34)</f>
        <v>0</v>
      </c>
      <c r="J33" s="40">
        <f t="shared" si="4"/>
        <v>14372.835957235282</v>
      </c>
      <c r="K33" s="41">
        <f>COUNTIF(Vertices[Betweenness Centrality],"&gt;= "&amp;J33)-COUNTIF(Vertices[Betweenness Centrality],"&gt;="&amp;J34)</f>
        <v>0</v>
      </c>
      <c r="L33" s="40">
        <f t="shared" si="5"/>
        <v>0.2822504411764705</v>
      </c>
      <c r="M33" s="41">
        <f>COUNTIF(Vertices[Closeness Centrality],"&gt;= "&amp;L33)-COUNTIF(Vertices[Closeness Centrality],"&gt;="&amp;L34)</f>
        <v>2</v>
      </c>
      <c r="N33" s="40">
        <f t="shared" si="6"/>
        <v>0.5993093235294116</v>
      </c>
      <c r="O33" s="41">
        <f>COUNTIF(Vertices[Eigenvector Centrality],"&gt;= "&amp;N33)-COUNTIF(Vertices[Eigenvector Centrality],"&gt;="&amp;N34)</f>
        <v>0</v>
      </c>
      <c r="P33" s="40">
        <f t="shared" si="7"/>
        <v>0.026055676470588245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3884</v>
      </c>
      <c r="B34" s="35" t="s">
        <v>3899</v>
      </c>
      <c r="D34" s="33">
        <f t="shared" si="1"/>
        <v>0</v>
      </c>
      <c r="E34" s="3">
        <f>COUNTIF(Vertices[Degree],"&gt;= "&amp;D34)-COUNTIF(Vertices[Degree],"&gt;="&amp;D35)</f>
        <v>0</v>
      </c>
      <c r="F34" s="38">
        <f t="shared" si="2"/>
        <v>47.05882352941173</v>
      </c>
      <c r="G34" s="39">
        <f>COUNTIF(Vertices[In-Degree],"&gt;= "&amp;F34)-COUNTIF(Vertices[In-Degree],"&gt;="&amp;F35)</f>
        <v>0</v>
      </c>
      <c r="H34" s="38">
        <f t="shared" si="3"/>
        <v>8.470588235294118</v>
      </c>
      <c r="I34" s="39">
        <f>COUNTIF(Vertices[Out-Degree],"&gt;= "&amp;H34)-COUNTIF(Vertices[Out-Degree],"&gt;="&amp;H35)</f>
        <v>0</v>
      </c>
      <c r="J34" s="38">
        <f t="shared" si="4"/>
        <v>14836.475826823516</v>
      </c>
      <c r="K34" s="39">
        <f>COUNTIF(Vertices[Betweenness Centrality],"&gt;= "&amp;J34)-COUNTIF(Vertices[Betweenness Centrality],"&gt;="&amp;J35)</f>
        <v>0</v>
      </c>
      <c r="L34" s="38">
        <f t="shared" si="5"/>
        <v>0.291355294117647</v>
      </c>
      <c r="M34" s="39">
        <f>COUNTIF(Vertices[Closeness Centrality],"&gt;= "&amp;L34)-COUNTIF(Vertices[Closeness Centrality],"&gt;="&amp;L35)</f>
        <v>0</v>
      </c>
      <c r="N34" s="38">
        <f t="shared" si="6"/>
        <v>0.6186418823529409</v>
      </c>
      <c r="O34" s="39">
        <f>COUNTIF(Vertices[Eigenvector Centrality],"&gt;= "&amp;N34)-COUNTIF(Vertices[Eigenvector Centrality],"&gt;="&amp;N35)</f>
        <v>0</v>
      </c>
      <c r="P34" s="38">
        <f t="shared" si="7"/>
        <v>0.026775117647058835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48.52941176470585</v>
      </c>
      <c r="G35" s="41">
        <f>COUNTIF(Vertices[In-Degree],"&gt;= "&amp;F35)-COUNTIF(Vertices[In-Degree],"&gt;="&amp;F36)</f>
        <v>0</v>
      </c>
      <c r="H35" s="40">
        <f t="shared" si="3"/>
        <v>8.73529411764706</v>
      </c>
      <c r="I35" s="41">
        <f>COUNTIF(Vertices[Out-Degree],"&gt;= "&amp;H35)-COUNTIF(Vertices[Out-Degree],"&gt;="&amp;H36)</f>
        <v>0</v>
      </c>
      <c r="J35" s="40">
        <f t="shared" si="4"/>
        <v>15300.11569641175</v>
      </c>
      <c r="K35" s="41">
        <f>COUNTIF(Vertices[Betweenness Centrality],"&gt;= "&amp;J35)-COUNTIF(Vertices[Betweenness Centrality],"&gt;="&amp;J36)</f>
        <v>0</v>
      </c>
      <c r="L35" s="40">
        <f t="shared" si="5"/>
        <v>0.30046014705882346</v>
      </c>
      <c r="M35" s="41">
        <f>COUNTIF(Vertices[Closeness Centrality],"&gt;= "&amp;L35)-COUNTIF(Vertices[Closeness Centrality],"&gt;="&amp;L36)</f>
        <v>0</v>
      </c>
      <c r="N35" s="40">
        <f t="shared" si="6"/>
        <v>0.6379744411764703</v>
      </c>
      <c r="O35" s="41">
        <f>COUNTIF(Vertices[Eigenvector Centrality],"&gt;= "&amp;N35)-COUNTIF(Vertices[Eigenvector Centrality],"&gt;="&amp;N36)</f>
        <v>0</v>
      </c>
      <c r="P35" s="40">
        <f t="shared" si="7"/>
        <v>0.027494558823529424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3885</v>
      </c>
      <c r="B36" s="35" t="s">
        <v>4439</v>
      </c>
      <c r="D36" s="33">
        <f>MAX(Vertices[Degree])</f>
        <v>0</v>
      </c>
      <c r="E36" s="3">
        <f>COUNTIF(Vertices[Degree],"&gt;= "&amp;D36)-COUNTIF(Vertices[Degree],"&gt;="&amp;#REF!)</f>
        <v>0</v>
      </c>
      <c r="F36" s="42">
        <f>MAX(Vertices[In-Degree])</f>
        <v>50</v>
      </c>
      <c r="G36" s="43">
        <f>COUNTIF(Vertices[In-Degree],"&gt;= "&amp;F36)-COUNTIF(Vertices[In-Degree],"&gt;="&amp;#REF!)</f>
        <v>1</v>
      </c>
      <c r="H36" s="42">
        <f>MAX(Vertices[Out-Degree])</f>
        <v>9</v>
      </c>
      <c r="I36" s="43">
        <f>COUNTIF(Vertices[Out-Degree],"&gt;= "&amp;H36)-COUNTIF(Vertices[Out-Degree],"&gt;="&amp;#REF!)</f>
        <v>1</v>
      </c>
      <c r="J36" s="42">
        <f>MAX(Vertices[Betweenness Centrality])</f>
        <v>15763.755566</v>
      </c>
      <c r="K36" s="43">
        <f>COUNTIF(Vertices[Betweenness Centrality],"&gt;= "&amp;J36)-COUNTIF(Vertices[Betweenness Centrality],"&gt;="&amp;#REF!)</f>
        <v>1</v>
      </c>
      <c r="L36" s="42">
        <f>MAX(Vertices[Closeness Centrality])</f>
        <v>0.309565</v>
      </c>
      <c r="M36" s="43">
        <f>COUNTIF(Vertices[Closeness Centrality],"&gt;= "&amp;L36)-COUNTIF(Vertices[Closeness Centrality],"&gt;="&amp;#REF!)</f>
        <v>1</v>
      </c>
      <c r="N36" s="42">
        <f>MAX(Vertices[Eigenvector Centrality])</f>
        <v>0.657307</v>
      </c>
      <c r="O36" s="43">
        <f>COUNTIF(Vertices[Eigenvector Centrality],"&gt;= "&amp;N36)-COUNTIF(Vertices[Eigenvector Centrality],"&gt;="&amp;#REF!)</f>
        <v>1</v>
      </c>
      <c r="P36" s="42">
        <f>MAX(Vertices[PageRank])</f>
        <v>0.028214</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3886</v>
      </c>
      <c r="B37" s="35" t="s">
        <v>4440</v>
      </c>
    </row>
    <row r="38" spans="1:2" ht="15">
      <c r="A38" s="122"/>
      <c r="B38" s="122"/>
    </row>
    <row r="39" spans="1:2" ht="15">
      <c r="A39" s="35" t="s">
        <v>3887</v>
      </c>
      <c r="B39" s="35" t="s">
        <v>4434</v>
      </c>
    </row>
    <row r="40" spans="1:2" ht="15">
      <c r="A40" s="35" t="s">
        <v>3888</v>
      </c>
      <c r="B40" s="35" t="s">
        <v>4435</v>
      </c>
    </row>
    <row r="41" spans="1:2" ht="409.6">
      <c r="A41" s="35" t="s">
        <v>3889</v>
      </c>
      <c r="B41" s="54" t="s">
        <v>4436</v>
      </c>
    </row>
    <row r="42" spans="1:2" ht="15">
      <c r="A42" s="35" t="s">
        <v>3890</v>
      </c>
      <c r="B42" s="35" t="s">
        <v>4437</v>
      </c>
    </row>
    <row r="43" spans="1:2" ht="15">
      <c r="A43" s="35" t="s">
        <v>3891</v>
      </c>
      <c r="B43" s="35" t="s">
        <v>4438</v>
      </c>
    </row>
    <row r="44" spans="1:2" ht="15">
      <c r="A44" s="35" t="s">
        <v>3892</v>
      </c>
      <c r="B44" s="35" t="s">
        <v>2060</v>
      </c>
    </row>
    <row r="45" spans="1:2" ht="15">
      <c r="A45" s="35" t="s">
        <v>3893</v>
      </c>
      <c r="B45" s="35" t="s">
        <v>2060</v>
      </c>
    </row>
    <row r="46" spans="1:2" ht="15">
      <c r="A46" s="35" t="s">
        <v>3894</v>
      </c>
      <c r="B46" s="35" t="s">
        <v>2060</v>
      </c>
    </row>
    <row r="47" spans="1:2" ht="15">
      <c r="A47" s="35" t="s">
        <v>3895</v>
      </c>
      <c r="B47" s="35"/>
    </row>
    <row r="48" spans="1:2" ht="15">
      <c r="A48" s="35" t="s">
        <v>21</v>
      </c>
      <c r="B48" s="35"/>
    </row>
    <row r="49" spans="1:2" ht="15">
      <c r="A49" s="35" t="s">
        <v>3896</v>
      </c>
      <c r="B49" s="35" t="s">
        <v>32</v>
      </c>
    </row>
    <row r="50" spans="1:2" ht="15">
      <c r="A50" s="35" t="s">
        <v>3897</v>
      </c>
      <c r="B50" s="35"/>
    </row>
    <row r="51" spans="1:2" ht="15">
      <c r="A51" s="35" t="s">
        <v>3898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1.147186147186147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1.147186147186147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15763.755566</v>
      </c>
    </row>
    <row r="111" spans="1:2" ht="15">
      <c r="A111" s="34" t="s">
        <v>102</v>
      </c>
      <c r="B111" s="48">
        <f>_xlfn.IFERROR(AVERAGE(Vertices[Betweenness Centrality]),NoMetricMessage)</f>
        <v>392.2857142900435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0.309565</v>
      </c>
    </row>
    <row r="125" spans="1:2" ht="15">
      <c r="A125" s="34" t="s">
        <v>108</v>
      </c>
      <c r="B125" s="48">
        <f>_xlfn.IFERROR(AVERAGE(Vertices[Closeness Centrality]),NoMetricMessage)</f>
        <v>0.16111931601731638</v>
      </c>
    </row>
    <row r="126" spans="1:2" ht="15">
      <c r="A126" s="34" t="s">
        <v>109</v>
      </c>
      <c r="B126" s="48">
        <f>_xlfn.IFERROR(MEDIAN(Vertices[Closeness Centrality]),NoMetricMessage)</f>
        <v>0.201398</v>
      </c>
    </row>
    <row r="137" spans="1:2" ht="15">
      <c r="A137" s="34" t="s">
        <v>112</v>
      </c>
      <c r="B137" s="48">
        <f>IF(COUNT(Vertices[Eigenvector Centrality])&gt;0,N2,NoMetricMessage)</f>
        <v>0</v>
      </c>
    </row>
    <row r="138" spans="1:2" ht="15">
      <c r="A138" s="34" t="s">
        <v>113</v>
      </c>
      <c r="B138" s="48">
        <f>IF(COUNT(Vertices[Eigenvector Centrality])&gt;0,N36,NoMetricMessage)</f>
        <v>0.657307</v>
      </c>
    </row>
    <row r="139" spans="1:2" ht="15">
      <c r="A139" s="34" t="s">
        <v>114</v>
      </c>
      <c r="B139" s="48">
        <f>_xlfn.IFERROR(AVERAGE(Vertices[Eigenvector Centrality]),NoMetricMessage)</f>
        <v>0.034077064935064946</v>
      </c>
    </row>
    <row r="140" spans="1:2" ht="15">
      <c r="A140" s="34" t="s">
        <v>115</v>
      </c>
      <c r="B140" s="48">
        <f>_xlfn.IFERROR(MEDIAN(Vertices[Eigenvector Centrality]),NoMetricMessage)</f>
        <v>0.021431</v>
      </c>
    </row>
    <row r="151" spans="1:2" ht="15">
      <c r="A151" s="34" t="s">
        <v>140</v>
      </c>
      <c r="B151" s="48">
        <f>IF(COUNT(Vertices[PageRank])&gt;0,P2,NoMetricMessage)</f>
        <v>0.003753</v>
      </c>
    </row>
    <row r="152" spans="1:2" ht="15">
      <c r="A152" s="34" t="s">
        <v>141</v>
      </c>
      <c r="B152" s="48">
        <f>IF(COUNT(Vertices[PageRank])&gt;0,P36,NoMetricMessage)</f>
        <v>0.028214</v>
      </c>
    </row>
    <row r="153" spans="1:2" ht="15">
      <c r="A153" s="34" t="s">
        <v>142</v>
      </c>
      <c r="B153" s="48">
        <f>_xlfn.IFERROR(AVERAGE(Vertices[PageRank]),NoMetricMessage)</f>
        <v>0.004329056277056271</v>
      </c>
    </row>
    <row r="154" spans="1:2" ht="15">
      <c r="A154" s="34" t="s">
        <v>143</v>
      </c>
      <c r="B154" s="48">
        <f>_xlfn.IFERROR(MEDIAN(Vertices[PageRank]),NoMetricMessage)</f>
        <v>0.003846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0.02637689625336125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2044</v>
      </c>
    </row>
    <row r="6" spans="1:18" ht="15">
      <c r="A6">
        <v>0</v>
      </c>
      <c r="B6" s="1" t="s">
        <v>136</v>
      </c>
      <c r="C6">
        <v>1</v>
      </c>
      <c r="D6" t="s">
        <v>59</v>
      </c>
      <c r="E6" t="s">
        <v>59</v>
      </c>
      <c r="F6">
        <v>0</v>
      </c>
      <c r="H6" t="s">
        <v>71</v>
      </c>
      <c r="J6" t="s">
        <v>173</v>
      </c>
      <c r="K6">
        <v>9</v>
      </c>
      <c r="R6" t="s">
        <v>129</v>
      </c>
    </row>
    <row r="7" spans="1:11" ht="15">
      <c r="A7">
        <v>2</v>
      </c>
      <c r="B7">
        <v>1</v>
      </c>
      <c r="C7">
        <v>0</v>
      </c>
      <c r="D7" t="s">
        <v>60</v>
      </c>
      <c r="E7" t="s">
        <v>60</v>
      </c>
      <c r="F7">
        <v>2</v>
      </c>
      <c r="H7" t="s">
        <v>72</v>
      </c>
      <c r="J7" t="s">
        <v>174</v>
      </c>
      <c r="K7" t="s">
        <v>4433</v>
      </c>
    </row>
    <row r="8" spans="1:11" ht="409.6">
      <c r="A8"/>
      <c r="B8">
        <v>2</v>
      </c>
      <c r="C8">
        <v>2</v>
      </c>
      <c r="D8" t="s">
        <v>61</v>
      </c>
      <c r="E8" t="s">
        <v>61</v>
      </c>
      <c r="H8" t="s">
        <v>73</v>
      </c>
      <c r="J8" t="s">
        <v>175</v>
      </c>
      <c r="K8" s="13" t="s">
        <v>2095</v>
      </c>
    </row>
    <row r="9" spans="1:11" ht="409.6">
      <c r="A9"/>
      <c r="B9">
        <v>3</v>
      </c>
      <c r="C9">
        <v>4</v>
      </c>
      <c r="D9" t="s">
        <v>62</v>
      </c>
      <c r="E9" t="s">
        <v>62</v>
      </c>
      <c r="H9" t="s">
        <v>74</v>
      </c>
      <c r="J9" t="s">
        <v>2045</v>
      </c>
      <c r="K9" s="13" t="s">
        <v>2046</v>
      </c>
    </row>
    <row r="10" spans="1:11" ht="409.6">
      <c r="A10"/>
      <c r="B10">
        <v>4</v>
      </c>
      <c r="D10" t="s">
        <v>63</v>
      </c>
      <c r="E10" t="s">
        <v>63</v>
      </c>
      <c r="H10" t="s">
        <v>75</v>
      </c>
      <c r="J10" t="s">
        <v>2047</v>
      </c>
      <c r="K10" s="13" t="s">
        <v>2048</v>
      </c>
    </row>
    <row r="11" spans="1:11" ht="409.6">
      <c r="A11"/>
      <c r="B11">
        <v>5</v>
      </c>
      <c r="D11" t="s">
        <v>46</v>
      </c>
      <c r="E11">
        <v>1</v>
      </c>
      <c r="H11" t="s">
        <v>76</v>
      </c>
      <c r="J11" t="s">
        <v>2049</v>
      </c>
      <c r="K11" s="13" t="s">
        <v>2050</v>
      </c>
    </row>
    <row r="12" spans="1:11" ht="409.6">
      <c r="A12"/>
      <c r="B12"/>
      <c r="D12" t="s">
        <v>64</v>
      </c>
      <c r="E12">
        <v>2</v>
      </c>
      <c r="H12">
        <v>0</v>
      </c>
      <c r="J12" t="s">
        <v>2051</v>
      </c>
      <c r="K12" s="13" t="s">
        <v>2052</v>
      </c>
    </row>
    <row r="13" spans="1:11" ht="409.6">
      <c r="A13"/>
      <c r="B13"/>
      <c r="D13">
        <v>1</v>
      </c>
      <c r="E13">
        <v>3</v>
      </c>
      <c r="H13">
        <v>1</v>
      </c>
      <c r="J13" t="s">
        <v>2053</v>
      </c>
      <c r="K13" s="13" t="s">
        <v>2054</v>
      </c>
    </row>
    <row r="14" spans="4:11" ht="409.6">
      <c r="D14">
        <v>2</v>
      </c>
      <c r="E14">
        <v>4</v>
      </c>
      <c r="H14">
        <v>2</v>
      </c>
      <c r="J14" t="s">
        <v>2055</v>
      </c>
      <c r="K14" s="13" t="s">
        <v>2056</v>
      </c>
    </row>
    <row r="15" spans="4:11" ht="409.6">
      <c r="D15">
        <v>3</v>
      </c>
      <c r="E15">
        <v>5</v>
      </c>
      <c r="H15">
        <v>3</v>
      </c>
      <c r="J15" t="s">
        <v>2057</v>
      </c>
      <c r="K15" s="13" t="s">
        <v>2058</v>
      </c>
    </row>
    <row r="16" spans="4:11" ht="409.6">
      <c r="D16">
        <v>4</v>
      </c>
      <c r="E16">
        <v>6</v>
      </c>
      <c r="H16">
        <v>4</v>
      </c>
      <c r="J16" t="s">
        <v>2059</v>
      </c>
      <c r="K16" s="13" t="s">
        <v>4441</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406C-D842-41E6-BF9A-873872C6C35D}">
  <dimension ref="A1:G58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2097</v>
      </c>
      <c r="B1" s="13" t="s">
        <v>2330</v>
      </c>
      <c r="C1" s="13" t="s">
        <v>2334</v>
      </c>
      <c r="D1" s="13" t="s">
        <v>144</v>
      </c>
      <c r="E1" s="13" t="s">
        <v>2336</v>
      </c>
      <c r="F1" s="13" t="s">
        <v>2337</v>
      </c>
      <c r="G1" s="13" t="s">
        <v>2338</v>
      </c>
    </row>
    <row r="2" spans="1:7" ht="15">
      <c r="A2" s="89" t="s">
        <v>2098</v>
      </c>
      <c r="B2" s="89" t="s">
        <v>2331</v>
      </c>
      <c r="C2" s="117"/>
      <c r="D2" s="89"/>
      <c r="E2" s="89"/>
      <c r="F2" s="89"/>
      <c r="G2" s="89"/>
    </row>
    <row r="3" spans="1:7" ht="15">
      <c r="A3" s="90" t="s">
        <v>2099</v>
      </c>
      <c r="B3" s="89" t="s">
        <v>2332</v>
      </c>
      <c r="C3" s="117"/>
      <c r="D3" s="89"/>
      <c r="E3" s="89"/>
      <c r="F3" s="89"/>
      <c r="G3" s="89"/>
    </row>
    <row r="4" spans="1:7" ht="15">
      <c r="A4" s="90" t="s">
        <v>2100</v>
      </c>
      <c r="B4" s="89" t="s">
        <v>2333</v>
      </c>
      <c r="C4" s="117"/>
      <c r="D4" s="89"/>
      <c r="E4" s="89"/>
      <c r="F4" s="89"/>
      <c r="G4" s="89"/>
    </row>
    <row r="5" spans="1:7" ht="15">
      <c r="A5" s="90" t="s">
        <v>2101</v>
      </c>
      <c r="B5" s="89">
        <v>1</v>
      </c>
      <c r="C5" s="117">
        <v>0.00022941041523285156</v>
      </c>
      <c r="D5" s="89"/>
      <c r="E5" s="89"/>
      <c r="F5" s="89"/>
      <c r="G5" s="89"/>
    </row>
    <row r="6" spans="1:7" ht="15">
      <c r="A6" s="90" t="s">
        <v>2102</v>
      </c>
      <c r="B6" s="89">
        <v>0</v>
      </c>
      <c r="C6" s="117">
        <v>0</v>
      </c>
      <c r="D6" s="89"/>
      <c r="E6" s="89"/>
      <c r="F6" s="89"/>
      <c r="G6" s="89"/>
    </row>
    <row r="7" spans="1:7" ht="15">
      <c r="A7" s="90" t="s">
        <v>2103</v>
      </c>
      <c r="B7" s="89">
        <v>0</v>
      </c>
      <c r="C7" s="117">
        <v>0</v>
      </c>
      <c r="D7" s="89"/>
      <c r="E7" s="89"/>
      <c r="F7" s="89"/>
      <c r="G7" s="89"/>
    </row>
    <row r="8" spans="1:7" ht="15">
      <c r="A8" s="90" t="s">
        <v>2104</v>
      </c>
      <c r="B8" s="89">
        <v>4358</v>
      </c>
      <c r="C8" s="117">
        <v>0.9997705895847672</v>
      </c>
      <c r="D8" s="89"/>
      <c r="E8" s="89"/>
      <c r="F8" s="89"/>
      <c r="G8" s="89"/>
    </row>
    <row r="9" spans="1:7" ht="15">
      <c r="A9" s="90" t="s">
        <v>2105</v>
      </c>
      <c r="B9" s="89">
        <v>4359</v>
      </c>
      <c r="C9" s="117">
        <v>1</v>
      </c>
      <c r="D9" s="89"/>
      <c r="E9" s="89"/>
      <c r="F9" s="89"/>
      <c r="G9" s="89"/>
    </row>
    <row r="10" spans="1:7" ht="15">
      <c r="A10" s="97" t="s">
        <v>2106</v>
      </c>
      <c r="B10" s="96">
        <v>171</v>
      </c>
      <c r="C10" s="118">
        <v>0.008210681554942154</v>
      </c>
      <c r="D10" s="96" t="s">
        <v>2335</v>
      </c>
      <c r="E10" s="96" t="b">
        <v>0</v>
      </c>
      <c r="F10" s="96" t="b">
        <v>0</v>
      </c>
      <c r="G10" s="96" t="b">
        <v>0</v>
      </c>
    </row>
    <row r="11" spans="1:7" ht="15">
      <c r="A11" s="97" t="s">
        <v>2107</v>
      </c>
      <c r="B11" s="96">
        <v>156</v>
      </c>
      <c r="C11" s="118">
        <v>0.009315549447699066</v>
      </c>
      <c r="D11" s="96" t="s">
        <v>2335</v>
      </c>
      <c r="E11" s="96" t="b">
        <v>0</v>
      </c>
      <c r="F11" s="96" t="b">
        <v>0</v>
      </c>
      <c r="G11" s="96" t="b">
        <v>0</v>
      </c>
    </row>
    <row r="12" spans="1:7" ht="15">
      <c r="A12" s="97" t="s">
        <v>2108</v>
      </c>
      <c r="B12" s="96">
        <v>57</v>
      </c>
      <c r="C12" s="118">
        <v>0.011118412664621649</v>
      </c>
      <c r="D12" s="96" t="s">
        <v>2335</v>
      </c>
      <c r="E12" s="96" t="b">
        <v>0</v>
      </c>
      <c r="F12" s="96" t="b">
        <v>0</v>
      </c>
      <c r="G12" s="96" t="b">
        <v>0</v>
      </c>
    </row>
    <row r="13" spans="1:7" ht="15">
      <c r="A13" s="97" t="s">
        <v>2109</v>
      </c>
      <c r="B13" s="96">
        <v>45</v>
      </c>
      <c r="C13" s="118">
        <v>0.010216885917750345</v>
      </c>
      <c r="D13" s="96" t="s">
        <v>2335</v>
      </c>
      <c r="E13" s="96" t="b">
        <v>0</v>
      </c>
      <c r="F13" s="96" t="b">
        <v>0</v>
      </c>
      <c r="G13" s="96" t="b">
        <v>0</v>
      </c>
    </row>
    <row r="14" spans="1:7" ht="15">
      <c r="A14" s="97" t="s">
        <v>2110</v>
      </c>
      <c r="B14" s="96">
        <v>35</v>
      </c>
      <c r="C14" s="118">
        <v>0.009136515556965964</v>
      </c>
      <c r="D14" s="96" t="s">
        <v>2335</v>
      </c>
      <c r="E14" s="96" t="b">
        <v>0</v>
      </c>
      <c r="F14" s="96" t="b">
        <v>0</v>
      </c>
      <c r="G14" s="96" t="b">
        <v>0</v>
      </c>
    </row>
    <row r="15" spans="1:7" ht="15">
      <c r="A15" s="97" t="s">
        <v>2111</v>
      </c>
      <c r="B15" s="96">
        <v>34</v>
      </c>
      <c r="C15" s="118">
        <v>0.009008815036794033</v>
      </c>
      <c r="D15" s="96" t="s">
        <v>2335</v>
      </c>
      <c r="E15" s="96" t="b">
        <v>0</v>
      </c>
      <c r="F15" s="96" t="b">
        <v>0</v>
      </c>
      <c r="G15" s="96" t="b">
        <v>0</v>
      </c>
    </row>
    <row r="16" spans="1:7" ht="15">
      <c r="A16" s="97" t="s">
        <v>2112</v>
      </c>
      <c r="B16" s="96">
        <v>34</v>
      </c>
      <c r="C16" s="118">
        <v>0.009008815036794033</v>
      </c>
      <c r="D16" s="96" t="s">
        <v>2335</v>
      </c>
      <c r="E16" s="96" t="b">
        <v>0</v>
      </c>
      <c r="F16" s="96" t="b">
        <v>0</v>
      </c>
      <c r="G16" s="96" t="b">
        <v>0</v>
      </c>
    </row>
    <row r="17" spans="1:7" ht="15">
      <c r="A17" s="97" t="s">
        <v>2113</v>
      </c>
      <c r="B17" s="96">
        <v>34</v>
      </c>
      <c r="C17" s="118">
        <v>0.009008815036794033</v>
      </c>
      <c r="D17" s="96" t="s">
        <v>2335</v>
      </c>
      <c r="E17" s="96" t="b">
        <v>0</v>
      </c>
      <c r="F17" s="96" t="b">
        <v>0</v>
      </c>
      <c r="G17" s="96" t="b">
        <v>0</v>
      </c>
    </row>
    <row r="18" spans="1:7" ht="15">
      <c r="A18" s="97" t="s">
        <v>2114</v>
      </c>
      <c r="B18" s="96">
        <v>34</v>
      </c>
      <c r="C18" s="118">
        <v>0.009008815036794033</v>
      </c>
      <c r="D18" s="96" t="s">
        <v>2335</v>
      </c>
      <c r="E18" s="96" t="b">
        <v>0</v>
      </c>
      <c r="F18" s="96" t="b">
        <v>0</v>
      </c>
      <c r="G18" s="96" t="b">
        <v>0</v>
      </c>
    </row>
    <row r="19" spans="1:7" ht="15">
      <c r="A19" s="97" t="s">
        <v>2115</v>
      </c>
      <c r="B19" s="96">
        <v>33</v>
      </c>
      <c r="C19" s="118">
        <v>0.008877134700623169</v>
      </c>
      <c r="D19" s="96" t="s">
        <v>2335</v>
      </c>
      <c r="E19" s="96" t="b">
        <v>0</v>
      </c>
      <c r="F19" s="96" t="b">
        <v>0</v>
      </c>
      <c r="G19" s="96" t="b">
        <v>0</v>
      </c>
    </row>
    <row r="20" spans="1:7" ht="15">
      <c r="A20" s="97" t="s">
        <v>2116</v>
      </c>
      <c r="B20" s="96">
        <v>33</v>
      </c>
      <c r="C20" s="118">
        <v>0.008877134700623169</v>
      </c>
      <c r="D20" s="96" t="s">
        <v>2335</v>
      </c>
      <c r="E20" s="96" t="b">
        <v>0</v>
      </c>
      <c r="F20" s="96" t="b">
        <v>0</v>
      </c>
      <c r="G20" s="96" t="b">
        <v>0</v>
      </c>
    </row>
    <row r="21" spans="1:7" ht="15">
      <c r="A21" s="97" t="s">
        <v>2117</v>
      </c>
      <c r="B21" s="96">
        <v>33</v>
      </c>
      <c r="C21" s="118">
        <v>0.008877134700623169</v>
      </c>
      <c r="D21" s="96" t="s">
        <v>2335</v>
      </c>
      <c r="E21" s="96" t="b">
        <v>0</v>
      </c>
      <c r="F21" s="96" t="b">
        <v>0</v>
      </c>
      <c r="G21" s="96" t="b">
        <v>0</v>
      </c>
    </row>
    <row r="22" spans="1:7" ht="15">
      <c r="A22" s="97" t="s">
        <v>2118</v>
      </c>
      <c r="B22" s="96">
        <v>33</v>
      </c>
      <c r="C22" s="118">
        <v>0.008877134700623169</v>
      </c>
      <c r="D22" s="96" t="s">
        <v>2335</v>
      </c>
      <c r="E22" s="96" t="b">
        <v>0</v>
      </c>
      <c r="F22" s="96" t="b">
        <v>0</v>
      </c>
      <c r="G22" s="96" t="b">
        <v>0</v>
      </c>
    </row>
    <row r="23" spans="1:7" ht="15">
      <c r="A23" s="97" t="s">
        <v>2119</v>
      </c>
      <c r="B23" s="96">
        <v>33</v>
      </c>
      <c r="C23" s="118">
        <v>0.008877134700623169</v>
      </c>
      <c r="D23" s="96" t="s">
        <v>2335</v>
      </c>
      <c r="E23" s="96" t="b">
        <v>0</v>
      </c>
      <c r="F23" s="96" t="b">
        <v>0</v>
      </c>
      <c r="G23" s="96" t="b">
        <v>0</v>
      </c>
    </row>
    <row r="24" spans="1:7" ht="15">
      <c r="A24" s="97" t="s">
        <v>2120</v>
      </c>
      <c r="B24" s="96">
        <v>33</v>
      </c>
      <c r="C24" s="118">
        <v>0.008877134700623169</v>
      </c>
      <c r="D24" s="96" t="s">
        <v>2335</v>
      </c>
      <c r="E24" s="96" t="b">
        <v>0</v>
      </c>
      <c r="F24" s="96" t="b">
        <v>0</v>
      </c>
      <c r="G24" s="96" t="b">
        <v>0</v>
      </c>
    </row>
    <row r="25" spans="1:7" ht="15">
      <c r="A25" s="97" t="s">
        <v>2121</v>
      </c>
      <c r="B25" s="96">
        <v>33</v>
      </c>
      <c r="C25" s="118">
        <v>0.008877134700623169</v>
      </c>
      <c r="D25" s="96" t="s">
        <v>2335</v>
      </c>
      <c r="E25" s="96" t="b">
        <v>0</v>
      </c>
      <c r="F25" s="96" t="b">
        <v>0</v>
      </c>
      <c r="G25" s="96" t="b">
        <v>0</v>
      </c>
    </row>
    <row r="26" spans="1:7" ht="15">
      <c r="A26" s="97" t="s">
        <v>2122</v>
      </c>
      <c r="B26" s="96">
        <v>33</v>
      </c>
      <c r="C26" s="118">
        <v>0.008877134700623169</v>
      </c>
      <c r="D26" s="96" t="s">
        <v>2335</v>
      </c>
      <c r="E26" s="96" t="b">
        <v>0</v>
      </c>
      <c r="F26" s="96" t="b">
        <v>0</v>
      </c>
      <c r="G26" s="96" t="b">
        <v>0</v>
      </c>
    </row>
    <row r="27" spans="1:7" ht="15">
      <c r="A27" s="97" t="s">
        <v>2123</v>
      </c>
      <c r="B27" s="96">
        <v>33</v>
      </c>
      <c r="C27" s="118">
        <v>0.008877134700623169</v>
      </c>
      <c r="D27" s="96" t="s">
        <v>2335</v>
      </c>
      <c r="E27" s="96" t="b">
        <v>0</v>
      </c>
      <c r="F27" s="96" t="b">
        <v>0</v>
      </c>
      <c r="G27" s="96" t="b">
        <v>0</v>
      </c>
    </row>
    <row r="28" spans="1:7" ht="15">
      <c r="A28" s="97" t="s">
        <v>2124</v>
      </c>
      <c r="B28" s="96">
        <v>32</v>
      </c>
      <c r="C28" s="118">
        <v>0.00874135391157595</v>
      </c>
      <c r="D28" s="96" t="s">
        <v>2335</v>
      </c>
      <c r="E28" s="96" t="b">
        <v>0</v>
      </c>
      <c r="F28" s="96" t="b">
        <v>0</v>
      </c>
      <c r="G28" s="96" t="b">
        <v>0</v>
      </c>
    </row>
    <row r="29" spans="1:7" ht="15">
      <c r="A29" s="97" t="s">
        <v>2125</v>
      </c>
      <c r="B29" s="96">
        <v>32</v>
      </c>
      <c r="C29" s="118">
        <v>0.00874135391157595</v>
      </c>
      <c r="D29" s="96" t="s">
        <v>2335</v>
      </c>
      <c r="E29" s="96" t="b">
        <v>0</v>
      </c>
      <c r="F29" s="96" t="b">
        <v>0</v>
      </c>
      <c r="G29" s="96" t="b">
        <v>0</v>
      </c>
    </row>
    <row r="30" spans="1:7" ht="15">
      <c r="A30" s="97" t="s">
        <v>2126</v>
      </c>
      <c r="B30" s="96">
        <v>32</v>
      </c>
      <c r="C30" s="118">
        <v>0.00874135391157595</v>
      </c>
      <c r="D30" s="96" t="s">
        <v>2335</v>
      </c>
      <c r="E30" s="96" t="b">
        <v>0</v>
      </c>
      <c r="F30" s="96" t="b">
        <v>0</v>
      </c>
      <c r="G30" s="96" t="b">
        <v>0</v>
      </c>
    </row>
    <row r="31" spans="1:7" ht="15">
      <c r="A31" s="97" t="s">
        <v>2127</v>
      </c>
      <c r="B31" s="96">
        <v>32</v>
      </c>
      <c r="C31" s="118">
        <v>0.00874135391157595</v>
      </c>
      <c r="D31" s="96" t="s">
        <v>2335</v>
      </c>
      <c r="E31" s="96" t="b">
        <v>0</v>
      </c>
      <c r="F31" s="96" t="b">
        <v>0</v>
      </c>
      <c r="G31" s="96" t="b">
        <v>0</v>
      </c>
    </row>
    <row r="32" spans="1:7" ht="15">
      <c r="A32" s="97" t="s">
        <v>2128</v>
      </c>
      <c r="B32" s="96">
        <v>32</v>
      </c>
      <c r="C32" s="118">
        <v>0.00874135391157595</v>
      </c>
      <c r="D32" s="96" t="s">
        <v>2335</v>
      </c>
      <c r="E32" s="96" t="b">
        <v>0</v>
      </c>
      <c r="F32" s="96" t="b">
        <v>0</v>
      </c>
      <c r="G32" s="96" t="b">
        <v>0</v>
      </c>
    </row>
    <row r="33" spans="1:7" ht="15">
      <c r="A33" s="97" t="s">
        <v>2129</v>
      </c>
      <c r="B33" s="96">
        <v>32</v>
      </c>
      <c r="C33" s="118">
        <v>0.00874135391157595</v>
      </c>
      <c r="D33" s="96" t="s">
        <v>2335</v>
      </c>
      <c r="E33" s="96" t="b">
        <v>0</v>
      </c>
      <c r="F33" s="96" t="b">
        <v>0</v>
      </c>
      <c r="G33" s="96" t="b">
        <v>0</v>
      </c>
    </row>
    <row r="34" spans="1:7" ht="15">
      <c r="A34" s="97" t="s">
        <v>2130</v>
      </c>
      <c r="B34" s="96">
        <v>32</v>
      </c>
      <c r="C34" s="118">
        <v>0.00874135391157595</v>
      </c>
      <c r="D34" s="96" t="s">
        <v>2335</v>
      </c>
      <c r="E34" s="96" t="b">
        <v>0</v>
      </c>
      <c r="F34" s="96" t="b">
        <v>0</v>
      </c>
      <c r="G34" s="96" t="b">
        <v>0</v>
      </c>
    </row>
    <row r="35" spans="1:7" ht="15">
      <c r="A35" s="97" t="s">
        <v>2131</v>
      </c>
      <c r="B35" s="96">
        <v>32</v>
      </c>
      <c r="C35" s="118">
        <v>0.00874135391157595</v>
      </c>
      <c r="D35" s="96" t="s">
        <v>2335</v>
      </c>
      <c r="E35" s="96" t="b">
        <v>0</v>
      </c>
      <c r="F35" s="96" t="b">
        <v>0</v>
      </c>
      <c r="G35" s="96" t="b">
        <v>0</v>
      </c>
    </row>
    <row r="36" spans="1:7" ht="15">
      <c r="A36" s="97" t="s">
        <v>2132</v>
      </c>
      <c r="B36" s="96">
        <v>31</v>
      </c>
      <c r="C36" s="118">
        <v>0.008601344489395162</v>
      </c>
      <c r="D36" s="96" t="s">
        <v>2335</v>
      </c>
      <c r="E36" s="96" t="b">
        <v>0</v>
      </c>
      <c r="F36" s="96" t="b">
        <v>0</v>
      </c>
      <c r="G36" s="96" t="b">
        <v>0</v>
      </c>
    </row>
    <row r="37" spans="1:7" ht="15">
      <c r="A37" s="97" t="s">
        <v>2133</v>
      </c>
      <c r="B37" s="96">
        <v>31</v>
      </c>
      <c r="C37" s="118">
        <v>0.008601344489395162</v>
      </c>
      <c r="D37" s="96" t="s">
        <v>2335</v>
      </c>
      <c r="E37" s="96" t="b">
        <v>0</v>
      </c>
      <c r="F37" s="96" t="b">
        <v>0</v>
      </c>
      <c r="G37" s="96" t="b">
        <v>0</v>
      </c>
    </row>
    <row r="38" spans="1:7" ht="15">
      <c r="A38" s="97" t="s">
        <v>2134</v>
      </c>
      <c r="B38" s="96">
        <v>31</v>
      </c>
      <c r="C38" s="118">
        <v>0.008601344489395162</v>
      </c>
      <c r="D38" s="96" t="s">
        <v>2335</v>
      </c>
      <c r="E38" s="96" t="b">
        <v>0</v>
      </c>
      <c r="F38" s="96" t="b">
        <v>0</v>
      </c>
      <c r="G38" s="96" t="b">
        <v>0</v>
      </c>
    </row>
    <row r="39" spans="1:7" ht="15">
      <c r="A39" s="97" t="s">
        <v>2135</v>
      </c>
      <c r="B39" s="96">
        <v>31</v>
      </c>
      <c r="C39" s="118">
        <v>0.008601344489395162</v>
      </c>
      <c r="D39" s="96" t="s">
        <v>2335</v>
      </c>
      <c r="E39" s="96" t="b">
        <v>0</v>
      </c>
      <c r="F39" s="96" t="b">
        <v>0</v>
      </c>
      <c r="G39" s="96" t="b">
        <v>0</v>
      </c>
    </row>
    <row r="40" spans="1:7" ht="15">
      <c r="A40" s="97" t="s">
        <v>2136</v>
      </c>
      <c r="B40" s="96">
        <v>31</v>
      </c>
      <c r="C40" s="118">
        <v>0.008601344489395162</v>
      </c>
      <c r="D40" s="96" t="s">
        <v>2335</v>
      </c>
      <c r="E40" s="96" t="b">
        <v>0</v>
      </c>
      <c r="F40" s="96" t="b">
        <v>0</v>
      </c>
      <c r="G40" s="96" t="b">
        <v>0</v>
      </c>
    </row>
    <row r="41" spans="1:7" ht="15">
      <c r="A41" s="97" t="s">
        <v>2137</v>
      </c>
      <c r="B41" s="96">
        <v>31</v>
      </c>
      <c r="C41" s="118">
        <v>0.008601344489395162</v>
      </c>
      <c r="D41" s="96" t="s">
        <v>2335</v>
      </c>
      <c r="E41" s="96" t="b">
        <v>0</v>
      </c>
      <c r="F41" s="96" t="b">
        <v>0</v>
      </c>
      <c r="G41" s="96" t="b">
        <v>0</v>
      </c>
    </row>
    <row r="42" spans="1:7" ht="15">
      <c r="A42" s="97" t="s">
        <v>2138</v>
      </c>
      <c r="B42" s="96">
        <v>30</v>
      </c>
      <c r="C42" s="118">
        <v>0.008456969979955195</v>
      </c>
      <c r="D42" s="96" t="s">
        <v>2335</v>
      </c>
      <c r="E42" s="96" t="b">
        <v>0</v>
      </c>
      <c r="F42" s="96" t="b">
        <v>0</v>
      </c>
      <c r="G42" s="96" t="b">
        <v>0</v>
      </c>
    </row>
    <row r="43" spans="1:7" ht="15">
      <c r="A43" s="97" t="s">
        <v>2139</v>
      </c>
      <c r="B43" s="96">
        <v>30</v>
      </c>
      <c r="C43" s="118">
        <v>0.008456969979955195</v>
      </c>
      <c r="D43" s="96" t="s">
        <v>2335</v>
      </c>
      <c r="E43" s="96" t="b">
        <v>0</v>
      </c>
      <c r="F43" s="96" t="b">
        <v>0</v>
      </c>
      <c r="G43" s="96" t="b">
        <v>0</v>
      </c>
    </row>
    <row r="44" spans="1:7" ht="15">
      <c r="A44" s="97" t="s">
        <v>2140</v>
      </c>
      <c r="B44" s="96">
        <v>29</v>
      </c>
      <c r="C44" s="118">
        <v>0.008308084827290172</v>
      </c>
      <c r="D44" s="96" t="s">
        <v>2335</v>
      </c>
      <c r="E44" s="96" t="b">
        <v>0</v>
      </c>
      <c r="F44" s="96" t="b">
        <v>0</v>
      </c>
      <c r="G44" s="96" t="b">
        <v>0</v>
      </c>
    </row>
    <row r="45" spans="1:7" ht="15">
      <c r="A45" s="97" t="s">
        <v>2141</v>
      </c>
      <c r="B45" s="96">
        <v>29</v>
      </c>
      <c r="C45" s="118">
        <v>0.008308084827290172</v>
      </c>
      <c r="D45" s="96" t="s">
        <v>2335</v>
      </c>
      <c r="E45" s="96" t="b">
        <v>0</v>
      </c>
      <c r="F45" s="96" t="b">
        <v>0</v>
      </c>
      <c r="G45" s="96" t="b">
        <v>0</v>
      </c>
    </row>
    <row r="46" spans="1:7" ht="15">
      <c r="A46" s="97" t="s">
        <v>2142</v>
      </c>
      <c r="B46" s="96">
        <v>29</v>
      </c>
      <c r="C46" s="118">
        <v>0.008308084827290172</v>
      </c>
      <c r="D46" s="96" t="s">
        <v>2335</v>
      </c>
      <c r="E46" s="96" t="b">
        <v>0</v>
      </c>
      <c r="F46" s="96" t="b">
        <v>0</v>
      </c>
      <c r="G46" s="96" t="b">
        <v>0</v>
      </c>
    </row>
    <row r="47" spans="1:7" ht="15">
      <c r="A47" s="97" t="s">
        <v>2143</v>
      </c>
      <c r="B47" s="96">
        <v>29</v>
      </c>
      <c r="C47" s="118">
        <v>0.008308084827290172</v>
      </c>
      <c r="D47" s="96" t="s">
        <v>2335</v>
      </c>
      <c r="E47" s="96" t="b">
        <v>0</v>
      </c>
      <c r="F47" s="96" t="b">
        <v>0</v>
      </c>
      <c r="G47" s="96" t="b">
        <v>0</v>
      </c>
    </row>
    <row r="48" spans="1:7" ht="15">
      <c r="A48" s="97" t="s">
        <v>2144</v>
      </c>
      <c r="B48" s="96">
        <v>29</v>
      </c>
      <c r="C48" s="118">
        <v>0.008308084827290172</v>
      </c>
      <c r="D48" s="96" t="s">
        <v>2335</v>
      </c>
      <c r="E48" s="96" t="b">
        <v>0</v>
      </c>
      <c r="F48" s="96" t="b">
        <v>0</v>
      </c>
      <c r="G48" s="96" t="b">
        <v>0</v>
      </c>
    </row>
    <row r="49" spans="1:7" ht="15">
      <c r="A49" s="97" t="s">
        <v>2145</v>
      </c>
      <c r="B49" s="96">
        <v>29</v>
      </c>
      <c r="C49" s="118">
        <v>0.008308084827290172</v>
      </c>
      <c r="D49" s="96" t="s">
        <v>2335</v>
      </c>
      <c r="E49" s="96" t="b">
        <v>0</v>
      </c>
      <c r="F49" s="96" t="b">
        <v>0</v>
      </c>
      <c r="G49" s="96" t="b">
        <v>0</v>
      </c>
    </row>
    <row r="50" spans="1:7" ht="15">
      <c r="A50" s="97" t="s">
        <v>2146</v>
      </c>
      <c r="B50" s="96">
        <v>29</v>
      </c>
      <c r="C50" s="118">
        <v>0.008308084827290172</v>
      </c>
      <c r="D50" s="96" t="s">
        <v>2335</v>
      </c>
      <c r="E50" s="96" t="b">
        <v>0</v>
      </c>
      <c r="F50" s="96" t="b">
        <v>0</v>
      </c>
      <c r="G50" s="96" t="b">
        <v>0</v>
      </c>
    </row>
    <row r="51" spans="1:7" ht="15">
      <c r="A51" s="97" t="s">
        <v>2147</v>
      </c>
      <c r="B51" s="96">
        <v>29</v>
      </c>
      <c r="C51" s="118">
        <v>0.008308084827290172</v>
      </c>
      <c r="D51" s="96" t="s">
        <v>2335</v>
      </c>
      <c r="E51" s="96" t="b">
        <v>0</v>
      </c>
      <c r="F51" s="96" t="b">
        <v>0</v>
      </c>
      <c r="G51" s="96" t="b">
        <v>0</v>
      </c>
    </row>
    <row r="52" spans="1:7" ht="15">
      <c r="A52" s="97" t="s">
        <v>416</v>
      </c>
      <c r="B52" s="96">
        <v>29</v>
      </c>
      <c r="C52" s="118">
        <v>0.008445766768145428</v>
      </c>
      <c r="D52" s="96" t="s">
        <v>2335</v>
      </c>
      <c r="E52" s="96" t="b">
        <v>0</v>
      </c>
      <c r="F52" s="96" t="b">
        <v>0</v>
      </c>
      <c r="G52" s="96" t="b">
        <v>0</v>
      </c>
    </row>
    <row r="53" spans="1:7" ht="15">
      <c r="A53" s="97" t="s">
        <v>2148</v>
      </c>
      <c r="B53" s="96">
        <v>26</v>
      </c>
      <c r="C53" s="118">
        <v>0.007832752666574865</v>
      </c>
      <c r="D53" s="96" t="s">
        <v>2335</v>
      </c>
      <c r="E53" s="96" t="b">
        <v>0</v>
      </c>
      <c r="F53" s="96" t="b">
        <v>0</v>
      </c>
      <c r="G53" s="96" t="b">
        <v>0</v>
      </c>
    </row>
    <row r="54" spans="1:7" ht="15">
      <c r="A54" s="97" t="s">
        <v>2149</v>
      </c>
      <c r="B54" s="96">
        <v>23</v>
      </c>
      <c r="C54" s="118">
        <v>0.007310483411469575</v>
      </c>
      <c r="D54" s="96" t="s">
        <v>2335</v>
      </c>
      <c r="E54" s="96" t="b">
        <v>0</v>
      </c>
      <c r="F54" s="96" t="b">
        <v>0</v>
      </c>
      <c r="G54" s="96" t="b">
        <v>0</v>
      </c>
    </row>
    <row r="55" spans="1:7" ht="15">
      <c r="A55" s="97" t="s">
        <v>2150</v>
      </c>
      <c r="B55" s="96">
        <v>22</v>
      </c>
      <c r="C55" s="118">
        <v>0.00712494578148242</v>
      </c>
      <c r="D55" s="96" t="s">
        <v>2335</v>
      </c>
      <c r="E55" s="96" t="b">
        <v>0</v>
      </c>
      <c r="F55" s="96" t="b">
        <v>0</v>
      </c>
      <c r="G55" s="96" t="b">
        <v>0</v>
      </c>
    </row>
    <row r="56" spans="1:7" ht="15">
      <c r="A56" s="97" t="s">
        <v>2151</v>
      </c>
      <c r="B56" s="96">
        <v>22</v>
      </c>
      <c r="C56" s="118">
        <v>0.00712494578148242</v>
      </c>
      <c r="D56" s="96" t="s">
        <v>2335</v>
      </c>
      <c r="E56" s="96" t="b">
        <v>0</v>
      </c>
      <c r="F56" s="96" t="b">
        <v>0</v>
      </c>
      <c r="G56" s="96" t="b">
        <v>0</v>
      </c>
    </row>
    <row r="57" spans="1:7" ht="15">
      <c r="A57" s="97" t="s">
        <v>2152</v>
      </c>
      <c r="B57" s="96">
        <v>22</v>
      </c>
      <c r="C57" s="118">
        <v>0.00712494578148242</v>
      </c>
      <c r="D57" s="96" t="s">
        <v>2335</v>
      </c>
      <c r="E57" s="96" t="b">
        <v>0</v>
      </c>
      <c r="F57" s="96" t="b">
        <v>0</v>
      </c>
      <c r="G57" s="96" t="b">
        <v>0</v>
      </c>
    </row>
    <row r="58" spans="1:7" ht="15">
      <c r="A58" s="97" t="s">
        <v>2153</v>
      </c>
      <c r="B58" s="96">
        <v>22</v>
      </c>
      <c r="C58" s="118">
        <v>0.00712494578148242</v>
      </c>
      <c r="D58" s="96" t="s">
        <v>2335</v>
      </c>
      <c r="E58" s="96" t="b">
        <v>0</v>
      </c>
      <c r="F58" s="96" t="b">
        <v>0</v>
      </c>
      <c r="G58" s="96" t="b">
        <v>0</v>
      </c>
    </row>
    <row r="59" spans="1:7" ht="15">
      <c r="A59" s="97" t="s">
        <v>2154</v>
      </c>
      <c r="B59" s="96">
        <v>22</v>
      </c>
      <c r="C59" s="118">
        <v>0.00712494578148242</v>
      </c>
      <c r="D59" s="96" t="s">
        <v>2335</v>
      </c>
      <c r="E59" s="96" t="b">
        <v>0</v>
      </c>
      <c r="F59" s="96" t="b">
        <v>0</v>
      </c>
      <c r="G59" s="96" t="b">
        <v>0</v>
      </c>
    </row>
    <row r="60" spans="1:7" ht="15">
      <c r="A60" s="97" t="s">
        <v>2155</v>
      </c>
      <c r="B60" s="96">
        <v>22</v>
      </c>
      <c r="C60" s="118">
        <v>0.00712494578148242</v>
      </c>
      <c r="D60" s="96" t="s">
        <v>2335</v>
      </c>
      <c r="E60" s="96" t="b">
        <v>0</v>
      </c>
      <c r="F60" s="96" t="b">
        <v>0</v>
      </c>
      <c r="G60" s="96" t="b">
        <v>0</v>
      </c>
    </row>
    <row r="61" spans="1:7" ht="15">
      <c r="A61" s="97" t="s">
        <v>2156</v>
      </c>
      <c r="B61" s="96">
        <v>13</v>
      </c>
      <c r="C61" s="118">
        <v>0.005135500926319132</v>
      </c>
      <c r="D61" s="96" t="s">
        <v>2335</v>
      </c>
      <c r="E61" s="96" t="b">
        <v>0</v>
      </c>
      <c r="F61" s="96" t="b">
        <v>0</v>
      </c>
      <c r="G61" s="96" t="b">
        <v>0</v>
      </c>
    </row>
    <row r="62" spans="1:7" ht="15">
      <c r="A62" s="97" t="s">
        <v>2157</v>
      </c>
      <c r="B62" s="96">
        <v>12</v>
      </c>
      <c r="C62" s="118">
        <v>0.004870414192625209</v>
      </c>
      <c r="D62" s="96" t="s">
        <v>2335</v>
      </c>
      <c r="E62" s="96" t="b">
        <v>0</v>
      </c>
      <c r="F62" s="96" t="b">
        <v>0</v>
      </c>
      <c r="G62" s="96" t="b">
        <v>0</v>
      </c>
    </row>
    <row r="63" spans="1:7" ht="15">
      <c r="A63" s="97" t="s">
        <v>384</v>
      </c>
      <c r="B63" s="96">
        <v>12</v>
      </c>
      <c r="C63" s="118">
        <v>0.004870414192625209</v>
      </c>
      <c r="D63" s="96" t="s">
        <v>2335</v>
      </c>
      <c r="E63" s="96" t="b">
        <v>0</v>
      </c>
      <c r="F63" s="96" t="b">
        <v>0</v>
      </c>
      <c r="G63" s="96" t="b">
        <v>0</v>
      </c>
    </row>
    <row r="64" spans="1:7" ht="15">
      <c r="A64" s="97" t="s">
        <v>2158</v>
      </c>
      <c r="B64" s="96">
        <v>12</v>
      </c>
      <c r="C64" s="118">
        <v>0.004870414192625209</v>
      </c>
      <c r="D64" s="96" t="s">
        <v>2335</v>
      </c>
      <c r="E64" s="96" t="b">
        <v>0</v>
      </c>
      <c r="F64" s="96" t="b">
        <v>0</v>
      </c>
      <c r="G64" s="96" t="b">
        <v>0</v>
      </c>
    </row>
    <row r="65" spans="1:7" ht="15">
      <c r="A65" s="97" t="s">
        <v>2159</v>
      </c>
      <c r="B65" s="96">
        <v>11</v>
      </c>
      <c r="C65" s="118">
        <v>0.004594039854075725</v>
      </c>
      <c r="D65" s="96" t="s">
        <v>2335</v>
      </c>
      <c r="E65" s="96" t="b">
        <v>0</v>
      </c>
      <c r="F65" s="96" t="b">
        <v>0</v>
      </c>
      <c r="G65" s="96" t="b">
        <v>0</v>
      </c>
    </row>
    <row r="66" spans="1:7" ht="15">
      <c r="A66" s="97" t="s">
        <v>2160</v>
      </c>
      <c r="B66" s="96">
        <v>11</v>
      </c>
      <c r="C66" s="118">
        <v>0.004594039854075725</v>
      </c>
      <c r="D66" s="96" t="s">
        <v>2335</v>
      </c>
      <c r="E66" s="96" t="b">
        <v>0</v>
      </c>
      <c r="F66" s="96" t="b">
        <v>0</v>
      </c>
      <c r="G66" s="96" t="b">
        <v>0</v>
      </c>
    </row>
    <row r="67" spans="1:7" ht="15">
      <c r="A67" s="97" t="s">
        <v>2161</v>
      </c>
      <c r="B67" s="96">
        <v>11</v>
      </c>
      <c r="C67" s="118">
        <v>0.004594039854075725</v>
      </c>
      <c r="D67" s="96" t="s">
        <v>2335</v>
      </c>
      <c r="E67" s="96" t="b">
        <v>0</v>
      </c>
      <c r="F67" s="96" t="b">
        <v>0</v>
      </c>
      <c r="G67" s="96" t="b">
        <v>0</v>
      </c>
    </row>
    <row r="68" spans="1:7" ht="15">
      <c r="A68" s="97" t="s">
        <v>2162</v>
      </c>
      <c r="B68" s="96">
        <v>11</v>
      </c>
      <c r="C68" s="118">
        <v>0.004594039854075725</v>
      </c>
      <c r="D68" s="96" t="s">
        <v>2335</v>
      </c>
      <c r="E68" s="96" t="b">
        <v>0</v>
      </c>
      <c r="F68" s="96" t="b">
        <v>0</v>
      </c>
      <c r="G68" s="96" t="b">
        <v>0</v>
      </c>
    </row>
    <row r="69" spans="1:7" ht="15">
      <c r="A69" s="97" t="s">
        <v>2163</v>
      </c>
      <c r="B69" s="96">
        <v>11</v>
      </c>
      <c r="C69" s="118">
        <v>0.004594039854075725</v>
      </c>
      <c r="D69" s="96" t="s">
        <v>2335</v>
      </c>
      <c r="E69" s="96" t="b">
        <v>0</v>
      </c>
      <c r="F69" s="96" t="b">
        <v>0</v>
      </c>
      <c r="G69" s="96" t="b">
        <v>0</v>
      </c>
    </row>
    <row r="70" spans="1:7" ht="15">
      <c r="A70" s="97" t="s">
        <v>2164</v>
      </c>
      <c r="B70" s="96">
        <v>11</v>
      </c>
      <c r="C70" s="118">
        <v>0.004594039854075725</v>
      </c>
      <c r="D70" s="96" t="s">
        <v>2335</v>
      </c>
      <c r="E70" s="96" t="b">
        <v>0</v>
      </c>
      <c r="F70" s="96" t="b">
        <v>0</v>
      </c>
      <c r="G70" s="96" t="b">
        <v>0</v>
      </c>
    </row>
    <row r="71" spans="1:7" ht="15">
      <c r="A71" s="97" t="s">
        <v>2165</v>
      </c>
      <c r="B71" s="96">
        <v>11</v>
      </c>
      <c r="C71" s="118">
        <v>0.004594039854075725</v>
      </c>
      <c r="D71" s="96" t="s">
        <v>2335</v>
      </c>
      <c r="E71" s="96" t="b">
        <v>0</v>
      </c>
      <c r="F71" s="96" t="b">
        <v>0</v>
      </c>
      <c r="G71" s="96" t="b">
        <v>0</v>
      </c>
    </row>
    <row r="72" spans="1:7" ht="15">
      <c r="A72" s="97" t="s">
        <v>2166</v>
      </c>
      <c r="B72" s="96">
        <v>11</v>
      </c>
      <c r="C72" s="118">
        <v>0.004594039854075725</v>
      </c>
      <c r="D72" s="96" t="s">
        <v>2335</v>
      </c>
      <c r="E72" s="96" t="b">
        <v>0</v>
      </c>
      <c r="F72" s="96" t="b">
        <v>0</v>
      </c>
      <c r="G72" s="96" t="b">
        <v>0</v>
      </c>
    </row>
    <row r="73" spans="1:7" ht="15">
      <c r="A73" s="97" t="s">
        <v>2167</v>
      </c>
      <c r="B73" s="96">
        <v>11</v>
      </c>
      <c r="C73" s="118">
        <v>0.004594039854075725</v>
      </c>
      <c r="D73" s="96" t="s">
        <v>2335</v>
      </c>
      <c r="E73" s="96" t="b">
        <v>0</v>
      </c>
      <c r="F73" s="96" t="b">
        <v>0</v>
      </c>
      <c r="G73" s="96" t="b">
        <v>0</v>
      </c>
    </row>
    <row r="74" spans="1:7" ht="15">
      <c r="A74" s="97" t="s">
        <v>2168</v>
      </c>
      <c r="B74" s="96">
        <v>11</v>
      </c>
      <c r="C74" s="118">
        <v>0.004594039854075725</v>
      </c>
      <c r="D74" s="96" t="s">
        <v>2335</v>
      </c>
      <c r="E74" s="96" t="b">
        <v>0</v>
      </c>
      <c r="F74" s="96" t="b">
        <v>0</v>
      </c>
      <c r="G74" s="96" t="b">
        <v>0</v>
      </c>
    </row>
    <row r="75" spans="1:7" ht="15">
      <c r="A75" s="97" t="s">
        <v>2169</v>
      </c>
      <c r="B75" s="96">
        <v>11</v>
      </c>
      <c r="C75" s="118">
        <v>0.004594039854075725</v>
      </c>
      <c r="D75" s="96" t="s">
        <v>2335</v>
      </c>
      <c r="E75" s="96" t="b">
        <v>0</v>
      </c>
      <c r="F75" s="96" t="b">
        <v>0</v>
      </c>
      <c r="G75" s="96" t="b">
        <v>0</v>
      </c>
    </row>
    <row r="76" spans="1:7" ht="15">
      <c r="A76" s="97" t="s">
        <v>2170</v>
      </c>
      <c r="B76" s="96">
        <v>11</v>
      </c>
      <c r="C76" s="118">
        <v>0.004594039854075725</v>
      </c>
      <c r="D76" s="96" t="s">
        <v>2335</v>
      </c>
      <c r="E76" s="96" t="b">
        <v>0</v>
      </c>
      <c r="F76" s="96" t="b">
        <v>0</v>
      </c>
      <c r="G76" s="96" t="b">
        <v>0</v>
      </c>
    </row>
    <row r="77" spans="1:7" ht="15">
      <c r="A77" s="97" t="s">
        <v>2171</v>
      </c>
      <c r="B77" s="96">
        <v>11</v>
      </c>
      <c r="C77" s="118">
        <v>0.004594039854075725</v>
      </c>
      <c r="D77" s="96" t="s">
        <v>2335</v>
      </c>
      <c r="E77" s="96" t="b">
        <v>0</v>
      </c>
      <c r="F77" s="96" t="b">
        <v>0</v>
      </c>
      <c r="G77" s="96" t="b">
        <v>0</v>
      </c>
    </row>
    <row r="78" spans="1:7" ht="15">
      <c r="A78" s="97" t="s">
        <v>2172</v>
      </c>
      <c r="B78" s="96">
        <v>11</v>
      </c>
      <c r="C78" s="118">
        <v>0.004594039854075725</v>
      </c>
      <c r="D78" s="96" t="s">
        <v>2335</v>
      </c>
      <c r="E78" s="96" t="b">
        <v>0</v>
      </c>
      <c r="F78" s="96" t="b">
        <v>0</v>
      </c>
      <c r="G78" s="96" t="b">
        <v>0</v>
      </c>
    </row>
    <row r="79" spans="1:7" ht="15">
      <c r="A79" s="97" t="s">
        <v>2173</v>
      </c>
      <c r="B79" s="96">
        <v>11</v>
      </c>
      <c r="C79" s="118">
        <v>0.004594039854075725</v>
      </c>
      <c r="D79" s="96" t="s">
        <v>2335</v>
      </c>
      <c r="E79" s="96" t="b">
        <v>0</v>
      </c>
      <c r="F79" s="96" t="b">
        <v>0</v>
      </c>
      <c r="G79" s="96" t="b">
        <v>0</v>
      </c>
    </row>
    <row r="80" spans="1:7" ht="15">
      <c r="A80" s="97" t="s">
        <v>2174</v>
      </c>
      <c r="B80" s="96">
        <v>11</v>
      </c>
      <c r="C80" s="118">
        <v>0.004594039854075725</v>
      </c>
      <c r="D80" s="96" t="s">
        <v>2335</v>
      </c>
      <c r="E80" s="96" t="b">
        <v>0</v>
      </c>
      <c r="F80" s="96" t="b">
        <v>0</v>
      </c>
      <c r="G80" s="96" t="b">
        <v>0</v>
      </c>
    </row>
    <row r="81" spans="1:7" ht="15">
      <c r="A81" s="97" t="s">
        <v>2175</v>
      </c>
      <c r="B81" s="96">
        <v>10</v>
      </c>
      <c r="C81" s="118">
        <v>0.004305349042289309</v>
      </c>
      <c r="D81" s="96" t="s">
        <v>2335</v>
      </c>
      <c r="E81" s="96" t="b">
        <v>0</v>
      </c>
      <c r="F81" s="96" t="b">
        <v>0</v>
      </c>
      <c r="G81" s="96" t="b">
        <v>0</v>
      </c>
    </row>
    <row r="82" spans="1:7" ht="15">
      <c r="A82" s="97" t="s">
        <v>2176</v>
      </c>
      <c r="B82" s="96">
        <v>9</v>
      </c>
      <c r="C82" s="118">
        <v>0.004003106167669748</v>
      </c>
      <c r="D82" s="96" t="s">
        <v>2335</v>
      </c>
      <c r="E82" s="96" t="b">
        <v>0</v>
      </c>
      <c r="F82" s="96" t="b">
        <v>0</v>
      </c>
      <c r="G82" s="96" t="b">
        <v>0</v>
      </c>
    </row>
    <row r="83" spans="1:7" ht="15">
      <c r="A83" s="97" t="s">
        <v>2177</v>
      </c>
      <c r="B83" s="96">
        <v>9</v>
      </c>
      <c r="C83" s="118">
        <v>0.004003106167669748</v>
      </c>
      <c r="D83" s="96" t="s">
        <v>2335</v>
      </c>
      <c r="E83" s="96" t="b">
        <v>0</v>
      </c>
      <c r="F83" s="96" t="b">
        <v>0</v>
      </c>
      <c r="G83" s="96" t="b">
        <v>0</v>
      </c>
    </row>
    <row r="84" spans="1:7" ht="15">
      <c r="A84" s="97" t="s">
        <v>2178</v>
      </c>
      <c r="B84" s="96">
        <v>9</v>
      </c>
      <c r="C84" s="118">
        <v>0.004003106167669748</v>
      </c>
      <c r="D84" s="96" t="s">
        <v>2335</v>
      </c>
      <c r="E84" s="96" t="b">
        <v>0</v>
      </c>
      <c r="F84" s="96" t="b">
        <v>0</v>
      </c>
      <c r="G84" s="96" t="b">
        <v>0</v>
      </c>
    </row>
    <row r="85" spans="1:7" ht="15">
      <c r="A85" s="97" t="s">
        <v>2179</v>
      </c>
      <c r="B85" s="96">
        <v>9</v>
      </c>
      <c r="C85" s="118">
        <v>0.004003106167669748</v>
      </c>
      <c r="D85" s="96" t="s">
        <v>2335</v>
      </c>
      <c r="E85" s="96" t="b">
        <v>0</v>
      </c>
      <c r="F85" s="96" t="b">
        <v>0</v>
      </c>
      <c r="G85" s="96" t="b">
        <v>0</v>
      </c>
    </row>
    <row r="86" spans="1:7" ht="15">
      <c r="A86" s="97" t="s">
        <v>346</v>
      </c>
      <c r="B86" s="96">
        <v>7</v>
      </c>
      <c r="C86" s="118">
        <v>0.003351536765708499</v>
      </c>
      <c r="D86" s="96" t="s">
        <v>2335</v>
      </c>
      <c r="E86" s="96" t="b">
        <v>0</v>
      </c>
      <c r="F86" s="96" t="b">
        <v>0</v>
      </c>
      <c r="G86" s="96" t="b">
        <v>0</v>
      </c>
    </row>
    <row r="87" spans="1:7" ht="15">
      <c r="A87" s="97" t="s">
        <v>2180</v>
      </c>
      <c r="B87" s="96">
        <v>6</v>
      </c>
      <c r="C87" s="118">
        <v>0.0029978799854041586</v>
      </c>
      <c r="D87" s="96" t="s">
        <v>2335</v>
      </c>
      <c r="E87" s="96" t="b">
        <v>0</v>
      </c>
      <c r="F87" s="96" t="b">
        <v>0</v>
      </c>
      <c r="G87" s="96" t="b">
        <v>0</v>
      </c>
    </row>
    <row r="88" spans="1:7" ht="15">
      <c r="A88" s="97" t="s">
        <v>2181</v>
      </c>
      <c r="B88" s="96">
        <v>6</v>
      </c>
      <c r="C88" s="118">
        <v>0.0029978799854041586</v>
      </c>
      <c r="D88" s="96" t="s">
        <v>2335</v>
      </c>
      <c r="E88" s="96" t="b">
        <v>0</v>
      </c>
      <c r="F88" s="96" t="b">
        <v>0</v>
      </c>
      <c r="G88" s="96" t="b">
        <v>0</v>
      </c>
    </row>
    <row r="89" spans="1:7" ht="15">
      <c r="A89" s="97" t="s">
        <v>2182</v>
      </c>
      <c r="B89" s="96">
        <v>6</v>
      </c>
      <c r="C89" s="118">
        <v>0.0029978799854041586</v>
      </c>
      <c r="D89" s="96" t="s">
        <v>2335</v>
      </c>
      <c r="E89" s="96" t="b">
        <v>0</v>
      </c>
      <c r="F89" s="96" t="b">
        <v>0</v>
      </c>
      <c r="G89" s="96" t="b">
        <v>0</v>
      </c>
    </row>
    <row r="90" spans="1:7" ht="15">
      <c r="A90" s="97" t="s">
        <v>2183</v>
      </c>
      <c r="B90" s="96">
        <v>5</v>
      </c>
      <c r="C90" s="118">
        <v>0.0026215685953876163</v>
      </c>
      <c r="D90" s="96" t="s">
        <v>2335</v>
      </c>
      <c r="E90" s="96" t="b">
        <v>0</v>
      </c>
      <c r="F90" s="96" t="b">
        <v>0</v>
      </c>
      <c r="G90" s="96" t="b">
        <v>0</v>
      </c>
    </row>
    <row r="91" spans="1:7" ht="15">
      <c r="A91" s="97" t="s">
        <v>2184</v>
      </c>
      <c r="B91" s="96">
        <v>4</v>
      </c>
      <c r="C91" s="118">
        <v>0.002218015017130101</v>
      </c>
      <c r="D91" s="96" t="s">
        <v>2335</v>
      </c>
      <c r="E91" s="96" t="b">
        <v>0</v>
      </c>
      <c r="F91" s="96" t="b">
        <v>0</v>
      </c>
      <c r="G91" s="96" t="b">
        <v>0</v>
      </c>
    </row>
    <row r="92" spans="1:7" ht="15">
      <c r="A92" s="97" t="s">
        <v>2185</v>
      </c>
      <c r="B92" s="96">
        <v>4</v>
      </c>
      <c r="C92" s="118">
        <v>0.002218015017130101</v>
      </c>
      <c r="D92" s="96" t="s">
        <v>2335</v>
      </c>
      <c r="E92" s="96" t="b">
        <v>0</v>
      </c>
      <c r="F92" s="96" t="b">
        <v>0</v>
      </c>
      <c r="G92" s="96" t="b">
        <v>0</v>
      </c>
    </row>
    <row r="93" spans="1:7" ht="15">
      <c r="A93" s="97" t="s">
        <v>2186</v>
      </c>
      <c r="B93" s="96">
        <v>4</v>
      </c>
      <c r="C93" s="118">
        <v>0.002218015017130101</v>
      </c>
      <c r="D93" s="96" t="s">
        <v>2335</v>
      </c>
      <c r="E93" s="96" t="b">
        <v>0</v>
      </c>
      <c r="F93" s="96" t="b">
        <v>0</v>
      </c>
      <c r="G93" s="96" t="b">
        <v>0</v>
      </c>
    </row>
    <row r="94" spans="1:7" ht="15">
      <c r="A94" s="97" t="s">
        <v>2187</v>
      </c>
      <c r="B94" s="96">
        <v>4</v>
      </c>
      <c r="C94" s="118">
        <v>0.002218015017130101</v>
      </c>
      <c r="D94" s="96" t="s">
        <v>2335</v>
      </c>
      <c r="E94" s="96" t="b">
        <v>0</v>
      </c>
      <c r="F94" s="96" t="b">
        <v>0</v>
      </c>
      <c r="G94" s="96" t="b">
        <v>0</v>
      </c>
    </row>
    <row r="95" spans="1:7" ht="15">
      <c r="A95" s="97" t="s">
        <v>2188</v>
      </c>
      <c r="B95" s="96">
        <v>4</v>
      </c>
      <c r="C95" s="118">
        <v>0.002218015017130101</v>
      </c>
      <c r="D95" s="96" t="s">
        <v>2335</v>
      </c>
      <c r="E95" s="96" t="b">
        <v>0</v>
      </c>
      <c r="F95" s="96" t="b">
        <v>0</v>
      </c>
      <c r="G95" s="96" t="b">
        <v>0</v>
      </c>
    </row>
    <row r="96" spans="1:7" ht="15">
      <c r="A96" s="97" t="s">
        <v>2189</v>
      </c>
      <c r="B96" s="96">
        <v>4</v>
      </c>
      <c r="C96" s="118">
        <v>0.002373701916330475</v>
      </c>
      <c r="D96" s="96" t="s">
        <v>2335</v>
      </c>
      <c r="E96" s="96" t="b">
        <v>0</v>
      </c>
      <c r="F96" s="96" t="b">
        <v>0</v>
      </c>
      <c r="G96" s="96" t="b">
        <v>0</v>
      </c>
    </row>
    <row r="97" spans="1:7" ht="15">
      <c r="A97" s="97" t="s">
        <v>2190</v>
      </c>
      <c r="B97" s="96">
        <v>3</v>
      </c>
      <c r="C97" s="118">
        <v>0.001780276437247856</v>
      </c>
      <c r="D97" s="96" t="s">
        <v>2335</v>
      </c>
      <c r="E97" s="96" t="b">
        <v>0</v>
      </c>
      <c r="F97" s="96" t="b">
        <v>0</v>
      </c>
      <c r="G97" s="96" t="b">
        <v>0</v>
      </c>
    </row>
    <row r="98" spans="1:7" ht="15">
      <c r="A98" s="97" t="s">
        <v>2191</v>
      </c>
      <c r="B98" s="96">
        <v>3</v>
      </c>
      <c r="C98" s="118">
        <v>0.001780276437247856</v>
      </c>
      <c r="D98" s="96" t="s">
        <v>2335</v>
      </c>
      <c r="E98" s="96" t="b">
        <v>0</v>
      </c>
      <c r="F98" s="96" t="b">
        <v>0</v>
      </c>
      <c r="G98" s="96" t="b">
        <v>0</v>
      </c>
    </row>
    <row r="99" spans="1:7" ht="15">
      <c r="A99" s="97" t="s">
        <v>2192</v>
      </c>
      <c r="B99" s="96">
        <v>3</v>
      </c>
      <c r="C99" s="118">
        <v>0.001780276437247856</v>
      </c>
      <c r="D99" s="96" t="s">
        <v>2335</v>
      </c>
      <c r="E99" s="96" t="b">
        <v>0</v>
      </c>
      <c r="F99" s="96" t="b">
        <v>0</v>
      </c>
      <c r="G99" s="96" t="b">
        <v>0</v>
      </c>
    </row>
    <row r="100" spans="1:7" ht="15">
      <c r="A100" s="97" t="s">
        <v>444</v>
      </c>
      <c r="B100" s="96">
        <v>3</v>
      </c>
      <c r="C100" s="118">
        <v>0.001780276437247856</v>
      </c>
      <c r="D100" s="96" t="s">
        <v>2335</v>
      </c>
      <c r="E100" s="96" t="b">
        <v>0</v>
      </c>
      <c r="F100" s="96" t="b">
        <v>0</v>
      </c>
      <c r="G100" s="96" t="b">
        <v>0</v>
      </c>
    </row>
    <row r="101" spans="1:7" ht="15">
      <c r="A101" s="97" t="s">
        <v>2193</v>
      </c>
      <c r="B101" s="96">
        <v>3</v>
      </c>
      <c r="C101" s="118">
        <v>0.001780276437247856</v>
      </c>
      <c r="D101" s="96" t="s">
        <v>2335</v>
      </c>
      <c r="E101" s="96" t="b">
        <v>0</v>
      </c>
      <c r="F101" s="96" t="b">
        <v>0</v>
      </c>
      <c r="G101" s="96" t="b">
        <v>0</v>
      </c>
    </row>
    <row r="102" spans="1:7" ht="15">
      <c r="A102" s="97" t="s">
        <v>2194</v>
      </c>
      <c r="B102" s="96">
        <v>3</v>
      </c>
      <c r="C102" s="118">
        <v>0.001780276437247856</v>
      </c>
      <c r="D102" s="96" t="s">
        <v>2335</v>
      </c>
      <c r="E102" s="96" t="b">
        <v>0</v>
      </c>
      <c r="F102" s="96" t="b">
        <v>0</v>
      </c>
      <c r="G102" s="96" t="b">
        <v>0</v>
      </c>
    </row>
    <row r="103" spans="1:7" ht="15">
      <c r="A103" s="97" t="s">
        <v>2195</v>
      </c>
      <c r="B103" s="96">
        <v>3</v>
      </c>
      <c r="C103" s="118">
        <v>0.001780276437247856</v>
      </c>
      <c r="D103" s="96" t="s">
        <v>2335</v>
      </c>
      <c r="E103" s="96" t="b">
        <v>0</v>
      </c>
      <c r="F103" s="96" t="b">
        <v>0</v>
      </c>
      <c r="G103" s="96" t="b">
        <v>0</v>
      </c>
    </row>
    <row r="104" spans="1:7" ht="15">
      <c r="A104" s="97" t="s">
        <v>2196</v>
      </c>
      <c r="B104" s="96">
        <v>3</v>
      </c>
      <c r="C104" s="118">
        <v>0.001780276437247856</v>
      </c>
      <c r="D104" s="96" t="s">
        <v>2335</v>
      </c>
      <c r="E104" s="96" t="b">
        <v>0</v>
      </c>
      <c r="F104" s="96" t="b">
        <v>0</v>
      </c>
      <c r="G104" s="96" t="b">
        <v>0</v>
      </c>
    </row>
    <row r="105" spans="1:7" ht="15">
      <c r="A105" s="97" t="s">
        <v>2197</v>
      </c>
      <c r="B105" s="96">
        <v>3</v>
      </c>
      <c r="C105" s="118">
        <v>0.001780276437247856</v>
      </c>
      <c r="D105" s="96" t="s">
        <v>2335</v>
      </c>
      <c r="E105" s="96" t="b">
        <v>0</v>
      </c>
      <c r="F105" s="96" t="b">
        <v>0</v>
      </c>
      <c r="G105" s="96" t="b">
        <v>0</v>
      </c>
    </row>
    <row r="106" spans="1:7" ht="15">
      <c r="A106" s="97" t="s">
        <v>2198</v>
      </c>
      <c r="B106" s="96">
        <v>3</v>
      </c>
      <c r="C106" s="118">
        <v>0.001780276437247856</v>
      </c>
      <c r="D106" s="96" t="s">
        <v>2335</v>
      </c>
      <c r="E106" s="96" t="b">
        <v>0</v>
      </c>
      <c r="F106" s="96" t="b">
        <v>0</v>
      </c>
      <c r="G106" s="96" t="b">
        <v>0</v>
      </c>
    </row>
    <row r="107" spans="1:7" ht="15">
      <c r="A107" s="97" t="s">
        <v>2199</v>
      </c>
      <c r="B107" s="96">
        <v>3</v>
      </c>
      <c r="C107" s="118">
        <v>0.001780276437247856</v>
      </c>
      <c r="D107" s="96" t="s">
        <v>2335</v>
      </c>
      <c r="E107" s="96" t="b">
        <v>0</v>
      </c>
      <c r="F107" s="96" t="b">
        <v>0</v>
      </c>
      <c r="G107" s="96" t="b">
        <v>0</v>
      </c>
    </row>
    <row r="108" spans="1:7" ht="15">
      <c r="A108" s="97" t="s">
        <v>2200</v>
      </c>
      <c r="B108" s="96">
        <v>3</v>
      </c>
      <c r="C108" s="118">
        <v>0.001780276437247856</v>
      </c>
      <c r="D108" s="96" t="s">
        <v>2335</v>
      </c>
      <c r="E108" s="96" t="b">
        <v>0</v>
      </c>
      <c r="F108" s="96" t="b">
        <v>0</v>
      </c>
      <c r="G108" s="96" t="b">
        <v>0</v>
      </c>
    </row>
    <row r="109" spans="1:7" ht="15">
      <c r="A109" s="97" t="s">
        <v>2201</v>
      </c>
      <c r="B109" s="96">
        <v>3</v>
      </c>
      <c r="C109" s="118">
        <v>0.001780276437247856</v>
      </c>
      <c r="D109" s="96" t="s">
        <v>2335</v>
      </c>
      <c r="E109" s="96" t="b">
        <v>0</v>
      </c>
      <c r="F109" s="96" t="b">
        <v>0</v>
      </c>
      <c r="G109" s="96" t="b">
        <v>0</v>
      </c>
    </row>
    <row r="110" spans="1:7" ht="15">
      <c r="A110" s="97" t="s">
        <v>2202</v>
      </c>
      <c r="B110" s="96">
        <v>3</v>
      </c>
      <c r="C110" s="118">
        <v>0.001780276437247856</v>
      </c>
      <c r="D110" s="96" t="s">
        <v>2335</v>
      </c>
      <c r="E110" s="96" t="b">
        <v>0</v>
      </c>
      <c r="F110" s="96" t="b">
        <v>0</v>
      </c>
      <c r="G110" s="96" t="b">
        <v>0</v>
      </c>
    </row>
    <row r="111" spans="1:7" ht="15">
      <c r="A111" s="97" t="s">
        <v>2203</v>
      </c>
      <c r="B111" s="96">
        <v>3</v>
      </c>
      <c r="C111" s="118">
        <v>0.001780276437247856</v>
      </c>
      <c r="D111" s="96" t="s">
        <v>2335</v>
      </c>
      <c r="E111" s="96" t="b">
        <v>0</v>
      </c>
      <c r="F111" s="96" t="b">
        <v>0</v>
      </c>
      <c r="G111" s="96" t="b">
        <v>0</v>
      </c>
    </row>
    <row r="112" spans="1:7" ht="15">
      <c r="A112" s="97" t="s">
        <v>2204</v>
      </c>
      <c r="B112" s="96">
        <v>3</v>
      </c>
      <c r="C112" s="118">
        <v>0.001780276437247856</v>
      </c>
      <c r="D112" s="96" t="s">
        <v>2335</v>
      </c>
      <c r="E112" s="96" t="b">
        <v>0</v>
      </c>
      <c r="F112" s="96" t="b">
        <v>0</v>
      </c>
      <c r="G112" s="96" t="b">
        <v>0</v>
      </c>
    </row>
    <row r="113" spans="1:7" ht="15">
      <c r="A113" s="97" t="s">
        <v>2205</v>
      </c>
      <c r="B113" s="96">
        <v>3</v>
      </c>
      <c r="C113" s="118">
        <v>0.001780276437247856</v>
      </c>
      <c r="D113" s="96" t="s">
        <v>2335</v>
      </c>
      <c r="E113" s="96" t="b">
        <v>0</v>
      </c>
      <c r="F113" s="96" t="b">
        <v>0</v>
      </c>
      <c r="G113" s="96" t="b">
        <v>0</v>
      </c>
    </row>
    <row r="114" spans="1:7" ht="15">
      <c r="A114" s="97" t="s">
        <v>2206</v>
      </c>
      <c r="B114" s="96">
        <v>3</v>
      </c>
      <c r="C114" s="118">
        <v>0.001780276437247856</v>
      </c>
      <c r="D114" s="96" t="s">
        <v>2335</v>
      </c>
      <c r="E114" s="96" t="b">
        <v>0</v>
      </c>
      <c r="F114" s="96" t="b">
        <v>0</v>
      </c>
      <c r="G114" s="96" t="b">
        <v>0</v>
      </c>
    </row>
    <row r="115" spans="1:7" ht="15">
      <c r="A115" s="97" t="s">
        <v>2207</v>
      </c>
      <c r="B115" s="96">
        <v>3</v>
      </c>
      <c r="C115" s="118">
        <v>0.001780276437247856</v>
      </c>
      <c r="D115" s="96" t="s">
        <v>2335</v>
      </c>
      <c r="E115" s="96" t="b">
        <v>0</v>
      </c>
      <c r="F115" s="96" t="b">
        <v>0</v>
      </c>
      <c r="G115" s="96" t="b">
        <v>0</v>
      </c>
    </row>
    <row r="116" spans="1:7" ht="15">
      <c r="A116" s="97" t="s">
        <v>2208</v>
      </c>
      <c r="B116" s="96">
        <v>3</v>
      </c>
      <c r="C116" s="118">
        <v>0.001780276437247856</v>
      </c>
      <c r="D116" s="96" t="s">
        <v>2335</v>
      </c>
      <c r="E116" s="96" t="b">
        <v>0</v>
      </c>
      <c r="F116" s="96" t="b">
        <v>0</v>
      </c>
      <c r="G116" s="96" t="b">
        <v>0</v>
      </c>
    </row>
    <row r="117" spans="1:7" ht="15">
      <c r="A117" s="97" t="s">
        <v>2209</v>
      </c>
      <c r="B117" s="96">
        <v>3</v>
      </c>
      <c r="C117" s="118">
        <v>0.001780276437247856</v>
      </c>
      <c r="D117" s="96" t="s">
        <v>2335</v>
      </c>
      <c r="E117" s="96" t="b">
        <v>0</v>
      </c>
      <c r="F117" s="96" t="b">
        <v>0</v>
      </c>
      <c r="G117" s="96" t="b">
        <v>0</v>
      </c>
    </row>
    <row r="118" spans="1:7" ht="15">
      <c r="A118" s="97" t="s">
        <v>2210</v>
      </c>
      <c r="B118" s="96">
        <v>3</v>
      </c>
      <c r="C118" s="118">
        <v>0.001780276437247856</v>
      </c>
      <c r="D118" s="96" t="s">
        <v>2335</v>
      </c>
      <c r="E118" s="96" t="b">
        <v>0</v>
      </c>
      <c r="F118" s="96" t="b">
        <v>0</v>
      </c>
      <c r="G118" s="96" t="b">
        <v>0</v>
      </c>
    </row>
    <row r="119" spans="1:7" ht="15">
      <c r="A119" s="97" t="s">
        <v>431</v>
      </c>
      <c r="B119" s="96">
        <v>3</v>
      </c>
      <c r="C119" s="118">
        <v>0.001780276437247856</v>
      </c>
      <c r="D119" s="96" t="s">
        <v>2335</v>
      </c>
      <c r="E119" s="96" t="b">
        <v>0</v>
      </c>
      <c r="F119" s="96" t="b">
        <v>0</v>
      </c>
      <c r="G119" s="96" t="b">
        <v>0</v>
      </c>
    </row>
    <row r="120" spans="1:7" ht="15">
      <c r="A120" s="97" t="s">
        <v>434</v>
      </c>
      <c r="B120" s="96">
        <v>3</v>
      </c>
      <c r="C120" s="118">
        <v>0.001780276437247856</v>
      </c>
      <c r="D120" s="96" t="s">
        <v>2335</v>
      </c>
      <c r="E120" s="96" t="b">
        <v>0</v>
      </c>
      <c r="F120" s="96" t="b">
        <v>0</v>
      </c>
      <c r="G120" s="96" t="b">
        <v>0</v>
      </c>
    </row>
    <row r="121" spans="1:7" ht="15">
      <c r="A121" s="97" t="s">
        <v>2211</v>
      </c>
      <c r="B121" s="96">
        <v>3</v>
      </c>
      <c r="C121" s="118">
        <v>0.001780276437247856</v>
      </c>
      <c r="D121" s="96" t="s">
        <v>2335</v>
      </c>
      <c r="E121" s="96" t="b">
        <v>0</v>
      </c>
      <c r="F121" s="96" t="b">
        <v>0</v>
      </c>
      <c r="G121" s="96" t="b">
        <v>0</v>
      </c>
    </row>
    <row r="122" spans="1:7" ht="15">
      <c r="A122" s="97" t="s">
        <v>2212</v>
      </c>
      <c r="B122" s="96">
        <v>3</v>
      </c>
      <c r="C122" s="118">
        <v>0.001780276437247856</v>
      </c>
      <c r="D122" s="96" t="s">
        <v>2335</v>
      </c>
      <c r="E122" s="96" t="b">
        <v>0</v>
      </c>
      <c r="F122" s="96" t="b">
        <v>0</v>
      </c>
      <c r="G122" s="96" t="b">
        <v>0</v>
      </c>
    </row>
    <row r="123" spans="1:7" ht="15">
      <c r="A123" s="97" t="s">
        <v>2213</v>
      </c>
      <c r="B123" s="96">
        <v>3</v>
      </c>
      <c r="C123" s="118">
        <v>0.001780276437247856</v>
      </c>
      <c r="D123" s="96" t="s">
        <v>2335</v>
      </c>
      <c r="E123" s="96" t="b">
        <v>0</v>
      </c>
      <c r="F123" s="96" t="b">
        <v>0</v>
      </c>
      <c r="G123" s="96" t="b">
        <v>0</v>
      </c>
    </row>
    <row r="124" spans="1:7" ht="15">
      <c r="A124" s="97" t="s">
        <v>2214</v>
      </c>
      <c r="B124" s="96">
        <v>3</v>
      </c>
      <c r="C124" s="118">
        <v>0.001780276437247856</v>
      </c>
      <c r="D124" s="96" t="s">
        <v>2335</v>
      </c>
      <c r="E124" s="96" t="b">
        <v>0</v>
      </c>
      <c r="F124" s="96" t="b">
        <v>0</v>
      </c>
      <c r="G124" s="96" t="b">
        <v>0</v>
      </c>
    </row>
    <row r="125" spans="1:7" ht="15">
      <c r="A125" s="97" t="s">
        <v>2215</v>
      </c>
      <c r="B125" s="96">
        <v>3</v>
      </c>
      <c r="C125" s="118">
        <v>0.001780276437247856</v>
      </c>
      <c r="D125" s="96" t="s">
        <v>2335</v>
      </c>
      <c r="E125" s="96" t="b">
        <v>0</v>
      </c>
      <c r="F125" s="96" t="b">
        <v>0</v>
      </c>
      <c r="G125" s="96" t="b">
        <v>0</v>
      </c>
    </row>
    <row r="126" spans="1:7" ht="15">
      <c r="A126" s="97" t="s">
        <v>430</v>
      </c>
      <c r="B126" s="96">
        <v>3</v>
      </c>
      <c r="C126" s="118">
        <v>0.001780276437247856</v>
      </c>
      <c r="D126" s="96" t="s">
        <v>2335</v>
      </c>
      <c r="E126" s="96" t="b">
        <v>0</v>
      </c>
      <c r="F126" s="96" t="b">
        <v>0</v>
      </c>
      <c r="G126" s="96" t="b">
        <v>0</v>
      </c>
    </row>
    <row r="127" spans="1:7" ht="15">
      <c r="A127" s="97" t="s">
        <v>2216</v>
      </c>
      <c r="B127" s="96">
        <v>3</v>
      </c>
      <c r="C127" s="118">
        <v>0.001780276437247856</v>
      </c>
      <c r="D127" s="96" t="s">
        <v>2335</v>
      </c>
      <c r="E127" s="96" t="b">
        <v>0</v>
      </c>
      <c r="F127" s="96" t="b">
        <v>0</v>
      </c>
      <c r="G127" s="96" t="b">
        <v>0</v>
      </c>
    </row>
    <row r="128" spans="1:7" ht="15">
      <c r="A128" s="97" t="s">
        <v>420</v>
      </c>
      <c r="B128" s="96">
        <v>3</v>
      </c>
      <c r="C128" s="118">
        <v>0.001780276437247856</v>
      </c>
      <c r="D128" s="96" t="s">
        <v>2335</v>
      </c>
      <c r="E128" s="96" t="b">
        <v>0</v>
      </c>
      <c r="F128" s="96" t="b">
        <v>0</v>
      </c>
      <c r="G128" s="96" t="b">
        <v>0</v>
      </c>
    </row>
    <row r="129" spans="1:7" ht="15">
      <c r="A129" s="97" t="s">
        <v>2217</v>
      </c>
      <c r="B129" s="96">
        <v>3</v>
      </c>
      <c r="C129" s="118">
        <v>0.0019448477073933524</v>
      </c>
      <c r="D129" s="96" t="s">
        <v>2335</v>
      </c>
      <c r="E129" s="96" t="b">
        <v>0</v>
      </c>
      <c r="F129" s="96" t="b">
        <v>0</v>
      </c>
      <c r="G129" s="96" t="b">
        <v>0</v>
      </c>
    </row>
    <row r="130" spans="1:7" ht="15">
      <c r="A130" s="97" t="s">
        <v>2218</v>
      </c>
      <c r="B130" s="96">
        <v>3</v>
      </c>
      <c r="C130" s="118">
        <v>0.001780276437247856</v>
      </c>
      <c r="D130" s="96" t="s">
        <v>2335</v>
      </c>
      <c r="E130" s="96" t="b">
        <v>0</v>
      </c>
      <c r="F130" s="96" t="b">
        <v>0</v>
      </c>
      <c r="G130" s="96" t="b">
        <v>0</v>
      </c>
    </row>
    <row r="131" spans="1:7" ht="15">
      <c r="A131" s="97" t="s">
        <v>2219</v>
      </c>
      <c r="B131" s="96">
        <v>3</v>
      </c>
      <c r="C131" s="118">
        <v>0.001780276437247856</v>
      </c>
      <c r="D131" s="96" t="s">
        <v>2335</v>
      </c>
      <c r="E131" s="96" t="b">
        <v>0</v>
      </c>
      <c r="F131" s="96" t="b">
        <v>0</v>
      </c>
      <c r="G131" s="96" t="b">
        <v>0</v>
      </c>
    </row>
    <row r="132" spans="1:7" ht="15">
      <c r="A132" s="97" t="s">
        <v>2220</v>
      </c>
      <c r="B132" s="96">
        <v>3</v>
      </c>
      <c r="C132" s="118">
        <v>0.001780276437247856</v>
      </c>
      <c r="D132" s="96" t="s">
        <v>2335</v>
      </c>
      <c r="E132" s="96" t="b">
        <v>0</v>
      </c>
      <c r="F132" s="96" t="b">
        <v>0</v>
      </c>
      <c r="G132" s="96" t="b">
        <v>0</v>
      </c>
    </row>
    <row r="133" spans="1:7" ht="15">
      <c r="A133" s="97" t="s">
        <v>2221</v>
      </c>
      <c r="B133" s="96">
        <v>3</v>
      </c>
      <c r="C133" s="118">
        <v>0.001780276437247856</v>
      </c>
      <c r="D133" s="96" t="s">
        <v>2335</v>
      </c>
      <c r="E133" s="96" t="b">
        <v>0</v>
      </c>
      <c r="F133" s="96" t="b">
        <v>0</v>
      </c>
      <c r="G133" s="96" t="b">
        <v>0</v>
      </c>
    </row>
    <row r="134" spans="1:7" ht="15">
      <c r="A134" s="97" t="s">
        <v>2222</v>
      </c>
      <c r="B134" s="96">
        <v>3</v>
      </c>
      <c r="C134" s="118">
        <v>0.001780276437247856</v>
      </c>
      <c r="D134" s="96" t="s">
        <v>2335</v>
      </c>
      <c r="E134" s="96" t="b">
        <v>0</v>
      </c>
      <c r="F134" s="96" t="b">
        <v>0</v>
      </c>
      <c r="G134" s="96" t="b">
        <v>0</v>
      </c>
    </row>
    <row r="135" spans="1:7" ht="15">
      <c r="A135" s="97" t="s">
        <v>2223</v>
      </c>
      <c r="B135" s="96">
        <v>3</v>
      </c>
      <c r="C135" s="118">
        <v>0.001780276437247856</v>
      </c>
      <c r="D135" s="96" t="s">
        <v>2335</v>
      </c>
      <c r="E135" s="96" t="b">
        <v>0</v>
      </c>
      <c r="F135" s="96" t="b">
        <v>0</v>
      </c>
      <c r="G135" s="96" t="b">
        <v>0</v>
      </c>
    </row>
    <row r="136" spans="1:7" ht="15">
      <c r="A136" s="97" t="s">
        <v>2224</v>
      </c>
      <c r="B136" s="96">
        <v>3</v>
      </c>
      <c r="C136" s="118">
        <v>0.001780276437247856</v>
      </c>
      <c r="D136" s="96" t="s">
        <v>2335</v>
      </c>
      <c r="E136" s="96" t="b">
        <v>0</v>
      </c>
      <c r="F136" s="96" t="b">
        <v>0</v>
      </c>
      <c r="G136" s="96" t="b">
        <v>0</v>
      </c>
    </row>
    <row r="137" spans="1:7" ht="15">
      <c r="A137" s="97" t="s">
        <v>2225</v>
      </c>
      <c r="B137" s="96">
        <v>3</v>
      </c>
      <c r="C137" s="118">
        <v>0.001780276437247856</v>
      </c>
      <c r="D137" s="96" t="s">
        <v>2335</v>
      </c>
      <c r="E137" s="96" t="b">
        <v>0</v>
      </c>
      <c r="F137" s="96" t="b">
        <v>0</v>
      </c>
      <c r="G137" s="96" t="b">
        <v>0</v>
      </c>
    </row>
    <row r="138" spans="1:7" ht="15">
      <c r="A138" s="97" t="s">
        <v>2226</v>
      </c>
      <c r="B138" s="96">
        <v>3</v>
      </c>
      <c r="C138" s="118">
        <v>0.001780276437247856</v>
      </c>
      <c r="D138" s="96" t="s">
        <v>2335</v>
      </c>
      <c r="E138" s="96" t="b">
        <v>0</v>
      </c>
      <c r="F138" s="96" t="b">
        <v>0</v>
      </c>
      <c r="G138" s="96" t="b">
        <v>0</v>
      </c>
    </row>
    <row r="139" spans="1:7" ht="15">
      <c r="A139" s="97" t="s">
        <v>2227</v>
      </c>
      <c r="B139" s="96">
        <v>3</v>
      </c>
      <c r="C139" s="118">
        <v>0.001780276437247856</v>
      </c>
      <c r="D139" s="96" t="s">
        <v>2335</v>
      </c>
      <c r="E139" s="96" t="b">
        <v>0</v>
      </c>
      <c r="F139" s="96" t="b">
        <v>0</v>
      </c>
      <c r="G139" s="96" t="b">
        <v>0</v>
      </c>
    </row>
    <row r="140" spans="1:7" ht="15">
      <c r="A140" s="97" t="s">
        <v>2228</v>
      </c>
      <c r="B140" s="96">
        <v>3</v>
      </c>
      <c r="C140" s="118">
        <v>0.001780276437247856</v>
      </c>
      <c r="D140" s="96" t="s">
        <v>2335</v>
      </c>
      <c r="E140" s="96" t="b">
        <v>0</v>
      </c>
      <c r="F140" s="96" t="b">
        <v>0</v>
      </c>
      <c r="G140" s="96" t="b">
        <v>0</v>
      </c>
    </row>
    <row r="141" spans="1:7" ht="15">
      <c r="A141" s="97" t="s">
        <v>2229</v>
      </c>
      <c r="B141" s="96">
        <v>3</v>
      </c>
      <c r="C141" s="118">
        <v>0.001780276437247856</v>
      </c>
      <c r="D141" s="96" t="s">
        <v>2335</v>
      </c>
      <c r="E141" s="96" t="b">
        <v>0</v>
      </c>
      <c r="F141" s="96" t="b">
        <v>0</v>
      </c>
      <c r="G141" s="96" t="b">
        <v>0</v>
      </c>
    </row>
    <row r="142" spans="1:7" ht="15">
      <c r="A142" s="97" t="s">
        <v>2230</v>
      </c>
      <c r="B142" s="96">
        <v>3</v>
      </c>
      <c r="C142" s="118">
        <v>0.001780276437247856</v>
      </c>
      <c r="D142" s="96" t="s">
        <v>2335</v>
      </c>
      <c r="E142" s="96" t="b">
        <v>0</v>
      </c>
      <c r="F142" s="96" t="b">
        <v>0</v>
      </c>
      <c r="G142" s="96" t="b">
        <v>0</v>
      </c>
    </row>
    <row r="143" spans="1:7" ht="15">
      <c r="A143" s="97" t="s">
        <v>2231</v>
      </c>
      <c r="B143" s="96">
        <v>3</v>
      </c>
      <c r="C143" s="118">
        <v>0.001780276437247856</v>
      </c>
      <c r="D143" s="96" t="s">
        <v>2335</v>
      </c>
      <c r="E143" s="96" t="b">
        <v>0</v>
      </c>
      <c r="F143" s="96" t="b">
        <v>0</v>
      </c>
      <c r="G143" s="96" t="b">
        <v>0</v>
      </c>
    </row>
    <row r="144" spans="1:7" ht="15">
      <c r="A144" s="97" t="s">
        <v>2232</v>
      </c>
      <c r="B144" s="96">
        <v>3</v>
      </c>
      <c r="C144" s="118">
        <v>0.001780276437247856</v>
      </c>
      <c r="D144" s="96" t="s">
        <v>2335</v>
      </c>
      <c r="E144" s="96" t="b">
        <v>0</v>
      </c>
      <c r="F144" s="96" t="b">
        <v>0</v>
      </c>
      <c r="G144" s="96" t="b">
        <v>0</v>
      </c>
    </row>
    <row r="145" spans="1:7" ht="15">
      <c r="A145" s="97" t="s">
        <v>2233</v>
      </c>
      <c r="B145" s="96">
        <v>3</v>
      </c>
      <c r="C145" s="118">
        <v>0.001780276437247856</v>
      </c>
      <c r="D145" s="96" t="s">
        <v>2335</v>
      </c>
      <c r="E145" s="96" t="b">
        <v>0</v>
      </c>
      <c r="F145" s="96" t="b">
        <v>0</v>
      </c>
      <c r="G145" s="96" t="b">
        <v>0</v>
      </c>
    </row>
    <row r="146" spans="1:7" ht="15">
      <c r="A146" s="97" t="s">
        <v>2234</v>
      </c>
      <c r="B146" s="96">
        <v>3</v>
      </c>
      <c r="C146" s="118">
        <v>0.001780276437247856</v>
      </c>
      <c r="D146" s="96" t="s">
        <v>2335</v>
      </c>
      <c r="E146" s="96" t="b">
        <v>0</v>
      </c>
      <c r="F146" s="96" t="b">
        <v>0</v>
      </c>
      <c r="G146" s="96" t="b">
        <v>0</v>
      </c>
    </row>
    <row r="147" spans="1:7" ht="15">
      <c r="A147" s="97" t="s">
        <v>2235</v>
      </c>
      <c r="B147" s="96">
        <v>3</v>
      </c>
      <c r="C147" s="118">
        <v>0.001780276437247856</v>
      </c>
      <c r="D147" s="96" t="s">
        <v>2335</v>
      </c>
      <c r="E147" s="96" t="b">
        <v>0</v>
      </c>
      <c r="F147" s="96" t="b">
        <v>0</v>
      </c>
      <c r="G147" s="96" t="b">
        <v>0</v>
      </c>
    </row>
    <row r="148" spans="1:7" ht="15">
      <c r="A148" s="97" t="s">
        <v>2236</v>
      </c>
      <c r="B148" s="96">
        <v>3</v>
      </c>
      <c r="C148" s="118">
        <v>0.001780276437247856</v>
      </c>
      <c r="D148" s="96" t="s">
        <v>2335</v>
      </c>
      <c r="E148" s="96" t="b">
        <v>0</v>
      </c>
      <c r="F148" s="96" t="b">
        <v>0</v>
      </c>
      <c r="G148" s="96" t="b">
        <v>0</v>
      </c>
    </row>
    <row r="149" spans="1:7" ht="15">
      <c r="A149" s="97" t="s">
        <v>423</v>
      </c>
      <c r="B149" s="96">
        <v>3</v>
      </c>
      <c r="C149" s="118">
        <v>0.001780276437247856</v>
      </c>
      <c r="D149" s="96" t="s">
        <v>2335</v>
      </c>
      <c r="E149" s="96" t="b">
        <v>0</v>
      </c>
      <c r="F149" s="96" t="b">
        <v>0</v>
      </c>
      <c r="G149" s="96" t="b">
        <v>0</v>
      </c>
    </row>
    <row r="150" spans="1:7" ht="15">
      <c r="A150" s="97" t="s">
        <v>2237</v>
      </c>
      <c r="B150" s="96">
        <v>3</v>
      </c>
      <c r="C150" s="118">
        <v>0.0022261841519391292</v>
      </c>
      <c r="D150" s="96" t="s">
        <v>2335</v>
      </c>
      <c r="E150" s="96" t="b">
        <v>0</v>
      </c>
      <c r="F150" s="96" t="b">
        <v>0</v>
      </c>
      <c r="G150" s="96" t="b">
        <v>0</v>
      </c>
    </row>
    <row r="151" spans="1:7" ht="15">
      <c r="A151" s="97" t="s">
        <v>2238</v>
      </c>
      <c r="B151" s="96">
        <v>3</v>
      </c>
      <c r="C151" s="118">
        <v>0.001780276437247856</v>
      </c>
      <c r="D151" s="96" t="s">
        <v>2335</v>
      </c>
      <c r="E151" s="96" t="b">
        <v>0</v>
      </c>
      <c r="F151" s="96" t="b">
        <v>0</v>
      </c>
      <c r="G151" s="96" t="b">
        <v>0</v>
      </c>
    </row>
    <row r="152" spans="1:7" ht="15">
      <c r="A152" s="97" t="s">
        <v>2239</v>
      </c>
      <c r="B152" s="96">
        <v>2</v>
      </c>
      <c r="C152" s="118">
        <v>0.001296565138262235</v>
      </c>
      <c r="D152" s="96" t="s">
        <v>2335</v>
      </c>
      <c r="E152" s="96" t="b">
        <v>0</v>
      </c>
      <c r="F152" s="96" t="b">
        <v>0</v>
      </c>
      <c r="G152" s="96" t="b">
        <v>0</v>
      </c>
    </row>
    <row r="153" spans="1:7" ht="15">
      <c r="A153" s="97" t="s">
        <v>2240</v>
      </c>
      <c r="B153" s="96">
        <v>2</v>
      </c>
      <c r="C153" s="118">
        <v>0.001296565138262235</v>
      </c>
      <c r="D153" s="96" t="s">
        <v>2335</v>
      </c>
      <c r="E153" s="96" t="b">
        <v>0</v>
      </c>
      <c r="F153" s="96" t="b">
        <v>0</v>
      </c>
      <c r="G153" s="96" t="b">
        <v>0</v>
      </c>
    </row>
    <row r="154" spans="1:7" ht="15">
      <c r="A154" s="97" t="s">
        <v>2241</v>
      </c>
      <c r="B154" s="96">
        <v>2</v>
      </c>
      <c r="C154" s="118">
        <v>0.001296565138262235</v>
      </c>
      <c r="D154" s="96" t="s">
        <v>2335</v>
      </c>
      <c r="E154" s="96" t="b">
        <v>0</v>
      </c>
      <c r="F154" s="96" t="b">
        <v>0</v>
      </c>
      <c r="G154" s="96" t="b">
        <v>0</v>
      </c>
    </row>
    <row r="155" spans="1:7" ht="15">
      <c r="A155" s="97" t="s">
        <v>2242</v>
      </c>
      <c r="B155" s="96">
        <v>2</v>
      </c>
      <c r="C155" s="118">
        <v>0.001296565138262235</v>
      </c>
      <c r="D155" s="96" t="s">
        <v>2335</v>
      </c>
      <c r="E155" s="96" t="b">
        <v>0</v>
      </c>
      <c r="F155" s="96" t="b">
        <v>0</v>
      </c>
      <c r="G155" s="96" t="b">
        <v>0</v>
      </c>
    </row>
    <row r="156" spans="1:7" ht="15">
      <c r="A156" s="97" t="s">
        <v>2243</v>
      </c>
      <c r="B156" s="96">
        <v>2</v>
      </c>
      <c r="C156" s="118">
        <v>0.001296565138262235</v>
      </c>
      <c r="D156" s="96" t="s">
        <v>2335</v>
      </c>
      <c r="E156" s="96" t="b">
        <v>0</v>
      </c>
      <c r="F156" s="96" t="b">
        <v>0</v>
      </c>
      <c r="G156" s="96" t="b">
        <v>0</v>
      </c>
    </row>
    <row r="157" spans="1:7" ht="15">
      <c r="A157" s="97" t="s">
        <v>2244</v>
      </c>
      <c r="B157" s="96">
        <v>2</v>
      </c>
      <c r="C157" s="118">
        <v>0.001296565138262235</v>
      </c>
      <c r="D157" s="96" t="s">
        <v>2335</v>
      </c>
      <c r="E157" s="96" t="b">
        <v>0</v>
      </c>
      <c r="F157" s="96" t="b">
        <v>0</v>
      </c>
      <c r="G157" s="96" t="b">
        <v>0</v>
      </c>
    </row>
    <row r="158" spans="1:7" ht="15">
      <c r="A158" s="97" t="s">
        <v>2245</v>
      </c>
      <c r="B158" s="96">
        <v>2</v>
      </c>
      <c r="C158" s="118">
        <v>0.001296565138262235</v>
      </c>
      <c r="D158" s="96" t="s">
        <v>2335</v>
      </c>
      <c r="E158" s="96" t="b">
        <v>0</v>
      </c>
      <c r="F158" s="96" t="b">
        <v>0</v>
      </c>
      <c r="G158" s="96" t="b">
        <v>0</v>
      </c>
    </row>
    <row r="159" spans="1:7" ht="15">
      <c r="A159" s="97" t="s">
        <v>2246</v>
      </c>
      <c r="B159" s="96">
        <v>2</v>
      </c>
      <c r="C159" s="118">
        <v>0.001296565138262235</v>
      </c>
      <c r="D159" s="96" t="s">
        <v>2335</v>
      </c>
      <c r="E159" s="96" t="b">
        <v>0</v>
      </c>
      <c r="F159" s="96" t="b">
        <v>0</v>
      </c>
      <c r="G159" s="96" t="b">
        <v>0</v>
      </c>
    </row>
    <row r="160" spans="1:7" ht="15">
      <c r="A160" s="97" t="s">
        <v>2247</v>
      </c>
      <c r="B160" s="96">
        <v>2</v>
      </c>
      <c r="C160" s="118">
        <v>0.001296565138262235</v>
      </c>
      <c r="D160" s="96" t="s">
        <v>2335</v>
      </c>
      <c r="E160" s="96" t="b">
        <v>0</v>
      </c>
      <c r="F160" s="96" t="b">
        <v>0</v>
      </c>
      <c r="G160" s="96" t="b">
        <v>0</v>
      </c>
    </row>
    <row r="161" spans="1:7" ht="15">
      <c r="A161" s="97" t="s">
        <v>2248</v>
      </c>
      <c r="B161" s="96">
        <v>2</v>
      </c>
      <c r="C161" s="118">
        <v>0.001296565138262235</v>
      </c>
      <c r="D161" s="96" t="s">
        <v>2335</v>
      </c>
      <c r="E161" s="96" t="b">
        <v>0</v>
      </c>
      <c r="F161" s="96" t="b">
        <v>0</v>
      </c>
      <c r="G161" s="96" t="b">
        <v>0</v>
      </c>
    </row>
    <row r="162" spans="1:7" ht="15">
      <c r="A162" s="97" t="s">
        <v>2249</v>
      </c>
      <c r="B162" s="96">
        <v>2</v>
      </c>
      <c r="C162" s="118">
        <v>0.001296565138262235</v>
      </c>
      <c r="D162" s="96" t="s">
        <v>2335</v>
      </c>
      <c r="E162" s="96" t="b">
        <v>0</v>
      </c>
      <c r="F162" s="96" t="b">
        <v>0</v>
      </c>
      <c r="G162" s="96" t="b">
        <v>0</v>
      </c>
    </row>
    <row r="163" spans="1:7" ht="15">
      <c r="A163" s="97" t="s">
        <v>2250</v>
      </c>
      <c r="B163" s="96">
        <v>2</v>
      </c>
      <c r="C163" s="118">
        <v>0.001296565138262235</v>
      </c>
      <c r="D163" s="96" t="s">
        <v>2335</v>
      </c>
      <c r="E163" s="96" t="b">
        <v>0</v>
      </c>
      <c r="F163" s="96" t="b">
        <v>0</v>
      </c>
      <c r="G163" s="96" t="b">
        <v>0</v>
      </c>
    </row>
    <row r="164" spans="1:7" ht="15">
      <c r="A164" s="97" t="s">
        <v>2251</v>
      </c>
      <c r="B164" s="96">
        <v>2</v>
      </c>
      <c r="C164" s="118">
        <v>0.001296565138262235</v>
      </c>
      <c r="D164" s="96" t="s">
        <v>2335</v>
      </c>
      <c r="E164" s="96" t="b">
        <v>0</v>
      </c>
      <c r="F164" s="96" t="b">
        <v>0</v>
      </c>
      <c r="G164" s="96" t="b">
        <v>0</v>
      </c>
    </row>
    <row r="165" spans="1:7" ht="15">
      <c r="A165" s="97" t="s">
        <v>2252</v>
      </c>
      <c r="B165" s="96">
        <v>2</v>
      </c>
      <c r="C165" s="118">
        <v>0.001296565138262235</v>
      </c>
      <c r="D165" s="96" t="s">
        <v>2335</v>
      </c>
      <c r="E165" s="96" t="b">
        <v>0</v>
      </c>
      <c r="F165" s="96" t="b">
        <v>0</v>
      </c>
      <c r="G165" s="96" t="b">
        <v>0</v>
      </c>
    </row>
    <row r="166" spans="1:7" ht="15">
      <c r="A166" s="97" t="s">
        <v>2253</v>
      </c>
      <c r="B166" s="96">
        <v>2</v>
      </c>
      <c r="C166" s="118">
        <v>0.001296565138262235</v>
      </c>
      <c r="D166" s="96" t="s">
        <v>2335</v>
      </c>
      <c r="E166" s="96" t="b">
        <v>0</v>
      </c>
      <c r="F166" s="96" t="b">
        <v>0</v>
      </c>
      <c r="G166" s="96" t="b">
        <v>0</v>
      </c>
    </row>
    <row r="167" spans="1:7" ht="15">
      <c r="A167" s="97" t="s">
        <v>2254</v>
      </c>
      <c r="B167" s="96">
        <v>2</v>
      </c>
      <c r="C167" s="118">
        <v>0.001296565138262235</v>
      </c>
      <c r="D167" s="96" t="s">
        <v>2335</v>
      </c>
      <c r="E167" s="96" t="b">
        <v>0</v>
      </c>
      <c r="F167" s="96" t="b">
        <v>0</v>
      </c>
      <c r="G167" s="96" t="b">
        <v>0</v>
      </c>
    </row>
    <row r="168" spans="1:7" ht="15">
      <c r="A168" s="97" t="s">
        <v>2255</v>
      </c>
      <c r="B168" s="96">
        <v>2</v>
      </c>
      <c r="C168" s="118">
        <v>0.001296565138262235</v>
      </c>
      <c r="D168" s="96" t="s">
        <v>2335</v>
      </c>
      <c r="E168" s="96" t="b">
        <v>0</v>
      </c>
      <c r="F168" s="96" t="b">
        <v>0</v>
      </c>
      <c r="G168" s="96" t="b">
        <v>0</v>
      </c>
    </row>
    <row r="169" spans="1:7" ht="15">
      <c r="A169" s="97" t="s">
        <v>2256</v>
      </c>
      <c r="B169" s="96">
        <v>2</v>
      </c>
      <c r="C169" s="118">
        <v>0.001296565138262235</v>
      </c>
      <c r="D169" s="96" t="s">
        <v>2335</v>
      </c>
      <c r="E169" s="96" t="b">
        <v>0</v>
      </c>
      <c r="F169" s="96" t="b">
        <v>0</v>
      </c>
      <c r="G169" s="96" t="b">
        <v>0</v>
      </c>
    </row>
    <row r="170" spans="1:7" ht="15">
      <c r="A170" s="97" t="s">
        <v>2257</v>
      </c>
      <c r="B170" s="96">
        <v>2</v>
      </c>
      <c r="C170" s="118">
        <v>0.001296565138262235</v>
      </c>
      <c r="D170" s="96" t="s">
        <v>2335</v>
      </c>
      <c r="E170" s="96" t="b">
        <v>0</v>
      </c>
      <c r="F170" s="96" t="b">
        <v>0</v>
      </c>
      <c r="G170" s="96" t="b">
        <v>0</v>
      </c>
    </row>
    <row r="171" spans="1:7" ht="15">
      <c r="A171" s="97" t="s">
        <v>2258</v>
      </c>
      <c r="B171" s="96">
        <v>2</v>
      </c>
      <c r="C171" s="118">
        <v>0.001296565138262235</v>
      </c>
      <c r="D171" s="96" t="s">
        <v>2335</v>
      </c>
      <c r="E171" s="96" t="b">
        <v>0</v>
      </c>
      <c r="F171" s="96" t="b">
        <v>0</v>
      </c>
      <c r="G171" s="96" t="b">
        <v>0</v>
      </c>
    </row>
    <row r="172" spans="1:7" ht="15">
      <c r="A172" s="97" t="s">
        <v>2259</v>
      </c>
      <c r="B172" s="96">
        <v>2</v>
      </c>
      <c r="C172" s="118">
        <v>0.001296565138262235</v>
      </c>
      <c r="D172" s="96" t="s">
        <v>2335</v>
      </c>
      <c r="E172" s="96" t="b">
        <v>0</v>
      </c>
      <c r="F172" s="96" t="b">
        <v>0</v>
      </c>
      <c r="G172" s="96" t="b">
        <v>0</v>
      </c>
    </row>
    <row r="173" spans="1:7" ht="15">
      <c r="A173" s="97" t="s">
        <v>2260</v>
      </c>
      <c r="B173" s="96">
        <v>2</v>
      </c>
      <c r="C173" s="118">
        <v>0.001296565138262235</v>
      </c>
      <c r="D173" s="96" t="s">
        <v>2335</v>
      </c>
      <c r="E173" s="96" t="b">
        <v>0</v>
      </c>
      <c r="F173" s="96" t="b">
        <v>0</v>
      </c>
      <c r="G173" s="96" t="b">
        <v>0</v>
      </c>
    </row>
    <row r="174" spans="1:7" ht="15">
      <c r="A174" s="97" t="s">
        <v>2261</v>
      </c>
      <c r="B174" s="96">
        <v>2</v>
      </c>
      <c r="C174" s="118">
        <v>0.0014841227679594196</v>
      </c>
      <c r="D174" s="96" t="s">
        <v>2335</v>
      </c>
      <c r="E174" s="96" t="b">
        <v>0</v>
      </c>
      <c r="F174" s="96" t="b">
        <v>0</v>
      </c>
      <c r="G174" s="96" t="b">
        <v>0</v>
      </c>
    </row>
    <row r="175" spans="1:7" ht="15">
      <c r="A175" s="97" t="s">
        <v>2262</v>
      </c>
      <c r="B175" s="96">
        <v>2</v>
      </c>
      <c r="C175" s="118">
        <v>0.001296565138262235</v>
      </c>
      <c r="D175" s="96" t="s">
        <v>2335</v>
      </c>
      <c r="E175" s="96" t="b">
        <v>0</v>
      </c>
      <c r="F175" s="96" t="b">
        <v>0</v>
      </c>
      <c r="G175" s="96" t="b">
        <v>0</v>
      </c>
    </row>
    <row r="176" spans="1:7" ht="15">
      <c r="A176" s="97" t="s">
        <v>341</v>
      </c>
      <c r="B176" s="96">
        <v>2</v>
      </c>
      <c r="C176" s="118">
        <v>0.001296565138262235</v>
      </c>
      <c r="D176" s="96" t="s">
        <v>2335</v>
      </c>
      <c r="E176" s="96" t="b">
        <v>0</v>
      </c>
      <c r="F176" s="96" t="b">
        <v>0</v>
      </c>
      <c r="G176" s="96" t="b">
        <v>0</v>
      </c>
    </row>
    <row r="177" spans="1:7" ht="15">
      <c r="A177" s="97" t="s">
        <v>2263</v>
      </c>
      <c r="B177" s="96">
        <v>2</v>
      </c>
      <c r="C177" s="118">
        <v>0.001296565138262235</v>
      </c>
      <c r="D177" s="96" t="s">
        <v>2335</v>
      </c>
      <c r="E177" s="96" t="b">
        <v>0</v>
      </c>
      <c r="F177" s="96" t="b">
        <v>0</v>
      </c>
      <c r="G177" s="96" t="b">
        <v>0</v>
      </c>
    </row>
    <row r="178" spans="1:7" ht="15">
      <c r="A178" s="97" t="s">
        <v>2264</v>
      </c>
      <c r="B178" s="96">
        <v>2</v>
      </c>
      <c r="C178" s="118">
        <v>0.001296565138262235</v>
      </c>
      <c r="D178" s="96" t="s">
        <v>2335</v>
      </c>
      <c r="E178" s="96" t="b">
        <v>0</v>
      </c>
      <c r="F178" s="96" t="b">
        <v>0</v>
      </c>
      <c r="G178" s="96" t="b">
        <v>0</v>
      </c>
    </row>
    <row r="179" spans="1:7" ht="15">
      <c r="A179" s="97" t="s">
        <v>2265</v>
      </c>
      <c r="B179" s="96">
        <v>2</v>
      </c>
      <c r="C179" s="118">
        <v>0.001296565138262235</v>
      </c>
      <c r="D179" s="96" t="s">
        <v>2335</v>
      </c>
      <c r="E179" s="96" t="b">
        <v>0</v>
      </c>
      <c r="F179" s="96" t="b">
        <v>0</v>
      </c>
      <c r="G179" s="96" t="b">
        <v>0</v>
      </c>
    </row>
    <row r="180" spans="1:7" ht="15">
      <c r="A180" s="97" t="s">
        <v>2266</v>
      </c>
      <c r="B180" s="96">
        <v>2</v>
      </c>
      <c r="C180" s="118">
        <v>0.001296565138262235</v>
      </c>
      <c r="D180" s="96" t="s">
        <v>2335</v>
      </c>
      <c r="E180" s="96" t="b">
        <v>0</v>
      </c>
      <c r="F180" s="96" t="b">
        <v>0</v>
      </c>
      <c r="G180" s="96" t="b">
        <v>0</v>
      </c>
    </row>
    <row r="181" spans="1:7" ht="15">
      <c r="A181" s="97" t="s">
        <v>2267</v>
      </c>
      <c r="B181" s="96">
        <v>2</v>
      </c>
      <c r="C181" s="118">
        <v>0.001296565138262235</v>
      </c>
      <c r="D181" s="96" t="s">
        <v>2335</v>
      </c>
      <c r="E181" s="96" t="b">
        <v>0</v>
      </c>
      <c r="F181" s="96" t="b">
        <v>0</v>
      </c>
      <c r="G181" s="96" t="b">
        <v>0</v>
      </c>
    </row>
    <row r="182" spans="1:7" ht="15">
      <c r="A182" s="97" t="s">
        <v>441</v>
      </c>
      <c r="B182" s="96">
        <v>2</v>
      </c>
      <c r="C182" s="118">
        <v>0.001296565138262235</v>
      </c>
      <c r="D182" s="96" t="s">
        <v>2335</v>
      </c>
      <c r="E182" s="96" t="b">
        <v>0</v>
      </c>
      <c r="F182" s="96" t="b">
        <v>0</v>
      </c>
      <c r="G182" s="96" t="b">
        <v>0</v>
      </c>
    </row>
    <row r="183" spans="1:7" ht="15">
      <c r="A183" s="97" t="s">
        <v>2268</v>
      </c>
      <c r="B183" s="96">
        <v>2</v>
      </c>
      <c r="C183" s="118">
        <v>0.001296565138262235</v>
      </c>
      <c r="D183" s="96" t="s">
        <v>2335</v>
      </c>
      <c r="E183" s="96" t="b">
        <v>0</v>
      </c>
      <c r="F183" s="96" t="b">
        <v>0</v>
      </c>
      <c r="G183" s="96" t="b">
        <v>0</v>
      </c>
    </row>
    <row r="184" spans="1:7" ht="15">
      <c r="A184" s="97" t="s">
        <v>2269</v>
      </c>
      <c r="B184" s="96">
        <v>2</v>
      </c>
      <c r="C184" s="118">
        <v>0.001296565138262235</v>
      </c>
      <c r="D184" s="96" t="s">
        <v>2335</v>
      </c>
      <c r="E184" s="96" t="b">
        <v>0</v>
      </c>
      <c r="F184" s="96" t="b">
        <v>0</v>
      </c>
      <c r="G184" s="96" t="b">
        <v>0</v>
      </c>
    </row>
    <row r="185" spans="1:7" ht="15">
      <c r="A185" s="97" t="s">
        <v>2270</v>
      </c>
      <c r="B185" s="96">
        <v>2</v>
      </c>
      <c r="C185" s="118">
        <v>0.001296565138262235</v>
      </c>
      <c r="D185" s="96" t="s">
        <v>2335</v>
      </c>
      <c r="E185" s="96" t="b">
        <v>0</v>
      </c>
      <c r="F185" s="96" t="b">
        <v>0</v>
      </c>
      <c r="G185" s="96" t="b">
        <v>0</v>
      </c>
    </row>
    <row r="186" spans="1:7" ht="15">
      <c r="A186" s="97" t="s">
        <v>2271</v>
      </c>
      <c r="B186" s="96">
        <v>2</v>
      </c>
      <c r="C186" s="118">
        <v>0.001296565138262235</v>
      </c>
      <c r="D186" s="96" t="s">
        <v>2335</v>
      </c>
      <c r="E186" s="96" t="b">
        <v>0</v>
      </c>
      <c r="F186" s="96" t="b">
        <v>0</v>
      </c>
      <c r="G186" s="96" t="b">
        <v>0</v>
      </c>
    </row>
    <row r="187" spans="1:7" ht="15">
      <c r="A187" s="97" t="s">
        <v>2272</v>
      </c>
      <c r="B187" s="96">
        <v>2</v>
      </c>
      <c r="C187" s="118">
        <v>0.001296565138262235</v>
      </c>
      <c r="D187" s="96" t="s">
        <v>2335</v>
      </c>
      <c r="E187" s="96" t="b">
        <v>0</v>
      </c>
      <c r="F187" s="96" t="b">
        <v>0</v>
      </c>
      <c r="G187" s="96" t="b">
        <v>0</v>
      </c>
    </row>
    <row r="188" spans="1:7" ht="15">
      <c r="A188" s="97" t="s">
        <v>2273</v>
      </c>
      <c r="B188" s="96">
        <v>2</v>
      </c>
      <c r="C188" s="118">
        <v>0.001296565138262235</v>
      </c>
      <c r="D188" s="96" t="s">
        <v>2335</v>
      </c>
      <c r="E188" s="96" t="b">
        <v>0</v>
      </c>
      <c r="F188" s="96" t="b">
        <v>0</v>
      </c>
      <c r="G188" s="96" t="b">
        <v>0</v>
      </c>
    </row>
    <row r="189" spans="1:7" ht="15">
      <c r="A189" s="97" t="s">
        <v>2274</v>
      </c>
      <c r="B189" s="96">
        <v>2</v>
      </c>
      <c r="C189" s="118">
        <v>0.001296565138262235</v>
      </c>
      <c r="D189" s="96" t="s">
        <v>2335</v>
      </c>
      <c r="E189" s="96" t="b">
        <v>0</v>
      </c>
      <c r="F189" s="96" t="b">
        <v>0</v>
      </c>
      <c r="G189" s="96" t="b">
        <v>0</v>
      </c>
    </row>
    <row r="190" spans="1:7" ht="15">
      <c r="A190" s="97" t="s">
        <v>2275</v>
      </c>
      <c r="B190" s="96">
        <v>2</v>
      </c>
      <c r="C190" s="118">
        <v>0.001296565138262235</v>
      </c>
      <c r="D190" s="96" t="s">
        <v>2335</v>
      </c>
      <c r="E190" s="96" t="b">
        <v>0</v>
      </c>
      <c r="F190" s="96" t="b">
        <v>0</v>
      </c>
      <c r="G190" s="96" t="b">
        <v>0</v>
      </c>
    </row>
    <row r="191" spans="1:7" ht="15">
      <c r="A191" s="97" t="s">
        <v>2276</v>
      </c>
      <c r="B191" s="96">
        <v>2</v>
      </c>
      <c r="C191" s="118">
        <v>0.001296565138262235</v>
      </c>
      <c r="D191" s="96" t="s">
        <v>2335</v>
      </c>
      <c r="E191" s="96" t="b">
        <v>0</v>
      </c>
      <c r="F191" s="96" t="b">
        <v>0</v>
      </c>
      <c r="G191" s="96" t="b">
        <v>0</v>
      </c>
    </row>
    <row r="192" spans="1:7" ht="15">
      <c r="A192" s="97" t="s">
        <v>2277</v>
      </c>
      <c r="B192" s="96">
        <v>2</v>
      </c>
      <c r="C192" s="118">
        <v>0.001296565138262235</v>
      </c>
      <c r="D192" s="96" t="s">
        <v>2335</v>
      </c>
      <c r="E192" s="96" t="b">
        <v>0</v>
      </c>
      <c r="F192" s="96" t="b">
        <v>0</v>
      </c>
      <c r="G192" s="96" t="b">
        <v>0</v>
      </c>
    </row>
    <row r="193" spans="1:7" ht="15">
      <c r="A193" s="97" t="s">
        <v>2278</v>
      </c>
      <c r="B193" s="96">
        <v>2</v>
      </c>
      <c r="C193" s="118">
        <v>0.001296565138262235</v>
      </c>
      <c r="D193" s="96" t="s">
        <v>2335</v>
      </c>
      <c r="E193" s="96" t="b">
        <v>0</v>
      </c>
      <c r="F193" s="96" t="b">
        <v>0</v>
      </c>
      <c r="G193" s="96" t="b">
        <v>0</v>
      </c>
    </row>
    <row r="194" spans="1:7" ht="15">
      <c r="A194" s="97" t="s">
        <v>2279</v>
      </c>
      <c r="B194" s="96">
        <v>2</v>
      </c>
      <c r="C194" s="118">
        <v>0.001296565138262235</v>
      </c>
      <c r="D194" s="96" t="s">
        <v>2335</v>
      </c>
      <c r="E194" s="96" t="b">
        <v>0</v>
      </c>
      <c r="F194" s="96" t="b">
        <v>0</v>
      </c>
      <c r="G194" s="96" t="b">
        <v>0</v>
      </c>
    </row>
    <row r="195" spans="1:7" ht="15">
      <c r="A195" s="97" t="s">
        <v>2280</v>
      </c>
      <c r="B195" s="96">
        <v>2</v>
      </c>
      <c r="C195" s="118">
        <v>0.001296565138262235</v>
      </c>
      <c r="D195" s="96" t="s">
        <v>2335</v>
      </c>
      <c r="E195" s="96" t="b">
        <v>0</v>
      </c>
      <c r="F195" s="96" t="b">
        <v>0</v>
      </c>
      <c r="G195" s="96" t="b">
        <v>0</v>
      </c>
    </row>
    <row r="196" spans="1:7" ht="15">
      <c r="A196" s="97" t="s">
        <v>439</v>
      </c>
      <c r="B196" s="96">
        <v>2</v>
      </c>
      <c r="C196" s="118">
        <v>0.001296565138262235</v>
      </c>
      <c r="D196" s="96" t="s">
        <v>2335</v>
      </c>
      <c r="E196" s="96" t="b">
        <v>0</v>
      </c>
      <c r="F196" s="96" t="b">
        <v>0</v>
      </c>
      <c r="G196" s="96" t="b">
        <v>0</v>
      </c>
    </row>
    <row r="197" spans="1:7" ht="15">
      <c r="A197" s="97" t="s">
        <v>2281</v>
      </c>
      <c r="B197" s="96">
        <v>2</v>
      </c>
      <c r="C197" s="118">
        <v>0.001296565138262235</v>
      </c>
      <c r="D197" s="96" t="s">
        <v>2335</v>
      </c>
      <c r="E197" s="96" t="b">
        <v>0</v>
      </c>
      <c r="F197" s="96" t="b">
        <v>0</v>
      </c>
      <c r="G197" s="96" t="b">
        <v>0</v>
      </c>
    </row>
    <row r="198" spans="1:7" ht="15">
      <c r="A198" s="97" t="s">
        <v>2282</v>
      </c>
      <c r="B198" s="96">
        <v>2</v>
      </c>
      <c r="C198" s="118">
        <v>0.001296565138262235</v>
      </c>
      <c r="D198" s="96" t="s">
        <v>2335</v>
      </c>
      <c r="E198" s="96" t="b">
        <v>0</v>
      </c>
      <c r="F198" s="96" t="b">
        <v>0</v>
      </c>
      <c r="G198" s="96" t="b">
        <v>0</v>
      </c>
    </row>
    <row r="199" spans="1:7" ht="15">
      <c r="A199" s="97" t="s">
        <v>2283</v>
      </c>
      <c r="B199" s="96">
        <v>2</v>
      </c>
      <c r="C199" s="118">
        <v>0.001296565138262235</v>
      </c>
      <c r="D199" s="96" t="s">
        <v>2335</v>
      </c>
      <c r="E199" s="96" t="b">
        <v>0</v>
      </c>
      <c r="F199" s="96" t="b">
        <v>0</v>
      </c>
      <c r="G199" s="96" t="b">
        <v>0</v>
      </c>
    </row>
    <row r="200" spans="1:7" ht="15">
      <c r="A200" s="97" t="s">
        <v>2284</v>
      </c>
      <c r="B200" s="96">
        <v>2</v>
      </c>
      <c r="C200" s="118">
        <v>0.001296565138262235</v>
      </c>
      <c r="D200" s="96" t="s">
        <v>2335</v>
      </c>
      <c r="E200" s="96" t="b">
        <v>0</v>
      </c>
      <c r="F200" s="96" t="b">
        <v>0</v>
      </c>
      <c r="G200" s="96" t="b">
        <v>0</v>
      </c>
    </row>
    <row r="201" spans="1:7" ht="15">
      <c r="A201" s="97" t="s">
        <v>437</v>
      </c>
      <c r="B201" s="96">
        <v>2</v>
      </c>
      <c r="C201" s="118">
        <v>0.001296565138262235</v>
      </c>
      <c r="D201" s="96" t="s">
        <v>2335</v>
      </c>
      <c r="E201" s="96" t="b">
        <v>0</v>
      </c>
      <c r="F201" s="96" t="b">
        <v>0</v>
      </c>
      <c r="G201" s="96" t="b">
        <v>0</v>
      </c>
    </row>
    <row r="202" spans="1:7" ht="15">
      <c r="A202" s="97" t="s">
        <v>2285</v>
      </c>
      <c r="B202" s="96">
        <v>2</v>
      </c>
      <c r="C202" s="118">
        <v>0.001296565138262235</v>
      </c>
      <c r="D202" s="96" t="s">
        <v>2335</v>
      </c>
      <c r="E202" s="96" t="b">
        <v>0</v>
      </c>
      <c r="F202" s="96" t="b">
        <v>0</v>
      </c>
      <c r="G202" s="96" t="b">
        <v>0</v>
      </c>
    </row>
    <row r="203" spans="1:7" ht="15">
      <c r="A203" s="97" t="s">
        <v>2286</v>
      </c>
      <c r="B203" s="96">
        <v>2</v>
      </c>
      <c r="C203" s="118">
        <v>0.001296565138262235</v>
      </c>
      <c r="D203" s="96" t="s">
        <v>2335</v>
      </c>
      <c r="E203" s="96" t="b">
        <v>0</v>
      </c>
      <c r="F203" s="96" t="b">
        <v>0</v>
      </c>
      <c r="G203" s="96" t="b">
        <v>0</v>
      </c>
    </row>
    <row r="204" spans="1:7" ht="15">
      <c r="A204" s="97" t="s">
        <v>2287</v>
      </c>
      <c r="B204" s="96">
        <v>2</v>
      </c>
      <c r="C204" s="118">
        <v>0.001296565138262235</v>
      </c>
      <c r="D204" s="96" t="s">
        <v>2335</v>
      </c>
      <c r="E204" s="96" t="b">
        <v>0</v>
      </c>
      <c r="F204" s="96" t="b">
        <v>0</v>
      </c>
      <c r="G204" s="96" t="b">
        <v>0</v>
      </c>
    </row>
    <row r="205" spans="1:7" ht="15">
      <c r="A205" s="97" t="s">
        <v>2288</v>
      </c>
      <c r="B205" s="96">
        <v>2</v>
      </c>
      <c r="C205" s="118">
        <v>0.001296565138262235</v>
      </c>
      <c r="D205" s="96" t="s">
        <v>2335</v>
      </c>
      <c r="E205" s="96" t="b">
        <v>0</v>
      </c>
      <c r="F205" s="96" t="b">
        <v>0</v>
      </c>
      <c r="G205" s="96" t="b">
        <v>0</v>
      </c>
    </row>
    <row r="206" spans="1:7" ht="15">
      <c r="A206" s="97" t="s">
        <v>2289</v>
      </c>
      <c r="B206" s="96">
        <v>2</v>
      </c>
      <c r="C206" s="118">
        <v>0.001296565138262235</v>
      </c>
      <c r="D206" s="96" t="s">
        <v>2335</v>
      </c>
      <c r="E206" s="96" t="b">
        <v>0</v>
      </c>
      <c r="F206" s="96" t="b">
        <v>0</v>
      </c>
      <c r="G206" s="96" t="b">
        <v>0</v>
      </c>
    </row>
    <row r="207" spans="1:7" ht="15">
      <c r="A207" s="97" t="s">
        <v>2290</v>
      </c>
      <c r="B207" s="96">
        <v>2</v>
      </c>
      <c r="C207" s="118">
        <v>0.001296565138262235</v>
      </c>
      <c r="D207" s="96" t="s">
        <v>2335</v>
      </c>
      <c r="E207" s="96" t="b">
        <v>0</v>
      </c>
      <c r="F207" s="96" t="b">
        <v>0</v>
      </c>
      <c r="G207" s="96" t="b">
        <v>0</v>
      </c>
    </row>
    <row r="208" spans="1:7" ht="15">
      <c r="A208" s="97" t="s">
        <v>2291</v>
      </c>
      <c r="B208" s="96">
        <v>2</v>
      </c>
      <c r="C208" s="118">
        <v>0.001296565138262235</v>
      </c>
      <c r="D208" s="96" t="s">
        <v>2335</v>
      </c>
      <c r="E208" s="96" t="b">
        <v>0</v>
      </c>
      <c r="F208" s="96" t="b">
        <v>0</v>
      </c>
      <c r="G208" s="96" t="b">
        <v>0</v>
      </c>
    </row>
    <row r="209" spans="1:7" ht="15">
      <c r="A209" s="97" t="s">
        <v>2292</v>
      </c>
      <c r="B209" s="96">
        <v>2</v>
      </c>
      <c r="C209" s="118">
        <v>0.001296565138262235</v>
      </c>
      <c r="D209" s="96" t="s">
        <v>2335</v>
      </c>
      <c r="E209" s="96" t="b">
        <v>0</v>
      </c>
      <c r="F209" s="96" t="b">
        <v>0</v>
      </c>
      <c r="G209" s="96" t="b">
        <v>0</v>
      </c>
    </row>
    <row r="210" spans="1:7" ht="15">
      <c r="A210" s="97" t="s">
        <v>2293</v>
      </c>
      <c r="B210" s="96">
        <v>2</v>
      </c>
      <c r="C210" s="118">
        <v>0.001296565138262235</v>
      </c>
      <c r="D210" s="96" t="s">
        <v>2335</v>
      </c>
      <c r="E210" s="96" t="b">
        <v>0</v>
      </c>
      <c r="F210" s="96" t="b">
        <v>0</v>
      </c>
      <c r="G210" s="96" t="b">
        <v>0</v>
      </c>
    </row>
    <row r="211" spans="1:7" ht="15">
      <c r="A211" s="97" t="s">
        <v>2294</v>
      </c>
      <c r="B211" s="96">
        <v>2</v>
      </c>
      <c r="C211" s="118">
        <v>0.001296565138262235</v>
      </c>
      <c r="D211" s="96" t="s">
        <v>2335</v>
      </c>
      <c r="E211" s="96" t="b">
        <v>0</v>
      </c>
      <c r="F211" s="96" t="b">
        <v>0</v>
      </c>
      <c r="G211" s="96" t="b">
        <v>0</v>
      </c>
    </row>
    <row r="212" spans="1:7" ht="15">
      <c r="A212" s="97" t="s">
        <v>2295</v>
      </c>
      <c r="B212" s="96">
        <v>2</v>
      </c>
      <c r="C212" s="118">
        <v>0.001296565138262235</v>
      </c>
      <c r="D212" s="96" t="s">
        <v>2335</v>
      </c>
      <c r="E212" s="96" t="b">
        <v>0</v>
      </c>
      <c r="F212" s="96" t="b">
        <v>0</v>
      </c>
      <c r="G212" s="96" t="b">
        <v>0</v>
      </c>
    </row>
    <row r="213" spans="1:7" ht="15">
      <c r="A213" s="97" t="s">
        <v>2296</v>
      </c>
      <c r="B213" s="96">
        <v>2</v>
      </c>
      <c r="C213" s="118">
        <v>0.001296565138262235</v>
      </c>
      <c r="D213" s="96" t="s">
        <v>2335</v>
      </c>
      <c r="E213" s="96" t="b">
        <v>0</v>
      </c>
      <c r="F213" s="96" t="b">
        <v>0</v>
      </c>
      <c r="G213" s="96" t="b">
        <v>0</v>
      </c>
    </row>
    <row r="214" spans="1:7" ht="15">
      <c r="A214" s="97" t="s">
        <v>2297</v>
      </c>
      <c r="B214" s="96">
        <v>2</v>
      </c>
      <c r="C214" s="118">
        <v>0.001296565138262235</v>
      </c>
      <c r="D214" s="96" t="s">
        <v>2335</v>
      </c>
      <c r="E214" s="96" t="b">
        <v>0</v>
      </c>
      <c r="F214" s="96" t="b">
        <v>0</v>
      </c>
      <c r="G214" s="96" t="b">
        <v>0</v>
      </c>
    </row>
    <row r="215" spans="1:7" ht="15">
      <c r="A215" s="97" t="s">
        <v>2298</v>
      </c>
      <c r="B215" s="96">
        <v>2</v>
      </c>
      <c r="C215" s="118">
        <v>0.001296565138262235</v>
      </c>
      <c r="D215" s="96" t="s">
        <v>2335</v>
      </c>
      <c r="E215" s="96" t="b">
        <v>0</v>
      </c>
      <c r="F215" s="96" t="b">
        <v>0</v>
      </c>
      <c r="G215" s="96" t="b">
        <v>0</v>
      </c>
    </row>
    <row r="216" spans="1:7" ht="15">
      <c r="A216" s="97" t="s">
        <v>2299</v>
      </c>
      <c r="B216" s="96">
        <v>2</v>
      </c>
      <c r="C216" s="118">
        <v>0.001296565138262235</v>
      </c>
      <c r="D216" s="96" t="s">
        <v>2335</v>
      </c>
      <c r="E216" s="96" t="b">
        <v>0</v>
      </c>
      <c r="F216" s="96" t="b">
        <v>0</v>
      </c>
      <c r="G216" s="96" t="b">
        <v>0</v>
      </c>
    </row>
    <row r="217" spans="1:7" ht="15">
      <c r="A217" s="97" t="s">
        <v>2300</v>
      </c>
      <c r="B217" s="96">
        <v>2</v>
      </c>
      <c r="C217" s="118">
        <v>0.001296565138262235</v>
      </c>
      <c r="D217" s="96" t="s">
        <v>2335</v>
      </c>
      <c r="E217" s="96" t="b">
        <v>0</v>
      </c>
      <c r="F217" s="96" t="b">
        <v>0</v>
      </c>
      <c r="G217" s="96" t="b">
        <v>0</v>
      </c>
    </row>
    <row r="218" spans="1:7" ht="15">
      <c r="A218" s="97" t="s">
        <v>2301</v>
      </c>
      <c r="B218" s="96">
        <v>2</v>
      </c>
      <c r="C218" s="118">
        <v>0.001296565138262235</v>
      </c>
      <c r="D218" s="96" t="s">
        <v>2335</v>
      </c>
      <c r="E218" s="96" t="b">
        <v>0</v>
      </c>
      <c r="F218" s="96" t="b">
        <v>0</v>
      </c>
      <c r="G218" s="96" t="b">
        <v>0</v>
      </c>
    </row>
    <row r="219" spans="1:7" ht="15">
      <c r="A219" s="97" t="s">
        <v>427</v>
      </c>
      <c r="B219" s="96">
        <v>2</v>
      </c>
      <c r="C219" s="118">
        <v>0.001296565138262235</v>
      </c>
      <c r="D219" s="96" t="s">
        <v>2335</v>
      </c>
      <c r="E219" s="96" t="b">
        <v>0</v>
      </c>
      <c r="F219" s="96" t="b">
        <v>0</v>
      </c>
      <c r="G219" s="96" t="b">
        <v>0</v>
      </c>
    </row>
    <row r="220" spans="1:7" ht="15">
      <c r="A220" s="97" t="s">
        <v>428</v>
      </c>
      <c r="B220" s="96">
        <v>2</v>
      </c>
      <c r="C220" s="118">
        <v>0.001296565138262235</v>
      </c>
      <c r="D220" s="96" t="s">
        <v>2335</v>
      </c>
      <c r="E220" s="96" t="b">
        <v>0</v>
      </c>
      <c r="F220" s="96" t="b">
        <v>0</v>
      </c>
      <c r="G220" s="96" t="b">
        <v>0</v>
      </c>
    </row>
    <row r="221" spans="1:7" ht="15">
      <c r="A221" s="97" t="s">
        <v>2302</v>
      </c>
      <c r="B221" s="96">
        <v>2</v>
      </c>
      <c r="C221" s="118">
        <v>0.001296565138262235</v>
      </c>
      <c r="D221" s="96" t="s">
        <v>2335</v>
      </c>
      <c r="E221" s="96" t="b">
        <v>0</v>
      </c>
      <c r="F221" s="96" t="b">
        <v>0</v>
      </c>
      <c r="G221" s="96" t="b">
        <v>0</v>
      </c>
    </row>
    <row r="222" spans="1:7" ht="15">
      <c r="A222" s="97" t="s">
        <v>2303</v>
      </c>
      <c r="B222" s="96">
        <v>2</v>
      </c>
      <c r="C222" s="118">
        <v>0.001296565138262235</v>
      </c>
      <c r="D222" s="96" t="s">
        <v>2335</v>
      </c>
      <c r="E222" s="96" t="b">
        <v>0</v>
      </c>
      <c r="F222" s="96" t="b">
        <v>0</v>
      </c>
      <c r="G222" s="96" t="b">
        <v>0</v>
      </c>
    </row>
    <row r="223" spans="1:7" ht="15">
      <c r="A223" s="97" t="s">
        <v>2304</v>
      </c>
      <c r="B223" s="96">
        <v>2</v>
      </c>
      <c r="C223" s="118">
        <v>0.001296565138262235</v>
      </c>
      <c r="D223" s="96" t="s">
        <v>2335</v>
      </c>
      <c r="E223" s="96" t="b">
        <v>0</v>
      </c>
      <c r="F223" s="96" t="b">
        <v>0</v>
      </c>
      <c r="G223" s="96" t="b">
        <v>0</v>
      </c>
    </row>
    <row r="224" spans="1:7" ht="15">
      <c r="A224" s="97" t="s">
        <v>349</v>
      </c>
      <c r="B224" s="96">
        <v>2</v>
      </c>
      <c r="C224" s="118">
        <v>0.001296565138262235</v>
      </c>
      <c r="D224" s="96" t="s">
        <v>2335</v>
      </c>
      <c r="E224" s="96" t="b">
        <v>0</v>
      </c>
      <c r="F224" s="96" t="b">
        <v>0</v>
      </c>
      <c r="G224" s="96" t="b">
        <v>0</v>
      </c>
    </row>
    <row r="225" spans="1:7" ht="15">
      <c r="A225" s="97" t="s">
        <v>2305</v>
      </c>
      <c r="B225" s="96">
        <v>2</v>
      </c>
      <c r="C225" s="118">
        <v>0.001296565138262235</v>
      </c>
      <c r="D225" s="96" t="s">
        <v>2335</v>
      </c>
      <c r="E225" s="96" t="b">
        <v>0</v>
      </c>
      <c r="F225" s="96" t="b">
        <v>0</v>
      </c>
      <c r="G225" s="96" t="b">
        <v>0</v>
      </c>
    </row>
    <row r="226" spans="1:7" ht="15">
      <c r="A226" s="97" t="s">
        <v>2306</v>
      </c>
      <c r="B226" s="96">
        <v>2</v>
      </c>
      <c r="C226" s="118">
        <v>0.001296565138262235</v>
      </c>
      <c r="D226" s="96" t="s">
        <v>2335</v>
      </c>
      <c r="E226" s="96" t="b">
        <v>0</v>
      </c>
      <c r="F226" s="96" t="b">
        <v>0</v>
      </c>
      <c r="G226" s="96" t="b">
        <v>0</v>
      </c>
    </row>
    <row r="227" spans="1:7" ht="15">
      <c r="A227" s="97" t="s">
        <v>2307</v>
      </c>
      <c r="B227" s="96">
        <v>2</v>
      </c>
      <c r="C227" s="118">
        <v>0.001296565138262235</v>
      </c>
      <c r="D227" s="96" t="s">
        <v>2335</v>
      </c>
      <c r="E227" s="96" t="b">
        <v>0</v>
      </c>
      <c r="F227" s="96" t="b">
        <v>0</v>
      </c>
      <c r="G227" s="96" t="b">
        <v>0</v>
      </c>
    </row>
    <row r="228" spans="1:7" ht="15">
      <c r="A228" s="97" t="s">
        <v>2308</v>
      </c>
      <c r="B228" s="96">
        <v>2</v>
      </c>
      <c r="C228" s="118">
        <v>0.001296565138262235</v>
      </c>
      <c r="D228" s="96" t="s">
        <v>2335</v>
      </c>
      <c r="E228" s="96" t="b">
        <v>0</v>
      </c>
      <c r="F228" s="96" t="b">
        <v>0</v>
      </c>
      <c r="G228" s="96" t="b">
        <v>0</v>
      </c>
    </row>
    <row r="229" spans="1:7" ht="15">
      <c r="A229" s="97" t="s">
        <v>2309</v>
      </c>
      <c r="B229" s="96">
        <v>2</v>
      </c>
      <c r="C229" s="118">
        <v>0.001296565138262235</v>
      </c>
      <c r="D229" s="96" t="s">
        <v>2335</v>
      </c>
      <c r="E229" s="96" t="b">
        <v>0</v>
      </c>
      <c r="F229" s="96" t="b">
        <v>0</v>
      </c>
      <c r="G229" s="96" t="b">
        <v>0</v>
      </c>
    </row>
    <row r="230" spans="1:7" ht="15">
      <c r="A230" s="97" t="s">
        <v>2310</v>
      </c>
      <c r="B230" s="96">
        <v>2</v>
      </c>
      <c r="C230" s="118">
        <v>0.001296565138262235</v>
      </c>
      <c r="D230" s="96" t="s">
        <v>2335</v>
      </c>
      <c r="E230" s="96" t="b">
        <v>0</v>
      </c>
      <c r="F230" s="96" t="b">
        <v>0</v>
      </c>
      <c r="G230" s="96" t="b">
        <v>0</v>
      </c>
    </row>
    <row r="231" spans="1:7" ht="15">
      <c r="A231" s="97" t="s">
        <v>333</v>
      </c>
      <c r="B231" s="96">
        <v>2</v>
      </c>
      <c r="C231" s="118">
        <v>0.001296565138262235</v>
      </c>
      <c r="D231" s="96" t="s">
        <v>2335</v>
      </c>
      <c r="E231" s="96" t="b">
        <v>0</v>
      </c>
      <c r="F231" s="96" t="b">
        <v>0</v>
      </c>
      <c r="G231" s="96" t="b">
        <v>0</v>
      </c>
    </row>
    <row r="232" spans="1:7" ht="15">
      <c r="A232" s="97" t="s">
        <v>2311</v>
      </c>
      <c r="B232" s="96">
        <v>2</v>
      </c>
      <c r="C232" s="118">
        <v>0.0014841227679594196</v>
      </c>
      <c r="D232" s="96" t="s">
        <v>2335</v>
      </c>
      <c r="E232" s="96" t="b">
        <v>0</v>
      </c>
      <c r="F232" s="96" t="b">
        <v>0</v>
      </c>
      <c r="G232" s="96" t="b">
        <v>0</v>
      </c>
    </row>
    <row r="233" spans="1:7" ht="15">
      <c r="A233" s="97" t="s">
        <v>2312</v>
      </c>
      <c r="B233" s="96">
        <v>2</v>
      </c>
      <c r="C233" s="118">
        <v>0.001296565138262235</v>
      </c>
      <c r="D233" s="96" t="s">
        <v>2335</v>
      </c>
      <c r="E233" s="96" t="b">
        <v>0</v>
      </c>
      <c r="F233" s="96" t="b">
        <v>0</v>
      </c>
      <c r="G233" s="96" t="b">
        <v>0</v>
      </c>
    </row>
    <row r="234" spans="1:7" ht="15">
      <c r="A234" s="97" t="s">
        <v>2313</v>
      </c>
      <c r="B234" s="96">
        <v>2</v>
      </c>
      <c r="C234" s="118">
        <v>0.001296565138262235</v>
      </c>
      <c r="D234" s="96" t="s">
        <v>2335</v>
      </c>
      <c r="E234" s="96" t="b">
        <v>0</v>
      </c>
      <c r="F234" s="96" t="b">
        <v>0</v>
      </c>
      <c r="G234" s="96" t="b">
        <v>0</v>
      </c>
    </row>
    <row r="235" spans="1:7" ht="15">
      <c r="A235" s="97" t="s">
        <v>2314</v>
      </c>
      <c r="B235" s="96">
        <v>2</v>
      </c>
      <c r="C235" s="118">
        <v>0.0014841227679594196</v>
      </c>
      <c r="D235" s="96" t="s">
        <v>2335</v>
      </c>
      <c r="E235" s="96" t="b">
        <v>0</v>
      </c>
      <c r="F235" s="96" t="b">
        <v>0</v>
      </c>
      <c r="G235" s="96" t="b">
        <v>0</v>
      </c>
    </row>
    <row r="236" spans="1:7" ht="15">
      <c r="A236" s="97" t="s">
        <v>2315</v>
      </c>
      <c r="B236" s="96">
        <v>2</v>
      </c>
      <c r="C236" s="118">
        <v>0.001296565138262235</v>
      </c>
      <c r="D236" s="96" t="s">
        <v>2335</v>
      </c>
      <c r="E236" s="96" t="b">
        <v>0</v>
      </c>
      <c r="F236" s="96" t="b">
        <v>0</v>
      </c>
      <c r="G236" s="96" t="b">
        <v>0</v>
      </c>
    </row>
    <row r="237" spans="1:7" ht="15">
      <c r="A237" s="97" t="s">
        <v>2316</v>
      </c>
      <c r="B237" s="96">
        <v>2</v>
      </c>
      <c r="C237" s="118">
        <v>0.0014841227679594196</v>
      </c>
      <c r="D237" s="96" t="s">
        <v>2335</v>
      </c>
      <c r="E237" s="96" t="b">
        <v>0</v>
      </c>
      <c r="F237" s="96" t="b">
        <v>0</v>
      </c>
      <c r="G237" s="96" t="b">
        <v>0</v>
      </c>
    </row>
    <row r="238" spans="1:7" ht="15">
      <c r="A238" s="97" t="s">
        <v>2317</v>
      </c>
      <c r="B238" s="96">
        <v>2</v>
      </c>
      <c r="C238" s="118">
        <v>0.001296565138262235</v>
      </c>
      <c r="D238" s="96" t="s">
        <v>2335</v>
      </c>
      <c r="E238" s="96" t="b">
        <v>0</v>
      </c>
      <c r="F238" s="96" t="b">
        <v>0</v>
      </c>
      <c r="G238" s="96" t="b">
        <v>0</v>
      </c>
    </row>
    <row r="239" spans="1:7" ht="15">
      <c r="A239" s="97" t="s">
        <v>2318</v>
      </c>
      <c r="B239" s="96">
        <v>2</v>
      </c>
      <c r="C239" s="118">
        <v>0.001296565138262235</v>
      </c>
      <c r="D239" s="96" t="s">
        <v>2335</v>
      </c>
      <c r="E239" s="96" t="b">
        <v>0</v>
      </c>
      <c r="F239" s="96" t="b">
        <v>0</v>
      </c>
      <c r="G239" s="96" t="b">
        <v>0</v>
      </c>
    </row>
    <row r="240" spans="1:7" ht="15">
      <c r="A240" s="97" t="s">
        <v>265</v>
      </c>
      <c r="B240" s="96">
        <v>2</v>
      </c>
      <c r="C240" s="118">
        <v>0.001296565138262235</v>
      </c>
      <c r="D240" s="96" t="s">
        <v>2335</v>
      </c>
      <c r="E240" s="96" t="b">
        <v>0</v>
      </c>
      <c r="F240" s="96" t="b">
        <v>0</v>
      </c>
      <c r="G240" s="96" t="b">
        <v>0</v>
      </c>
    </row>
    <row r="241" spans="1:7" ht="15">
      <c r="A241" s="97" t="s">
        <v>2319</v>
      </c>
      <c r="B241" s="96">
        <v>2</v>
      </c>
      <c r="C241" s="118">
        <v>0.001296565138262235</v>
      </c>
      <c r="D241" s="96" t="s">
        <v>2335</v>
      </c>
      <c r="E241" s="96" t="b">
        <v>0</v>
      </c>
      <c r="F241" s="96" t="b">
        <v>0</v>
      </c>
      <c r="G241" s="96" t="b">
        <v>0</v>
      </c>
    </row>
    <row r="242" spans="1:7" ht="15">
      <c r="A242" s="97" t="s">
        <v>2320</v>
      </c>
      <c r="B242" s="96">
        <v>2</v>
      </c>
      <c r="C242" s="118">
        <v>0.001296565138262235</v>
      </c>
      <c r="D242" s="96" t="s">
        <v>2335</v>
      </c>
      <c r="E242" s="96" t="b">
        <v>0</v>
      </c>
      <c r="F242" s="96" t="b">
        <v>0</v>
      </c>
      <c r="G242" s="96" t="b">
        <v>0</v>
      </c>
    </row>
    <row r="243" spans="1:7" ht="15">
      <c r="A243" s="97" t="s">
        <v>2321</v>
      </c>
      <c r="B243" s="96">
        <v>2</v>
      </c>
      <c r="C243" s="118">
        <v>0.001296565138262235</v>
      </c>
      <c r="D243" s="96" t="s">
        <v>2335</v>
      </c>
      <c r="E243" s="96" t="b">
        <v>0</v>
      </c>
      <c r="F243" s="96" t="b">
        <v>0</v>
      </c>
      <c r="G243" s="96" t="b">
        <v>0</v>
      </c>
    </row>
    <row r="244" spans="1:7" ht="15">
      <c r="A244" s="97" t="s">
        <v>2322</v>
      </c>
      <c r="B244" s="96">
        <v>2</v>
      </c>
      <c r="C244" s="118">
        <v>0.001296565138262235</v>
      </c>
      <c r="D244" s="96" t="s">
        <v>2335</v>
      </c>
      <c r="E244" s="96" t="b">
        <v>0</v>
      </c>
      <c r="F244" s="96" t="b">
        <v>0</v>
      </c>
      <c r="G244" s="96" t="b">
        <v>0</v>
      </c>
    </row>
    <row r="245" spans="1:7" ht="15">
      <c r="A245" s="97" t="s">
        <v>2323</v>
      </c>
      <c r="B245" s="96">
        <v>2</v>
      </c>
      <c r="C245" s="118">
        <v>0.001296565138262235</v>
      </c>
      <c r="D245" s="96" t="s">
        <v>2335</v>
      </c>
      <c r="E245" s="96" t="b">
        <v>0</v>
      </c>
      <c r="F245" s="96" t="b">
        <v>0</v>
      </c>
      <c r="G245" s="96" t="b">
        <v>0</v>
      </c>
    </row>
    <row r="246" spans="1:7" ht="15">
      <c r="A246" s="97" t="s">
        <v>2324</v>
      </c>
      <c r="B246" s="96">
        <v>2</v>
      </c>
      <c r="C246" s="118">
        <v>0.001296565138262235</v>
      </c>
      <c r="D246" s="96" t="s">
        <v>2335</v>
      </c>
      <c r="E246" s="96" t="b">
        <v>0</v>
      </c>
      <c r="F246" s="96" t="b">
        <v>0</v>
      </c>
      <c r="G246" s="96" t="b">
        <v>0</v>
      </c>
    </row>
    <row r="247" spans="1:7" ht="15">
      <c r="A247" s="97" t="s">
        <v>2325</v>
      </c>
      <c r="B247" s="96">
        <v>2</v>
      </c>
      <c r="C247" s="118">
        <v>0.001296565138262235</v>
      </c>
      <c r="D247" s="96" t="s">
        <v>2335</v>
      </c>
      <c r="E247" s="96" t="b">
        <v>0</v>
      </c>
      <c r="F247" s="96" t="b">
        <v>0</v>
      </c>
      <c r="G247" s="96" t="b">
        <v>0</v>
      </c>
    </row>
    <row r="248" spans="1:7" ht="15">
      <c r="A248" s="97" t="s">
        <v>2326</v>
      </c>
      <c r="B248" s="96">
        <v>2</v>
      </c>
      <c r="C248" s="118">
        <v>0.001296565138262235</v>
      </c>
      <c r="D248" s="96" t="s">
        <v>2335</v>
      </c>
      <c r="E248" s="96" t="b">
        <v>0</v>
      </c>
      <c r="F248" s="96" t="b">
        <v>0</v>
      </c>
      <c r="G248" s="96" t="b">
        <v>0</v>
      </c>
    </row>
    <row r="249" spans="1:7" ht="15">
      <c r="A249" s="97" t="s">
        <v>2327</v>
      </c>
      <c r="B249" s="96">
        <v>2</v>
      </c>
      <c r="C249" s="118">
        <v>0.001296565138262235</v>
      </c>
      <c r="D249" s="96" t="s">
        <v>2335</v>
      </c>
      <c r="E249" s="96" t="b">
        <v>0</v>
      </c>
      <c r="F249" s="96" t="b">
        <v>0</v>
      </c>
      <c r="G249" s="96" t="b">
        <v>0</v>
      </c>
    </row>
    <row r="250" spans="1:7" ht="15">
      <c r="A250" s="97" t="s">
        <v>2328</v>
      </c>
      <c r="B250" s="96">
        <v>2</v>
      </c>
      <c r="C250" s="118">
        <v>0.0014841227679594196</v>
      </c>
      <c r="D250" s="96" t="s">
        <v>2335</v>
      </c>
      <c r="E250" s="96" t="b">
        <v>0</v>
      </c>
      <c r="F250" s="96" t="b">
        <v>0</v>
      </c>
      <c r="G250" s="96" t="b">
        <v>0</v>
      </c>
    </row>
    <row r="251" spans="1:7" ht="15">
      <c r="A251" s="97" t="s">
        <v>2329</v>
      </c>
      <c r="B251" s="96">
        <v>2</v>
      </c>
      <c r="C251" s="118">
        <v>0.0014841227679594196</v>
      </c>
      <c r="D251" s="96" t="s">
        <v>2335</v>
      </c>
      <c r="E251" s="96" t="b">
        <v>0</v>
      </c>
      <c r="F251" s="96" t="b">
        <v>0</v>
      </c>
      <c r="G251" s="96" t="b">
        <v>0</v>
      </c>
    </row>
    <row r="252" spans="1:7" ht="15">
      <c r="A252" s="97" t="s">
        <v>414</v>
      </c>
      <c r="B252" s="96">
        <v>2</v>
      </c>
      <c r="C252" s="118">
        <v>0.0014841227679594196</v>
      </c>
      <c r="D252" s="96" t="s">
        <v>2335</v>
      </c>
      <c r="E252" s="96" t="b">
        <v>0</v>
      </c>
      <c r="F252" s="96" t="b">
        <v>0</v>
      </c>
      <c r="G252" s="96" t="b">
        <v>0</v>
      </c>
    </row>
    <row r="253" spans="1:7" ht="15">
      <c r="A253" s="97" t="s">
        <v>412</v>
      </c>
      <c r="B253" s="96">
        <v>2</v>
      </c>
      <c r="C253" s="118">
        <v>0.0014841227679594196</v>
      </c>
      <c r="D253" s="96" t="s">
        <v>2335</v>
      </c>
      <c r="E253" s="96" t="b">
        <v>0</v>
      </c>
      <c r="F253" s="96" t="b">
        <v>0</v>
      </c>
      <c r="G253" s="96" t="b">
        <v>0</v>
      </c>
    </row>
    <row r="254" spans="1:7" ht="15">
      <c r="A254" s="97" t="s">
        <v>411</v>
      </c>
      <c r="B254" s="96">
        <v>2</v>
      </c>
      <c r="C254" s="118">
        <v>0.0014841227679594196</v>
      </c>
      <c r="D254" s="96" t="s">
        <v>2335</v>
      </c>
      <c r="E254" s="96" t="b">
        <v>0</v>
      </c>
      <c r="F254" s="96" t="b">
        <v>0</v>
      </c>
      <c r="G254" s="96" t="b">
        <v>0</v>
      </c>
    </row>
    <row r="255" spans="1:7" ht="15">
      <c r="A255" s="97" t="s">
        <v>2106</v>
      </c>
      <c r="B255" s="96">
        <v>45</v>
      </c>
      <c r="C255" s="118">
        <v>0.0029406245232415974</v>
      </c>
      <c r="D255" s="96" t="s">
        <v>2061</v>
      </c>
      <c r="E255" s="96" t="b">
        <v>0</v>
      </c>
      <c r="F255" s="96" t="b">
        <v>0</v>
      </c>
      <c r="G255" s="96" t="b">
        <v>0</v>
      </c>
    </row>
    <row r="256" spans="1:7" ht="15">
      <c r="A256" s="97" t="s">
        <v>2107</v>
      </c>
      <c r="B256" s="96">
        <v>45</v>
      </c>
      <c r="C256" s="118">
        <v>0.0029406245232415974</v>
      </c>
      <c r="D256" s="96" t="s">
        <v>2061</v>
      </c>
      <c r="E256" s="96" t="b">
        <v>0</v>
      </c>
      <c r="F256" s="96" t="b">
        <v>0</v>
      </c>
      <c r="G256" s="96" t="b">
        <v>0</v>
      </c>
    </row>
    <row r="257" spans="1:7" ht="15">
      <c r="A257" s="97" t="s">
        <v>2112</v>
      </c>
      <c r="B257" s="96">
        <v>28</v>
      </c>
      <c r="C257" s="118">
        <v>0.021793478009058655</v>
      </c>
      <c r="D257" s="96" t="s">
        <v>2061</v>
      </c>
      <c r="E257" s="96" t="b">
        <v>0</v>
      </c>
      <c r="F257" s="96" t="b">
        <v>0</v>
      </c>
      <c r="G257" s="96" t="b">
        <v>0</v>
      </c>
    </row>
    <row r="258" spans="1:7" ht="15">
      <c r="A258" s="97" t="s">
        <v>2113</v>
      </c>
      <c r="B258" s="96">
        <v>28</v>
      </c>
      <c r="C258" s="118">
        <v>0.021793478009058655</v>
      </c>
      <c r="D258" s="96" t="s">
        <v>2061</v>
      </c>
      <c r="E258" s="96" t="b">
        <v>0</v>
      </c>
      <c r="F258" s="96" t="b">
        <v>0</v>
      </c>
      <c r="G258" s="96" t="b">
        <v>0</v>
      </c>
    </row>
    <row r="259" spans="1:7" ht="15">
      <c r="A259" s="97" t="s">
        <v>2150</v>
      </c>
      <c r="B259" s="96">
        <v>16</v>
      </c>
      <c r="C259" s="118">
        <v>0.025908809704071566</v>
      </c>
      <c r="D259" s="96" t="s">
        <v>2061</v>
      </c>
      <c r="E259" s="96" t="b">
        <v>0</v>
      </c>
      <c r="F259" s="96" t="b">
        <v>0</v>
      </c>
      <c r="G259" s="96" t="b">
        <v>0</v>
      </c>
    </row>
    <row r="260" spans="1:7" ht="15">
      <c r="A260" s="97" t="s">
        <v>2151</v>
      </c>
      <c r="B260" s="96">
        <v>16</v>
      </c>
      <c r="C260" s="118">
        <v>0.025908809704071566</v>
      </c>
      <c r="D260" s="96" t="s">
        <v>2061</v>
      </c>
      <c r="E260" s="96" t="b">
        <v>0</v>
      </c>
      <c r="F260" s="96" t="b">
        <v>0</v>
      </c>
      <c r="G260" s="96" t="b">
        <v>0</v>
      </c>
    </row>
    <row r="261" spans="1:7" ht="15">
      <c r="A261" s="97" t="s">
        <v>2152</v>
      </c>
      <c r="B261" s="96">
        <v>16</v>
      </c>
      <c r="C261" s="118">
        <v>0.025908809704071566</v>
      </c>
      <c r="D261" s="96" t="s">
        <v>2061</v>
      </c>
      <c r="E261" s="96" t="b">
        <v>0</v>
      </c>
      <c r="F261" s="96" t="b">
        <v>0</v>
      </c>
      <c r="G261" s="96" t="b">
        <v>0</v>
      </c>
    </row>
    <row r="262" spans="1:7" ht="15">
      <c r="A262" s="97" t="s">
        <v>2149</v>
      </c>
      <c r="B262" s="96">
        <v>16</v>
      </c>
      <c r="C262" s="118">
        <v>0.025908809704071566</v>
      </c>
      <c r="D262" s="96" t="s">
        <v>2061</v>
      </c>
      <c r="E262" s="96" t="b">
        <v>0</v>
      </c>
      <c r="F262" s="96" t="b">
        <v>0</v>
      </c>
      <c r="G262" s="96" t="b">
        <v>0</v>
      </c>
    </row>
    <row r="263" spans="1:7" ht="15">
      <c r="A263" s="97" t="s">
        <v>2153</v>
      </c>
      <c r="B263" s="96">
        <v>16</v>
      </c>
      <c r="C263" s="118">
        <v>0.025908809704071566</v>
      </c>
      <c r="D263" s="96" t="s">
        <v>2061</v>
      </c>
      <c r="E263" s="96" t="b">
        <v>0</v>
      </c>
      <c r="F263" s="96" t="b">
        <v>0</v>
      </c>
      <c r="G263" s="96" t="b">
        <v>0</v>
      </c>
    </row>
    <row r="264" spans="1:7" ht="15">
      <c r="A264" s="97" t="s">
        <v>2148</v>
      </c>
      <c r="B264" s="96">
        <v>16</v>
      </c>
      <c r="C264" s="118">
        <v>0.025908809704071566</v>
      </c>
      <c r="D264" s="96" t="s">
        <v>2061</v>
      </c>
      <c r="E264" s="96" t="b">
        <v>0</v>
      </c>
      <c r="F264" s="96" t="b">
        <v>0</v>
      </c>
      <c r="G264" s="96" t="b">
        <v>0</v>
      </c>
    </row>
    <row r="265" spans="1:7" ht="15">
      <c r="A265" s="97" t="s">
        <v>2154</v>
      </c>
      <c r="B265" s="96">
        <v>16</v>
      </c>
      <c r="C265" s="118">
        <v>0.025908809704071566</v>
      </c>
      <c r="D265" s="96" t="s">
        <v>2061</v>
      </c>
      <c r="E265" s="96" t="b">
        <v>0</v>
      </c>
      <c r="F265" s="96" t="b">
        <v>0</v>
      </c>
      <c r="G265" s="96" t="b">
        <v>0</v>
      </c>
    </row>
    <row r="266" spans="1:7" ht="15">
      <c r="A266" s="97" t="s">
        <v>2155</v>
      </c>
      <c r="B266" s="96">
        <v>16</v>
      </c>
      <c r="C266" s="118">
        <v>0.025908809704071566</v>
      </c>
      <c r="D266" s="96" t="s">
        <v>2061</v>
      </c>
      <c r="E266" s="96" t="b">
        <v>0</v>
      </c>
      <c r="F266" s="96" t="b">
        <v>0</v>
      </c>
      <c r="G266" s="96" t="b">
        <v>0</v>
      </c>
    </row>
    <row r="267" spans="1:7" ht="15">
      <c r="A267" s="97" t="s">
        <v>2275</v>
      </c>
      <c r="B267" s="96">
        <v>2</v>
      </c>
      <c r="C267" s="118">
        <v>0.009488358908454923</v>
      </c>
      <c r="D267" s="96" t="s">
        <v>2061</v>
      </c>
      <c r="E267" s="96" t="b">
        <v>0</v>
      </c>
      <c r="F267" s="96" t="b">
        <v>0</v>
      </c>
      <c r="G267" s="96" t="b">
        <v>0</v>
      </c>
    </row>
    <row r="268" spans="1:7" ht="15">
      <c r="A268" s="97" t="s">
        <v>2276</v>
      </c>
      <c r="B268" s="96">
        <v>2</v>
      </c>
      <c r="C268" s="118">
        <v>0.009488358908454923</v>
      </c>
      <c r="D268" s="96" t="s">
        <v>2061</v>
      </c>
      <c r="E268" s="96" t="b">
        <v>0</v>
      </c>
      <c r="F268" s="96" t="b">
        <v>0</v>
      </c>
      <c r="G268" s="96" t="b">
        <v>0</v>
      </c>
    </row>
    <row r="269" spans="1:7" ht="15">
      <c r="A269" s="97" t="s">
        <v>2108</v>
      </c>
      <c r="B269" s="96">
        <v>2</v>
      </c>
      <c r="C269" s="118">
        <v>0.009488358908454923</v>
      </c>
      <c r="D269" s="96" t="s">
        <v>2061</v>
      </c>
      <c r="E269" s="96" t="b">
        <v>0</v>
      </c>
      <c r="F269" s="96" t="b">
        <v>0</v>
      </c>
      <c r="G269" s="96" t="b">
        <v>0</v>
      </c>
    </row>
    <row r="270" spans="1:7" ht="15">
      <c r="A270" s="97" t="s">
        <v>2277</v>
      </c>
      <c r="B270" s="96">
        <v>2</v>
      </c>
      <c r="C270" s="118">
        <v>0.009488358908454923</v>
      </c>
      <c r="D270" s="96" t="s">
        <v>2061</v>
      </c>
      <c r="E270" s="96" t="b">
        <v>0</v>
      </c>
      <c r="F270" s="96" t="b">
        <v>0</v>
      </c>
      <c r="G270" s="96" t="b">
        <v>0</v>
      </c>
    </row>
    <row r="271" spans="1:7" ht="15">
      <c r="A271" s="97" t="s">
        <v>2278</v>
      </c>
      <c r="B271" s="96">
        <v>2</v>
      </c>
      <c r="C271" s="118">
        <v>0.009488358908454923</v>
      </c>
      <c r="D271" s="96" t="s">
        <v>2061</v>
      </c>
      <c r="E271" s="96" t="b">
        <v>0</v>
      </c>
      <c r="F271" s="96" t="b">
        <v>0</v>
      </c>
      <c r="G271" s="96" t="b">
        <v>0</v>
      </c>
    </row>
    <row r="272" spans="1:7" ht="15">
      <c r="A272" s="97" t="s">
        <v>2279</v>
      </c>
      <c r="B272" s="96">
        <v>2</v>
      </c>
      <c r="C272" s="118">
        <v>0.009488358908454923</v>
      </c>
      <c r="D272" s="96" t="s">
        <v>2061</v>
      </c>
      <c r="E272" s="96" t="b">
        <v>0</v>
      </c>
      <c r="F272" s="96" t="b">
        <v>0</v>
      </c>
      <c r="G272" s="96" t="b">
        <v>0</v>
      </c>
    </row>
    <row r="273" spans="1:7" ht="15">
      <c r="A273" s="97" t="s">
        <v>2280</v>
      </c>
      <c r="B273" s="96">
        <v>2</v>
      </c>
      <c r="C273" s="118">
        <v>0.009488358908454923</v>
      </c>
      <c r="D273" s="96" t="s">
        <v>2061</v>
      </c>
      <c r="E273" s="96" t="b">
        <v>0</v>
      </c>
      <c r="F273" s="96" t="b">
        <v>0</v>
      </c>
      <c r="G273" s="96" t="b">
        <v>0</v>
      </c>
    </row>
    <row r="274" spans="1:7" ht="15">
      <c r="A274" s="97" t="s">
        <v>2106</v>
      </c>
      <c r="B274" s="96">
        <v>35</v>
      </c>
      <c r="C274" s="118">
        <v>0.004637949499675884</v>
      </c>
      <c r="D274" s="96" t="s">
        <v>2062</v>
      </c>
      <c r="E274" s="96" t="b">
        <v>0</v>
      </c>
      <c r="F274" s="96" t="b">
        <v>0</v>
      </c>
      <c r="G274" s="96" t="b">
        <v>0</v>
      </c>
    </row>
    <row r="275" spans="1:7" ht="15">
      <c r="A275" s="97" t="s">
        <v>2107</v>
      </c>
      <c r="B275" s="96">
        <v>35</v>
      </c>
      <c r="C275" s="118">
        <v>0.004637949499675884</v>
      </c>
      <c r="D275" s="96" t="s">
        <v>2062</v>
      </c>
      <c r="E275" s="96" t="b">
        <v>0</v>
      </c>
      <c r="F275" s="96" t="b">
        <v>0</v>
      </c>
      <c r="G275" s="96" t="b">
        <v>0</v>
      </c>
    </row>
    <row r="276" spans="1:7" ht="15">
      <c r="A276" s="97" t="s">
        <v>2109</v>
      </c>
      <c r="B276" s="96">
        <v>27</v>
      </c>
      <c r="C276" s="118">
        <v>0.007635200843779203</v>
      </c>
      <c r="D276" s="96" t="s">
        <v>2062</v>
      </c>
      <c r="E276" s="96" t="b">
        <v>0</v>
      </c>
      <c r="F276" s="96" t="b">
        <v>0</v>
      </c>
      <c r="G276" s="96" t="b">
        <v>0</v>
      </c>
    </row>
    <row r="277" spans="1:7" ht="15">
      <c r="A277" s="97" t="s">
        <v>2110</v>
      </c>
      <c r="B277" s="96">
        <v>26</v>
      </c>
      <c r="C277" s="118">
        <v>0.00792061672186614</v>
      </c>
      <c r="D277" s="96" t="s">
        <v>2062</v>
      </c>
      <c r="E277" s="96" t="b">
        <v>0</v>
      </c>
      <c r="F277" s="96" t="b">
        <v>0</v>
      </c>
      <c r="G277" s="96" t="b">
        <v>0</v>
      </c>
    </row>
    <row r="278" spans="1:7" ht="15">
      <c r="A278" s="97" t="s">
        <v>2125</v>
      </c>
      <c r="B278" s="96">
        <v>26</v>
      </c>
      <c r="C278" s="118">
        <v>0.00792061672186614</v>
      </c>
      <c r="D278" s="96" t="s">
        <v>2062</v>
      </c>
      <c r="E278" s="96" t="b">
        <v>0</v>
      </c>
      <c r="F278" s="96" t="b">
        <v>0</v>
      </c>
      <c r="G278" s="96" t="b">
        <v>0</v>
      </c>
    </row>
    <row r="279" spans="1:7" ht="15">
      <c r="A279" s="97" t="s">
        <v>2126</v>
      </c>
      <c r="B279" s="96">
        <v>26</v>
      </c>
      <c r="C279" s="118">
        <v>0.00792061672186614</v>
      </c>
      <c r="D279" s="96" t="s">
        <v>2062</v>
      </c>
      <c r="E279" s="96" t="b">
        <v>0</v>
      </c>
      <c r="F279" s="96" t="b">
        <v>0</v>
      </c>
      <c r="G279" s="96" t="b">
        <v>0</v>
      </c>
    </row>
    <row r="280" spans="1:7" ht="15">
      <c r="A280" s="97" t="s">
        <v>2127</v>
      </c>
      <c r="B280" s="96">
        <v>26</v>
      </c>
      <c r="C280" s="118">
        <v>0.00792061672186614</v>
      </c>
      <c r="D280" s="96" t="s">
        <v>2062</v>
      </c>
      <c r="E280" s="96" t="b">
        <v>0</v>
      </c>
      <c r="F280" s="96" t="b">
        <v>0</v>
      </c>
      <c r="G280" s="96" t="b">
        <v>0</v>
      </c>
    </row>
    <row r="281" spans="1:7" ht="15">
      <c r="A281" s="97" t="s">
        <v>2128</v>
      </c>
      <c r="B281" s="96">
        <v>26</v>
      </c>
      <c r="C281" s="118">
        <v>0.00792061672186614</v>
      </c>
      <c r="D281" s="96" t="s">
        <v>2062</v>
      </c>
      <c r="E281" s="96" t="b">
        <v>0</v>
      </c>
      <c r="F281" s="96" t="b">
        <v>0</v>
      </c>
      <c r="G281" s="96" t="b">
        <v>0</v>
      </c>
    </row>
    <row r="282" spans="1:7" ht="15">
      <c r="A282" s="97" t="s">
        <v>2115</v>
      </c>
      <c r="B282" s="96">
        <v>26</v>
      </c>
      <c r="C282" s="118">
        <v>0.00792061672186614</v>
      </c>
      <c r="D282" s="96" t="s">
        <v>2062</v>
      </c>
      <c r="E282" s="96" t="b">
        <v>0</v>
      </c>
      <c r="F282" s="96" t="b">
        <v>0</v>
      </c>
      <c r="G282" s="96" t="b">
        <v>0</v>
      </c>
    </row>
    <row r="283" spans="1:7" ht="15">
      <c r="A283" s="97" t="s">
        <v>2116</v>
      </c>
      <c r="B283" s="96">
        <v>26</v>
      </c>
      <c r="C283" s="118">
        <v>0.00792061672186614</v>
      </c>
      <c r="D283" s="96" t="s">
        <v>2062</v>
      </c>
      <c r="E283" s="96" t="b">
        <v>0</v>
      </c>
      <c r="F283" s="96" t="b">
        <v>0</v>
      </c>
      <c r="G283" s="96" t="b">
        <v>0</v>
      </c>
    </row>
    <row r="284" spans="1:7" ht="15">
      <c r="A284" s="97" t="s">
        <v>2117</v>
      </c>
      <c r="B284" s="96">
        <v>26</v>
      </c>
      <c r="C284" s="118">
        <v>0.00792061672186614</v>
      </c>
      <c r="D284" s="96" t="s">
        <v>2062</v>
      </c>
      <c r="E284" s="96" t="b">
        <v>0</v>
      </c>
      <c r="F284" s="96" t="b">
        <v>0</v>
      </c>
      <c r="G284" s="96" t="b">
        <v>0</v>
      </c>
    </row>
    <row r="285" spans="1:7" ht="15">
      <c r="A285" s="97" t="s">
        <v>2118</v>
      </c>
      <c r="B285" s="96">
        <v>26</v>
      </c>
      <c r="C285" s="118">
        <v>0.00792061672186614</v>
      </c>
      <c r="D285" s="96" t="s">
        <v>2062</v>
      </c>
      <c r="E285" s="96" t="b">
        <v>0</v>
      </c>
      <c r="F285" s="96" t="b">
        <v>0</v>
      </c>
      <c r="G285" s="96" t="b">
        <v>0</v>
      </c>
    </row>
    <row r="286" spans="1:7" ht="15">
      <c r="A286" s="97" t="s">
        <v>2119</v>
      </c>
      <c r="B286" s="96">
        <v>26</v>
      </c>
      <c r="C286" s="118">
        <v>0.00792061672186614</v>
      </c>
      <c r="D286" s="96" t="s">
        <v>2062</v>
      </c>
      <c r="E286" s="96" t="b">
        <v>0</v>
      </c>
      <c r="F286" s="96" t="b">
        <v>0</v>
      </c>
      <c r="G286" s="96" t="b">
        <v>0</v>
      </c>
    </row>
    <row r="287" spans="1:7" ht="15">
      <c r="A287" s="97" t="s">
        <v>2129</v>
      </c>
      <c r="B287" s="96">
        <v>26</v>
      </c>
      <c r="C287" s="118">
        <v>0.00792061672186614</v>
      </c>
      <c r="D287" s="96" t="s">
        <v>2062</v>
      </c>
      <c r="E287" s="96" t="b">
        <v>0</v>
      </c>
      <c r="F287" s="96" t="b">
        <v>0</v>
      </c>
      <c r="G287" s="96" t="b">
        <v>0</v>
      </c>
    </row>
    <row r="288" spans="1:7" ht="15">
      <c r="A288" s="97" t="s">
        <v>2120</v>
      </c>
      <c r="B288" s="96">
        <v>26</v>
      </c>
      <c r="C288" s="118">
        <v>0.00792061672186614</v>
      </c>
      <c r="D288" s="96" t="s">
        <v>2062</v>
      </c>
      <c r="E288" s="96" t="b">
        <v>0</v>
      </c>
      <c r="F288" s="96" t="b">
        <v>0</v>
      </c>
      <c r="G288" s="96" t="b">
        <v>0</v>
      </c>
    </row>
    <row r="289" spans="1:7" ht="15">
      <c r="A289" s="97" t="s">
        <v>2121</v>
      </c>
      <c r="B289" s="96">
        <v>26</v>
      </c>
      <c r="C289" s="118">
        <v>0.00792061672186614</v>
      </c>
      <c r="D289" s="96" t="s">
        <v>2062</v>
      </c>
      <c r="E289" s="96" t="b">
        <v>0</v>
      </c>
      <c r="F289" s="96" t="b">
        <v>0</v>
      </c>
      <c r="G289" s="96" t="b">
        <v>0</v>
      </c>
    </row>
    <row r="290" spans="1:7" ht="15">
      <c r="A290" s="97" t="s">
        <v>2122</v>
      </c>
      <c r="B290" s="96">
        <v>26</v>
      </c>
      <c r="C290" s="118">
        <v>0.00792061672186614</v>
      </c>
      <c r="D290" s="96" t="s">
        <v>2062</v>
      </c>
      <c r="E290" s="96" t="b">
        <v>0</v>
      </c>
      <c r="F290" s="96" t="b">
        <v>0</v>
      </c>
      <c r="G290" s="96" t="b">
        <v>0</v>
      </c>
    </row>
    <row r="291" spans="1:7" ht="15">
      <c r="A291" s="97" t="s">
        <v>2130</v>
      </c>
      <c r="B291" s="96">
        <v>26</v>
      </c>
      <c r="C291" s="118">
        <v>0.00792061672186614</v>
      </c>
      <c r="D291" s="96" t="s">
        <v>2062</v>
      </c>
      <c r="E291" s="96" t="b">
        <v>0</v>
      </c>
      <c r="F291" s="96" t="b">
        <v>0</v>
      </c>
      <c r="G291" s="96" t="b">
        <v>0</v>
      </c>
    </row>
    <row r="292" spans="1:7" ht="15">
      <c r="A292" s="97" t="s">
        <v>2131</v>
      </c>
      <c r="B292" s="96">
        <v>26</v>
      </c>
      <c r="C292" s="118">
        <v>0.00792061672186614</v>
      </c>
      <c r="D292" s="96" t="s">
        <v>2062</v>
      </c>
      <c r="E292" s="96" t="b">
        <v>0</v>
      </c>
      <c r="F292" s="96" t="b">
        <v>0</v>
      </c>
      <c r="G292" s="96" t="b">
        <v>0</v>
      </c>
    </row>
    <row r="293" spans="1:7" ht="15">
      <c r="A293" s="97" t="s">
        <v>2123</v>
      </c>
      <c r="B293" s="96">
        <v>26</v>
      </c>
      <c r="C293" s="118">
        <v>0.00792061672186614</v>
      </c>
      <c r="D293" s="96" t="s">
        <v>2062</v>
      </c>
      <c r="E293" s="96" t="b">
        <v>0</v>
      </c>
      <c r="F293" s="96" t="b">
        <v>0</v>
      </c>
      <c r="G293" s="96" t="b">
        <v>0</v>
      </c>
    </row>
    <row r="294" spans="1:7" ht="15">
      <c r="A294" s="97" t="s">
        <v>2114</v>
      </c>
      <c r="B294" s="96">
        <v>26</v>
      </c>
      <c r="C294" s="118">
        <v>0.00792061672186614</v>
      </c>
      <c r="D294" s="96" t="s">
        <v>2062</v>
      </c>
      <c r="E294" s="96" t="b">
        <v>0</v>
      </c>
      <c r="F294" s="96" t="b">
        <v>0</v>
      </c>
      <c r="G294" s="96" t="b">
        <v>0</v>
      </c>
    </row>
    <row r="295" spans="1:7" ht="15">
      <c r="A295" s="97" t="s">
        <v>384</v>
      </c>
      <c r="B295" s="96">
        <v>10</v>
      </c>
      <c r="C295" s="118">
        <v>0.008579369019815833</v>
      </c>
      <c r="D295" s="96" t="s">
        <v>2062</v>
      </c>
      <c r="E295" s="96" t="b">
        <v>0</v>
      </c>
      <c r="F295" s="96" t="b">
        <v>0</v>
      </c>
      <c r="G295" s="96" t="b">
        <v>0</v>
      </c>
    </row>
    <row r="296" spans="1:7" ht="15">
      <c r="A296" s="97" t="s">
        <v>2108</v>
      </c>
      <c r="B296" s="96">
        <v>8</v>
      </c>
      <c r="C296" s="118">
        <v>0.007897202021271935</v>
      </c>
      <c r="D296" s="96" t="s">
        <v>2062</v>
      </c>
      <c r="E296" s="96" t="b">
        <v>0</v>
      </c>
      <c r="F296" s="96" t="b">
        <v>0</v>
      </c>
      <c r="G296" s="96" t="b">
        <v>0</v>
      </c>
    </row>
    <row r="297" spans="1:7" ht="15">
      <c r="A297" s="97" t="s">
        <v>420</v>
      </c>
      <c r="B297" s="96">
        <v>3</v>
      </c>
      <c r="C297" s="118">
        <v>0.0046653256870661</v>
      </c>
      <c r="D297" s="96" t="s">
        <v>2062</v>
      </c>
      <c r="E297" s="96" t="b">
        <v>0</v>
      </c>
      <c r="F297" s="96" t="b">
        <v>0</v>
      </c>
      <c r="G297" s="96" t="b">
        <v>0</v>
      </c>
    </row>
    <row r="298" spans="1:7" ht="15">
      <c r="A298" s="97" t="s">
        <v>2218</v>
      </c>
      <c r="B298" s="96">
        <v>3</v>
      </c>
      <c r="C298" s="118">
        <v>0.0046653256870661</v>
      </c>
      <c r="D298" s="96" t="s">
        <v>2062</v>
      </c>
      <c r="E298" s="96" t="b">
        <v>0</v>
      </c>
      <c r="F298" s="96" t="b">
        <v>0</v>
      </c>
      <c r="G298" s="96" t="b">
        <v>0</v>
      </c>
    </row>
    <row r="299" spans="1:7" ht="15">
      <c r="A299" s="97" t="s">
        <v>2219</v>
      </c>
      <c r="B299" s="96">
        <v>3</v>
      </c>
      <c r="C299" s="118">
        <v>0.0046653256870661</v>
      </c>
      <c r="D299" s="96" t="s">
        <v>2062</v>
      </c>
      <c r="E299" s="96" t="b">
        <v>0</v>
      </c>
      <c r="F299" s="96" t="b">
        <v>0</v>
      </c>
      <c r="G299" s="96" t="b">
        <v>0</v>
      </c>
    </row>
    <row r="300" spans="1:7" ht="15">
      <c r="A300" s="97" t="s">
        <v>2220</v>
      </c>
      <c r="B300" s="96">
        <v>3</v>
      </c>
      <c r="C300" s="118">
        <v>0.0046653256870661</v>
      </c>
      <c r="D300" s="96" t="s">
        <v>2062</v>
      </c>
      <c r="E300" s="96" t="b">
        <v>0</v>
      </c>
      <c r="F300" s="96" t="b">
        <v>0</v>
      </c>
      <c r="G300" s="96" t="b">
        <v>0</v>
      </c>
    </row>
    <row r="301" spans="1:7" ht="15">
      <c r="A301" s="97" t="s">
        <v>2221</v>
      </c>
      <c r="B301" s="96">
        <v>3</v>
      </c>
      <c r="C301" s="118">
        <v>0.0046653256870661</v>
      </c>
      <c r="D301" s="96" t="s">
        <v>2062</v>
      </c>
      <c r="E301" s="96" t="b">
        <v>0</v>
      </c>
      <c r="F301" s="96" t="b">
        <v>0</v>
      </c>
      <c r="G301" s="96" t="b">
        <v>0</v>
      </c>
    </row>
    <row r="302" spans="1:7" ht="15">
      <c r="A302" s="97" t="s">
        <v>2181</v>
      </c>
      <c r="B302" s="96">
        <v>3</v>
      </c>
      <c r="C302" s="118">
        <v>0.0046653256870661</v>
      </c>
      <c r="D302" s="96" t="s">
        <v>2062</v>
      </c>
      <c r="E302" s="96" t="b">
        <v>0</v>
      </c>
      <c r="F302" s="96" t="b">
        <v>0</v>
      </c>
      <c r="G302" s="96" t="b">
        <v>0</v>
      </c>
    </row>
    <row r="303" spans="1:7" ht="15">
      <c r="A303" s="97" t="s">
        <v>2222</v>
      </c>
      <c r="B303" s="96">
        <v>3</v>
      </c>
      <c r="C303" s="118">
        <v>0.0046653256870661</v>
      </c>
      <c r="D303" s="96" t="s">
        <v>2062</v>
      </c>
      <c r="E303" s="96" t="b">
        <v>0</v>
      </c>
      <c r="F303" s="96" t="b">
        <v>0</v>
      </c>
      <c r="G303" s="96" t="b">
        <v>0</v>
      </c>
    </row>
    <row r="304" spans="1:7" ht="15">
      <c r="A304" s="97" t="s">
        <v>2223</v>
      </c>
      <c r="B304" s="96">
        <v>3</v>
      </c>
      <c r="C304" s="118">
        <v>0.0046653256870661</v>
      </c>
      <c r="D304" s="96" t="s">
        <v>2062</v>
      </c>
      <c r="E304" s="96" t="b">
        <v>0</v>
      </c>
      <c r="F304" s="96" t="b">
        <v>0</v>
      </c>
      <c r="G304" s="96" t="b">
        <v>0</v>
      </c>
    </row>
    <row r="305" spans="1:7" ht="15">
      <c r="A305" s="97" t="s">
        <v>2224</v>
      </c>
      <c r="B305" s="96">
        <v>3</v>
      </c>
      <c r="C305" s="118">
        <v>0.0046653256870661</v>
      </c>
      <c r="D305" s="96" t="s">
        <v>2062</v>
      </c>
      <c r="E305" s="96" t="b">
        <v>0</v>
      </c>
      <c r="F305" s="96" t="b">
        <v>0</v>
      </c>
      <c r="G305" s="96" t="b">
        <v>0</v>
      </c>
    </row>
    <row r="306" spans="1:7" ht="15">
      <c r="A306" s="97" t="s">
        <v>2225</v>
      </c>
      <c r="B306" s="96">
        <v>3</v>
      </c>
      <c r="C306" s="118">
        <v>0.0046653256870661</v>
      </c>
      <c r="D306" s="96" t="s">
        <v>2062</v>
      </c>
      <c r="E306" s="96" t="b">
        <v>0</v>
      </c>
      <c r="F306" s="96" t="b">
        <v>0</v>
      </c>
      <c r="G306" s="96" t="b">
        <v>0</v>
      </c>
    </row>
    <row r="307" spans="1:7" ht="15">
      <c r="A307" s="97" t="s">
        <v>2226</v>
      </c>
      <c r="B307" s="96">
        <v>3</v>
      </c>
      <c r="C307" s="118">
        <v>0.0046653256870661</v>
      </c>
      <c r="D307" s="96" t="s">
        <v>2062</v>
      </c>
      <c r="E307" s="96" t="b">
        <v>0</v>
      </c>
      <c r="F307" s="96" t="b">
        <v>0</v>
      </c>
      <c r="G307" s="96" t="b">
        <v>0</v>
      </c>
    </row>
    <row r="308" spans="1:7" ht="15">
      <c r="A308" s="97" t="s">
        <v>2227</v>
      </c>
      <c r="B308" s="96">
        <v>3</v>
      </c>
      <c r="C308" s="118">
        <v>0.0046653256870661</v>
      </c>
      <c r="D308" s="96" t="s">
        <v>2062</v>
      </c>
      <c r="E308" s="96" t="b">
        <v>0</v>
      </c>
      <c r="F308" s="96" t="b">
        <v>0</v>
      </c>
      <c r="G308" s="96" t="b">
        <v>0</v>
      </c>
    </row>
    <row r="309" spans="1:7" ht="15">
      <c r="A309" s="97" t="s">
        <v>2228</v>
      </c>
      <c r="B309" s="96">
        <v>3</v>
      </c>
      <c r="C309" s="118">
        <v>0.0046653256870661</v>
      </c>
      <c r="D309" s="96" t="s">
        <v>2062</v>
      </c>
      <c r="E309" s="96" t="b">
        <v>0</v>
      </c>
      <c r="F309" s="96" t="b">
        <v>0</v>
      </c>
      <c r="G309" s="96" t="b">
        <v>0</v>
      </c>
    </row>
    <row r="310" spans="1:7" ht="15">
      <c r="A310" s="97" t="s">
        <v>2229</v>
      </c>
      <c r="B310" s="96">
        <v>3</v>
      </c>
      <c r="C310" s="118">
        <v>0.0046653256870661</v>
      </c>
      <c r="D310" s="96" t="s">
        <v>2062</v>
      </c>
      <c r="E310" s="96" t="b">
        <v>0</v>
      </c>
      <c r="F310" s="96" t="b">
        <v>0</v>
      </c>
      <c r="G310" s="96" t="b">
        <v>0</v>
      </c>
    </row>
    <row r="311" spans="1:7" ht="15">
      <c r="A311" s="97" t="s">
        <v>2230</v>
      </c>
      <c r="B311" s="96">
        <v>3</v>
      </c>
      <c r="C311" s="118">
        <v>0.0046653256870661</v>
      </c>
      <c r="D311" s="96" t="s">
        <v>2062</v>
      </c>
      <c r="E311" s="96" t="b">
        <v>0</v>
      </c>
      <c r="F311" s="96" t="b">
        <v>0</v>
      </c>
      <c r="G311" s="96" t="b">
        <v>0</v>
      </c>
    </row>
    <row r="312" spans="1:7" ht="15">
      <c r="A312" s="97" t="s">
        <v>2231</v>
      </c>
      <c r="B312" s="96">
        <v>3</v>
      </c>
      <c r="C312" s="118">
        <v>0.0046653256870661</v>
      </c>
      <c r="D312" s="96" t="s">
        <v>2062</v>
      </c>
      <c r="E312" s="96" t="b">
        <v>0</v>
      </c>
      <c r="F312" s="96" t="b">
        <v>0</v>
      </c>
      <c r="G312" s="96" t="b">
        <v>0</v>
      </c>
    </row>
    <row r="313" spans="1:7" ht="15">
      <c r="A313" s="97" t="s">
        <v>2232</v>
      </c>
      <c r="B313" s="96">
        <v>3</v>
      </c>
      <c r="C313" s="118">
        <v>0.0046653256870661</v>
      </c>
      <c r="D313" s="96" t="s">
        <v>2062</v>
      </c>
      <c r="E313" s="96" t="b">
        <v>0</v>
      </c>
      <c r="F313" s="96" t="b">
        <v>0</v>
      </c>
      <c r="G313" s="96" t="b">
        <v>0</v>
      </c>
    </row>
    <row r="314" spans="1:7" ht="15">
      <c r="A314" s="97" t="s">
        <v>2233</v>
      </c>
      <c r="B314" s="96">
        <v>3</v>
      </c>
      <c r="C314" s="118">
        <v>0.0046653256870661</v>
      </c>
      <c r="D314" s="96" t="s">
        <v>2062</v>
      </c>
      <c r="E314" s="96" t="b">
        <v>0</v>
      </c>
      <c r="F314" s="96" t="b">
        <v>0</v>
      </c>
      <c r="G314" s="96" t="b">
        <v>0</v>
      </c>
    </row>
    <row r="315" spans="1:7" ht="15">
      <c r="A315" s="97" t="s">
        <v>2234</v>
      </c>
      <c r="B315" s="96">
        <v>3</v>
      </c>
      <c r="C315" s="118">
        <v>0.0046653256870661</v>
      </c>
      <c r="D315" s="96" t="s">
        <v>2062</v>
      </c>
      <c r="E315" s="96" t="b">
        <v>0</v>
      </c>
      <c r="F315" s="96" t="b">
        <v>0</v>
      </c>
      <c r="G315" s="96" t="b">
        <v>0</v>
      </c>
    </row>
    <row r="316" spans="1:7" ht="15">
      <c r="A316" s="97" t="s">
        <v>2235</v>
      </c>
      <c r="B316" s="96">
        <v>3</v>
      </c>
      <c r="C316" s="118">
        <v>0.0046653256870661</v>
      </c>
      <c r="D316" s="96" t="s">
        <v>2062</v>
      </c>
      <c r="E316" s="96" t="b">
        <v>0</v>
      </c>
      <c r="F316" s="96" t="b">
        <v>0</v>
      </c>
      <c r="G316" s="96" t="b">
        <v>0</v>
      </c>
    </row>
    <row r="317" spans="1:7" ht="15">
      <c r="A317" s="97" t="s">
        <v>2236</v>
      </c>
      <c r="B317" s="96">
        <v>3</v>
      </c>
      <c r="C317" s="118">
        <v>0.0046653256870661</v>
      </c>
      <c r="D317" s="96" t="s">
        <v>2062</v>
      </c>
      <c r="E317" s="96" t="b">
        <v>0</v>
      </c>
      <c r="F317" s="96" t="b">
        <v>0</v>
      </c>
      <c r="G317" s="96" t="b">
        <v>0</v>
      </c>
    </row>
    <row r="318" spans="1:7" ht="15">
      <c r="A318" s="97" t="s">
        <v>423</v>
      </c>
      <c r="B318" s="96">
        <v>3</v>
      </c>
      <c r="C318" s="118">
        <v>0.0046653256870661</v>
      </c>
      <c r="D318" s="96" t="s">
        <v>2062</v>
      </c>
      <c r="E318" s="96" t="b">
        <v>0</v>
      </c>
      <c r="F318" s="96" t="b">
        <v>0</v>
      </c>
      <c r="G318" s="96" t="b">
        <v>0</v>
      </c>
    </row>
    <row r="319" spans="1:7" ht="15">
      <c r="A319" s="97" t="s">
        <v>2311</v>
      </c>
      <c r="B319" s="96">
        <v>2</v>
      </c>
      <c r="C319" s="118">
        <v>0.004382540470629833</v>
      </c>
      <c r="D319" s="96" t="s">
        <v>2062</v>
      </c>
      <c r="E319" s="96" t="b">
        <v>0</v>
      </c>
      <c r="F319" s="96" t="b">
        <v>0</v>
      </c>
      <c r="G319" s="96" t="b">
        <v>0</v>
      </c>
    </row>
    <row r="320" spans="1:7" ht="15">
      <c r="A320" s="97" t="s">
        <v>2312</v>
      </c>
      <c r="B320" s="96">
        <v>2</v>
      </c>
      <c r="C320" s="118">
        <v>0.003579793815525883</v>
      </c>
      <c r="D320" s="96" t="s">
        <v>2062</v>
      </c>
      <c r="E320" s="96" t="b">
        <v>0</v>
      </c>
      <c r="F320" s="96" t="b">
        <v>0</v>
      </c>
      <c r="G320" s="96" t="b">
        <v>0</v>
      </c>
    </row>
    <row r="321" spans="1:7" ht="15">
      <c r="A321" s="97" t="s">
        <v>2324</v>
      </c>
      <c r="B321" s="96">
        <v>2</v>
      </c>
      <c r="C321" s="118">
        <v>0.003579793815525883</v>
      </c>
      <c r="D321" s="96" t="s">
        <v>2062</v>
      </c>
      <c r="E321" s="96" t="b">
        <v>0</v>
      </c>
      <c r="F321" s="96" t="b">
        <v>0</v>
      </c>
      <c r="G321" s="96" t="b">
        <v>0</v>
      </c>
    </row>
    <row r="322" spans="1:7" ht="15">
      <c r="A322" s="97" t="s">
        <v>2325</v>
      </c>
      <c r="B322" s="96">
        <v>2</v>
      </c>
      <c r="C322" s="118">
        <v>0.003579793815525883</v>
      </c>
      <c r="D322" s="96" t="s">
        <v>2062</v>
      </c>
      <c r="E322" s="96" t="b">
        <v>0</v>
      </c>
      <c r="F322" s="96" t="b">
        <v>0</v>
      </c>
      <c r="G322" s="96" t="b">
        <v>0</v>
      </c>
    </row>
    <row r="323" spans="1:7" ht="15">
      <c r="A323" s="97" t="s">
        <v>2326</v>
      </c>
      <c r="B323" s="96">
        <v>2</v>
      </c>
      <c r="C323" s="118">
        <v>0.003579793815525883</v>
      </c>
      <c r="D323" s="96" t="s">
        <v>2062</v>
      </c>
      <c r="E323" s="96" t="b">
        <v>0</v>
      </c>
      <c r="F323" s="96" t="b">
        <v>0</v>
      </c>
      <c r="G323" s="96" t="b">
        <v>0</v>
      </c>
    </row>
    <row r="324" spans="1:7" ht="15">
      <c r="A324" s="97" t="s">
        <v>2327</v>
      </c>
      <c r="B324" s="96">
        <v>2</v>
      </c>
      <c r="C324" s="118">
        <v>0.003579793815525883</v>
      </c>
      <c r="D324" s="96" t="s">
        <v>2062</v>
      </c>
      <c r="E324" s="96" t="b">
        <v>0</v>
      </c>
      <c r="F324" s="96" t="b">
        <v>0</v>
      </c>
      <c r="G324" s="96" t="b">
        <v>0</v>
      </c>
    </row>
    <row r="325" spans="1:7" ht="15">
      <c r="A325" s="97" t="s">
        <v>2328</v>
      </c>
      <c r="B325" s="96">
        <v>2</v>
      </c>
      <c r="C325" s="118">
        <v>0.004382540470629833</v>
      </c>
      <c r="D325" s="96" t="s">
        <v>2062</v>
      </c>
      <c r="E325" s="96" t="b">
        <v>0</v>
      </c>
      <c r="F325" s="96" t="b">
        <v>0</v>
      </c>
      <c r="G325" s="96" t="b">
        <v>0</v>
      </c>
    </row>
    <row r="326" spans="1:7" ht="15">
      <c r="A326" s="97" t="s">
        <v>2329</v>
      </c>
      <c r="B326" s="96">
        <v>2</v>
      </c>
      <c r="C326" s="118">
        <v>0.004382540470629833</v>
      </c>
      <c r="D326" s="96" t="s">
        <v>2062</v>
      </c>
      <c r="E326" s="96" t="b">
        <v>0</v>
      </c>
      <c r="F326" s="96" t="b">
        <v>0</v>
      </c>
      <c r="G326" s="96" t="b">
        <v>0</v>
      </c>
    </row>
    <row r="327" spans="1:7" ht="15">
      <c r="A327" s="97" t="s">
        <v>416</v>
      </c>
      <c r="B327" s="96">
        <v>20</v>
      </c>
      <c r="C327" s="118">
        <v>0.008302729299899886</v>
      </c>
      <c r="D327" s="96" t="s">
        <v>2063</v>
      </c>
      <c r="E327" s="96" t="b">
        <v>0</v>
      </c>
      <c r="F327" s="96" t="b">
        <v>0</v>
      </c>
      <c r="G327" s="96" t="b">
        <v>0</v>
      </c>
    </row>
    <row r="328" spans="1:7" ht="15">
      <c r="A328" s="97" t="s">
        <v>2106</v>
      </c>
      <c r="B328" s="96">
        <v>11</v>
      </c>
      <c r="C328" s="118">
        <v>0.01397368847944435</v>
      </c>
      <c r="D328" s="96" t="s">
        <v>2063</v>
      </c>
      <c r="E328" s="96" t="b">
        <v>0</v>
      </c>
      <c r="F328" s="96" t="b">
        <v>0</v>
      </c>
      <c r="G328" s="96" t="b">
        <v>0</v>
      </c>
    </row>
    <row r="329" spans="1:7" ht="15">
      <c r="A329" s="97" t="s">
        <v>2107</v>
      </c>
      <c r="B329" s="96">
        <v>7</v>
      </c>
      <c r="C329" s="118">
        <v>0.011972783918453798</v>
      </c>
      <c r="D329" s="96" t="s">
        <v>2063</v>
      </c>
      <c r="E329" s="96" t="b">
        <v>0</v>
      </c>
      <c r="F329" s="96" t="b">
        <v>0</v>
      </c>
      <c r="G329" s="96" t="b">
        <v>0</v>
      </c>
    </row>
    <row r="330" spans="1:7" ht="15">
      <c r="A330" s="97" t="s">
        <v>431</v>
      </c>
      <c r="B330" s="96">
        <v>3</v>
      </c>
      <c r="C330" s="118">
        <v>0.008267358891669518</v>
      </c>
      <c r="D330" s="96" t="s">
        <v>2063</v>
      </c>
      <c r="E330" s="96" t="b">
        <v>0</v>
      </c>
      <c r="F330" s="96" t="b">
        <v>0</v>
      </c>
      <c r="G330" s="96" t="b">
        <v>0</v>
      </c>
    </row>
    <row r="331" spans="1:7" ht="15">
      <c r="A331" s="97" t="s">
        <v>434</v>
      </c>
      <c r="B331" s="96">
        <v>3</v>
      </c>
      <c r="C331" s="118">
        <v>0.008267358891669518</v>
      </c>
      <c r="D331" s="96" t="s">
        <v>2063</v>
      </c>
      <c r="E331" s="96" t="b">
        <v>0</v>
      </c>
      <c r="F331" s="96" t="b">
        <v>0</v>
      </c>
      <c r="G331" s="96" t="b">
        <v>0</v>
      </c>
    </row>
    <row r="332" spans="1:7" ht="15">
      <c r="A332" s="97" t="s">
        <v>430</v>
      </c>
      <c r="B332" s="96">
        <v>3</v>
      </c>
      <c r="C332" s="118">
        <v>0.008267358891669518</v>
      </c>
      <c r="D332" s="96" t="s">
        <v>2063</v>
      </c>
      <c r="E332" s="96" t="b">
        <v>0</v>
      </c>
      <c r="F332" s="96" t="b">
        <v>0</v>
      </c>
      <c r="G332" s="96" t="b">
        <v>0</v>
      </c>
    </row>
    <row r="333" spans="1:7" ht="15">
      <c r="A333" s="97" t="s">
        <v>2237</v>
      </c>
      <c r="B333" s="96">
        <v>3</v>
      </c>
      <c r="C333" s="118">
        <v>0.01233373322166664</v>
      </c>
      <c r="D333" s="96" t="s">
        <v>2063</v>
      </c>
      <c r="E333" s="96" t="b">
        <v>0</v>
      </c>
      <c r="F333" s="96" t="b">
        <v>0</v>
      </c>
      <c r="G333" s="96" t="b">
        <v>0</v>
      </c>
    </row>
    <row r="334" spans="1:7" ht="15">
      <c r="A334" s="97" t="s">
        <v>2193</v>
      </c>
      <c r="B334" s="96">
        <v>2</v>
      </c>
      <c r="C334" s="118">
        <v>0.006512091111808171</v>
      </c>
      <c r="D334" s="96" t="s">
        <v>2063</v>
      </c>
      <c r="E334" s="96" t="b">
        <v>0</v>
      </c>
      <c r="F334" s="96" t="b">
        <v>0</v>
      </c>
      <c r="G334" s="96" t="b">
        <v>0</v>
      </c>
    </row>
    <row r="335" spans="1:7" ht="15">
      <c r="A335" s="97" t="s">
        <v>439</v>
      </c>
      <c r="B335" s="96">
        <v>2</v>
      </c>
      <c r="C335" s="118">
        <v>0.006512091111808171</v>
      </c>
      <c r="D335" s="96" t="s">
        <v>2063</v>
      </c>
      <c r="E335" s="96" t="b">
        <v>0</v>
      </c>
      <c r="F335" s="96" t="b">
        <v>0</v>
      </c>
      <c r="G335" s="96" t="b">
        <v>0</v>
      </c>
    </row>
    <row r="336" spans="1:7" ht="15">
      <c r="A336" s="97" t="s">
        <v>2282</v>
      </c>
      <c r="B336" s="96">
        <v>2</v>
      </c>
      <c r="C336" s="118">
        <v>0.006512091111808171</v>
      </c>
      <c r="D336" s="96" t="s">
        <v>2063</v>
      </c>
      <c r="E336" s="96" t="b">
        <v>0</v>
      </c>
      <c r="F336" s="96" t="b">
        <v>0</v>
      </c>
      <c r="G336" s="96" t="b">
        <v>0</v>
      </c>
    </row>
    <row r="337" spans="1:7" ht="15">
      <c r="A337" s="97" t="s">
        <v>2110</v>
      </c>
      <c r="B337" s="96">
        <v>2</v>
      </c>
      <c r="C337" s="118">
        <v>0.006512091111808171</v>
      </c>
      <c r="D337" s="96" t="s">
        <v>2063</v>
      </c>
      <c r="E337" s="96" t="b">
        <v>0</v>
      </c>
      <c r="F337" s="96" t="b">
        <v>0</v>
      </c>
      <c r="G337" s="96" t="b">
        <v>0</v>
      </c>
    </row>
    <row r="338" spans="1:7" ht="15">
      <c r="A338" s="97" t="s">
        <v>2186</v>
      </c>
      <c r="B338" s="96">
        <v>2</v>
      </c>
      <c r="C338" s="118">
        <v>0.006512091111808171</v>
      </c>
      <c r="D338" s="96" t="s">
        <v>2063</v>
      </c>
      <c r="E338" s="96" t="b">
        <v>0</v>
      </c>
      <c r="F338" s="96" t="b">
        <v>0</v>
      </c>
      <c r="G338" s="96" t="b">
        <v>0</v>
      </c>
    </row>
    <row r="339" spans="1:7" ht="15">
      <c r="A339" s="97" t="s">
        <v>2214</v>
      </c>
      <c r="B339" s="96">
        <v>2</v>
      </c>
      <c r="C339" s="118">
        <v>0.006512091111808171</v>
      </c>
      <c r="D339" s="96" t="s">
        <v>2063</v>
      </c>
      <c r="E339" s="96" t="b">
        <v>0</v>
      </c>
      <c r="F339" s="96" t="b">
        <v>0</v>
      </c>
      <c r="G339" s="96" t="b">
        <v>0</v>
      </c>
    </row>
    <row r="340" spans="1:7" ht="15">
      <c r="A340" s="97" t="s">
        <v>427</v>
      </c>
      <c r="B340" s="96">
        <v>2</v>
      </c>
      <c r="C340" s="118">
        <v>0.006512091111808171</v>
      </c>
      <c r="D340" s="96" t="s">
        <v>2063</v>
      </c>
      <c r="E340" s="96" t="b">
        <v>0</v>
      </c>
      <c r="F340" s="96" t="b">
        <v>0</v>
      </c>
      <c r="G340" s="96" t="b">
        <v>0</v>
      </c>
    </row>
    <row r="341" spans="1:7" ht="15">
      <c r="A341" s="97" t="s">
        <v>2308</v>
      </c>
      <c r="B341" s="96">
        <v>2</v>
      </c>
      <c r="C341" s="118">
        <v>0.006512091111808171</v>
      </c>
      <c r="D341" s="96" t="s">
        <v>2063</v>
      </c>
      <c r="E341" s="96" t="b">
        <v>0</v>
      </c>
      <c r="F341" s="96" t="b">
        <v>0</v>
      </c>
      <c r="G341" s="96" t="b">
        <v>0</v>
      </c>
    </row>
    <row r="342" spans="1:7" ht="15">
      <c r="A342" s="97" t="s">
        <v>2184</v>
      </c>
      <c r="B342" s="96">
        <v>2</v>
      </c>
      <c r="C342" s="118">
        <v>0.006512091111808171</v>
      </c>
      <c r="D342" s="96" t="s">
        <v>2063</v>
      </c>
      <c r="E342" s="96" t="b">
        <v>0</v>
      </c>
      <c r="F342" s="96" t="b">
        <v>0</v>
      </c>
      <c r="G342" s="96" t="b">
        <v>0</v>
      </c>
    </row>
    <row r="343" spans="1:7" ht="15">
      <c r="A343" s="97" t="s">
        <v>2314</v>
      </c>
      <c r="B343" s="96">
        <v>2</v>
      </c>
      <c r="C343" s="118">
        <v>0.008222488814444427</v>
      </c>
      <c r="D343" s="96" t="s">
        <v>2063</v>
      </c>
      <c r="E343" s="96" t="b">
        <v>0</v>
      </c>
      <c r="F343" s="96" t="b">
        <v>0</v>
      </c>
      <c r="G343" s="96" t="b">
        <v>0</v>
      </c>
    </row>
    <row r="344" spans="1:7" ht="15">
      <c r="A344" s="97" t="s">
        <v>265</v>
      </c>
      <c r="B344" s="96">
        <v>2</v>
      </c>
      <c r="C344" s="118">
        <v>0.006512091111808171</v>
      </c>
      <c r="D344" s="96" t="s">
        <v>2063</v>
      </c>
      <c r="E344" s="96" t="b">
        <v>0</v>
      </c>
      <c r="F344" s="96" t="b">
        <v>0</v>
      </c>
      <c r="G344" s="96" t="b">
        <v>0</v>
      </c>
    </row>
    <row r="345" spans="1:7" ht="15">
      <c r="A345" s="97" t="s">
        <v>2182</v>
      </c>
      <c r="B345" s="96">
        <v>2</v>
      </c>
      <c r="C345" s="118">
        <v>0.006512091111808171</v>
      </c>
      <c r="D345" s="96" t="s">
        <v>2063</v>
      </c>
      <c r="E345" s="96" t="b">
        <v>0</v>
      </c>
      <c r="F345" s="96" t="b">
        <v>0</v>
      </c>
      <c r="G345" s="96" t="b">
        <v>0</v>
      </c>
    </row>
    <row r="346" spans="1:7" ht="15">
      <c r="A346" s="97" t="s">
        <v>2148</v>
      </c>
      <c r="B346" s="96">
        <v>2</v>
      </c>
      <c r="C346" s="118">
        <v>0.006512091111808171</v>
      </c>
      <c r="D346" s="96" t="s">
        <v>2063</v>
      </c>
      <c r="E346" s="96" t="b">
        <v>0</v>
      </c>
      <c r="F346" s="96" t="b">
        <v>0</v>
      </c>
      <c r="G346" s="96" t="b">
        <v>0</v>
      </c>
    </row>
    <row r="347" spans="1:7" ht="15">
      <c r="A347" s="97" t="s">
        <v>2111</v>
      </c>
      <c r="B347" s="96">
        <v>31</v>
      </c>
      <c r="C347" s="118">
        <v>0.005114228349186857</v>
      </c>
      <c r="D347" s="96" t="s">
        <v>2064</v>
      </c>
      <c r="E347" s="96" t="b">
        <v>0</v>
      </c>
      <c r="F347" s="96" t="b">
        <v>0</v>
      </c>
      <c r="G347" s="96" t="b">
        <v>0</v>
      </c>
    </row>
    <row r="348" spans="1:7" ht="15">
      <c r="A348" s="97" t="s">
        <v>2108</v>
      </c>
      <c r="B348" s="96">
        <v>29</v>
      </c>
      <c r="C348" s="118">
        <v>0.006036062309152286</v>
      </c>
      <c r="D348" s="96" t="s">
        <v>2064</v>
      </c>
      <c r="E348" s="96" t="b">
        <v>0</v>
      </c>
      <c r="F348" s="96" t="b">
        <v>0</v>
      </c>
      <c r="G348" s="96" t="b">
        <v>0</v>
      </c>
    </row>
    <row r="349" spans="1:7" ht="15">
      <c r="A349" s="97" t="s">
        <v>2140</v>
      </c>
      <c r="B349" s="96">
        <v>27</v>
      </c>
      <c r="C349" s="118">
        <v>0.006868551614846984</v>
      </c>
      <c r="D349" s="96" t="s">
        <v>2064</v>
      </c>
      <c r="E349" s="96" t="b">
        <v>0</v>
      </c>
      <c r="F349" s="96" t="b">
        <v>0</v>
      </c>
      <c r="G349" s="96" t="b">
        <v>0</v>
      </c>
    </row>
    <row r="350" spans="1:7" ht="15">
      <c r="A350" s="97" t="s">
        <v>2124</v>
      </c>
      <c r="B350" s="96">
        <v>27</v>
      </c>
      <c r="C350" s="118">
        <v>0.006868551614846984</v>
      </c>
      <c r="D350" s="96" t="s">
        <v>2064</v>
      </c>
      <c r="E350" s="96" t="b">
        <v>0</v>
      </c>
      <c r="F350" s="96" t="b">
        <v>0</v>
      </c>
      <c r="G350" s="96" t="b">
        <v>0</v>
      </c>
    </row>
    <row r="351" spans="1:7" ht="15">
      <c r="A351" s="97" t="s">
        <v>2132</v>
      </c>
      <c r="B351" s="96">
        <v>27</v>
      </c>
      <c r="C351" s="118">
        <v>0.006868551614846984</v>
      </c>
      <c r="D351" s="96" t="s">
        <v>2064</v>
      </c>
      <c r="E351" s="96" t="b">
        <v>0</v>
      </c>
      <c r="F351" s="96" t="b">
        <v>0</v>
      </c>
      <c r="G351" s="96" t="b">
        <v>0</v>
      </c>
    </row>
    <row r="352" spans="1:7" ht="15">
      <c r="A352" s="97" t="s">
        <v>2141</v>
      </c>
      <c r="B352" s="96">
        <v>27</v>
      </c>
      <c r="C352" s="118">
        <v>0.006868551614846984</v>
      </c>
      <c r="D352" s="96" t="s">
        <v>2064</v>
      </c>
      <c r="E352" s="96" t="b">
        <v>0</v>
      </c>
      <c r="F352" s="96" t="b">
        <v>0</v>
      </c>
      <c r="G352" s="96" t="b">
        <v>0</v>
      </c>
    </row>
    <row r="353" spans="1:7" ht="15">
      <c r="A353" s="97" t="s">
        <v>2142</v>
      </c>
      <c r="B353" s="96">
        <v>27</v>
      </c>
      <c r="C353" s="118">
        <v>0.006868551614846984</v>
      </c>
      <c r="D353" s="96" t="s">
        <v>2064</v>
      </c>
      <c r="E353" s="96" t="b">
        <v>0</v>
      </c>
      <c r="F353" s="96" t="b">
        <v>0</v>
      </c>
      <c r="G353" s="96" t="b">
        <v>0</v>
      </c>
    </row>
    <row r="354" spans="1:7" ht="15">
      <c r="A354" s="97" t="s">
        <v>2143</v>
      </c>
      <c r="B354" s="96">
        <v>27</v>
      </c>
      <c r="C354" s="118">
        <v>0.006868551614846984</v>
      </c>
      <c r="D354" s="96" t="s">
        <v>2064</v>
      </c>
      <c r="E354" s="96" t="b">
        <v>0</v>
      </c>
      <c r="F354" s="96" t="b">
        <v>0</v>
      </c>
      <c r="G354" s="96" t="b">
        <v>0</v>
      </c>
    </row>
    <row r="355" spans="1:7" ht="15">
      <c r="A355" s="97" t="s">
        <v>2144</v>
      </c>
      <c r="B355" s="96">
        <v>27</v>
      </c>
      <c r="C355" s="118">
        <v>0.006868551614846984</v>
      </c>
      <c r="D355" s="96" t="s">
        <v>2064</v>
      </c>
      <c r="E355" s="96" t="b">
        <v>0</v>
      </c>
      <c r="F355" s="96" t="b">
        <v>0</v>
      </c>
      <c r="G355" s="96" t="b">
        <v>0</v>
      </c>
    </row>
    <row r="356" spans="1:7" ht="15">
      <c r="A356" s="97" t="s">
        <v>2133</v>
      </c>
      <c r="B356" s="96">
        <v>27</v>
      </c>
      <c r="C356" s="118">
        <v>0.006868551614846984</v>
      </c>
      <c r="D356" s="96" t="s">
        <v>2064</v>
      </c>
      <c r="E356" s="96" t="b">
        <v>0</v>
      </c>
      <c r="F356" s="96" t="b">
        <v>0</v>
      </c>
      <c r="G356" s="96" t="b">
        <v>0</v>
      </c>
    </row>
    <row r="357" spans="1:7" ht="15">
      <c r="A357" s="97" t="s">
        <v>2134</v>
      </c>
      <c r="B357" s="96">
        <v>27</v>
      </c>
      <c r="C357" s="118">
        <v>0.006868551614846984</v>
      </c>
      <c r="D357" s="96" t="s">
        <v>2064</v>
      </c>
      <c r="E357" s="96" t="b">
        <v>0</v>
      </c>
      <c r="F357" s="96" t="b">
        <v>0</v>
      </c>
      <c r="G357" s="96" t="b">
        <v>0</v>
      </c>
    </row>
    <row r="358" spans="1:7" ht="15">
      <c r="A358" s="97" t="s">
        <v>2135</v>
      </c>
      <c r="B358" s="96">
        <v>27</v>
      </c>
      <c r="C358" s="118">
        <v>0.006868551614846984</v>
      </c>
      <c r="D358" s="96" t="s">
        <v>2064</v>
      </c>
      <c r="E358" s="96" t="b">
        <v>0</v>
      </c>
      <c r="F358" s="96" t="b">
        <v>0</v>
      </c>
      <c r="G358" s="96" t="b">
        <v>0</v>
      </c>
    </row>
    <row r="359" spans="1:7" ht="15">
      <c r="A359" s="97" t="s">
        <v>2136</v>
      </c>
      <c r="B359" s="96">
        <v>27</v>
      </c>
      <c r="C359" s="118">
        <v>0.006868551614846984</v>
      </c>
      <c r="D359" s="96" t="s">
        <v>2064</v>
      </c>
      <c r="E359" s="96" t="b">
        <v>0</v>
      </c>
      <c r="F359" s="96" t="b">
        <v>0</v>
      </c>
      <c r="G359" s="96" t="b">
        <v>0</v>
      </c>
    </row>
    <row r="360" spans="1:7" ht="15">
      <c r="A360" s="97" t="s">
        <v>2137</v>
      </c>
      <c r="B360" s="96">
        <v>27</v>
      </c>
      <c r="C360" s="118">
        <v>0.006868551614846984</v>
      </c>
      <c r="D360" s="96" t="s">
        <v>2064</v>
      </c>
      <c r="E360" s="96" t="b">
        <v>0</v>
      </c>
      <c r="F360" s="96" t="b">
        <v>0</v>
      </c>
      <c r="G360" s="96" t="b">
        <v>0</v>
      </c>
    </row>
    <row r="361" spans="1:7" ht="15">
      <c r="A361" s="97" t="s">
        <v>2138</v>
      </c>
      <c r="B361" s="96">
        <v>27</v>
      </c>
      <c r="C361" s="118">
        <v>0.006868551614846984</v>
      </c>
      <c r="D361" s="96" t="s">
        <v>2064</v>
      </c>
      <c r="E361" s="96" t="b">
        <v>0</v>
      </c>
      <c r="F361" s="96" t="b">
        <v>0</v>
      </c>
      <c r="G361" s="96" t="b">
        <v>0</v>
      </c>
    </row>
    <row r="362" spans="1:7" ht="15">
      <c r="A362" s="97" t="s">
        <v>2145</v>
      </c>
      <c r="B362" s="96">
        <v>27</v>
      </c>
      <c r="C362" s="118">
        <v>0.006868551614846984</v>
      </c>
      <c r="D362" s="96" t="s">
        <v>2064</v>
      </c>
      <c r="E362" s="96" t="b">
        <v>0</v>
      </c>
      <c r="F362" s="96" t="b">
        <v>0</v>
      </c>
      <c r="G362" s="96" t="b">
        <v>0</v>
      </c>
    </row>
    <row r="363" spans="1:7" ht="15">
      <c r="A363" s="97" t="s">
        <v>2139</v>
      </c>
      <c r="B363" s="96">
        <v>27</v>
      </c>
      <c r="C363" s="118">
        <v>0.006868551614846984</v>
      </c>
      <c r="D363" s="96" t="s">
        <v>2064</v>
      </c>
      <c r="E363" s="96" t="b">
        <v>0</v>
      </c>
      <c r="F363" s="96" t="b">
        <v>0</v>
      </c>
      <c r="G363" s="96" t="b">
        <v>0</v>
      </c>
    </row>
    <row r="364" spans="1:7" ht="15">
      <c r="A364" s="97" t="s">
        <v>2146</v>
      </c>
      <c r="B364" s="96">
        <v>27</v>
      </c>
      <c r="C364" s="118">
        <v>0.006868551614846984</v>
      </c>
      <c r="D364" s="96" t="s">
        <v>2064</v>
      </c>
      <c r="E364" s="96" t="b">
        <v>0</v>
      </c>
      <c r="F364" s="96" t="b">
        <v>0</v>
      </c>
      <c r="G364" s="96" t="b">
        <v>0</v>
      </c>
    </row>
    <row r="365" spans="1:7" ht="15">
      <c r="A365" s="97" t="s">
        <v>2147</v>
      </c>
      <c r="B365" s="96">
        <v>27</v>
      </c>
      <c r="C365" s="118">
        <v>0.006868551614846984</v>
      </c>
      <c r="D365" s="96" t="s">
        <v>2064</v>
      </c>
      <c r="E365" s="96" t="b">
        <v>0</v>
      </c>
      <c r="F365" s="96" t="b">
        <v>0</v>
      </c>
      <c r="G365" s="96" t="b">
        <v>0</v>
      </c>
    </row>
    <row r="366" spans="1:7" ht="15">
      <c r="A366" s="97" t="s">
        <v>2106</v>
      </c>
      <c r="B366" s="96">
        <v>10</v>
      </c>
      <c r="C366" s="118">
        <v>0.0089725781121902</v>
      </c>
      <c r="D366" s="96" t="s">
        <v>2064</v>
      </c>
      <c r="E366" s="96" t="b">
        <v>0</v>
      </c>
      <c r="F366" s="96" t="b">
        <v>0</v>
      </c>
      <c r="G366" s="96" t="b">
        <v>0</v>
      </c>
    </row>
    <row r="367" spans="1:7" ht="15">
      <c r="A367" s="97" t="s">
        <v>2107</v>
      </c>
      <c r="B367" s="96">
        <v>10</v>
      </c>
      <c r="C367" s="118">
        <v>0.0089725781121902</v>
      </c>
      <c r="D367" s="96" t="s">
        <v>2064</v>
      </c>
      <c r="E367" s="96" t="b">
        <v>0</v>
      </c>
      <c r="F367" s="96" t="b">
        <v>0</v>
      </c>
      <c r="G367" s="96" t="b">
        <v>0</v>
      </c>
    </row>
    <row r="368" spans="1:7" ht="15">
      <c r="A368" s="97" t="s">
        <v>2114</v>
      </c>
      <c r="B368" s="96">
        <v>4</v>
      </c>
      <c r="C368" s="118">
        <v>0.005961251862891207</v>
      </c>
      <c r="D368" s="96" t="s">
        <v>2064</v>
      </c>
      <c r="E368" s="96" t="b">
        <v>0</v>
      </c>
      <c r="F368" s="96" t="b">
        <v>0</v>
      </c>
      <c r="G368" s="96" t="b">
        <v>0</v>
      </c>
    </row>
    <row r="369" spans="1:7" ht="15">
      <c r="A369" s="97" t="s">
        <v>2109</v>
      </c>
      <c r="B369" s="96">
        <v>3</v>
      </c>
      <c r="C369" s="118">
        <v>0.005029532354433532</v>
      </c>
      <c r="D369" s="96" t="s">
        <v>2064</v>
      </c>
      <c r="E369" s="96" t="b">
        <v>0</v>
      </c>
      <c r="F369" s="96" t="b">
        <v>0</v>
      </c>
      <c r="G369" s="96" t="b">
        <v>0</v>
      </c>
    </row>
    <row r="370" spans="1:7" ht="15">
      <c r="A370" s="97" t="s">
        <v>2110</v>
      </c>
      <c r="B370" s="96">
        <v>3</v>
      </c>
      <c r="C370" s="118">
        <v>0.005029532354433532</v>
      </c>
      <c r="D370" s="96" t="s">
        <v>2064</v>
      </c>
      <c r="E370" s="96" t="b">
        <v>0</v>
      </c>
      <c r="F370" s="96" t="b">
        <v>0</v>
      </c>
      <c r="G370" s="96" t="b">
        <v>0</v>
      </c>
    </row>
    <row r="371" spans="1:7" ht="15">
      <c r="A371" s="97" t="s">
        <v>2125</v>
      </c>
      <c r="B371" s="96">
        <v>3</v>
      </c>
      <c r="C371" s="118">
        <v>0.005029532354433532</v>
      </c>
      <c r="D371" s="96" t="s">
        <v>2064</v>
      </c>
      <c r="E371" s="96" t="b">
        <v>0</v>
      </c>
      <c r="F371" s="96" t="b">
        <v>0</v>
      </c>
      <c r="G371" s="96" t="b">
        <v>0</v>
      </c>
    </row>
    <row r="372" spans="1:7" ht="15">
      <c r="A372" s="97" t="s">
        <v>2126</v>
      </c>
      <c r="B372" s="96">
        <v>3</v>
      </c>
      <c r="C372" s="118">
        <v>0.005029532354433532</v>
      </c>
      <c r="D372" s="96" t="s">
        <v>2064</v>
      </c>
      <c r="E372" s="96" t="b">
        <v>0</v>
      </c>
      <c r="F372" s="96" t="b">
        <v>0</v>
      </c>
      <c r="G372" s="96" t="b">
        <v>0</v>
      </c>
    </row>
    <row r="373" spans="1:7" ht="15">
      <c r="A373" s="97" t="s">
        <v>2127</v>
      </c>
      <c r="B373" s="96">
        <v>3</v>
      </c>
      <c r="C373" s="118">
        <v>0.005029532354433532</v>
      </c>
      <c r="D373" s="96" t="s">
        <v>2064</v>
      </c>
      <c r="E373" s="96" t="b">
        <v>0</v>
      </c>
      <c r="F373" s="96" t="b">
        <v>0</v>
      </c>
      <c r="G373" s="96" t="b">
        <v>0</v>
      </c>
    </row>
    <row r="374" spans="1:7" ht="15">
      <c r="A374" s="97" t="s">
        <v>2128</v>
      </c>
      <c r="B374" s="96">
        <v>3</v>
      </c>
      <c r="C374" s="118">
        <v>0.005029532354433532</v>
      </c>
      <c r="D374" s="96" t="s">
        <v>2064</v>
      </c>
      <c r="E374" s="96" t="b">
        <v>0</v>
      </c>
      <c r="F374" s="96" t="b">
        <v>0</v>
      </c>
      <c r="G374" s="96" t="b">
        <v>0</v>
      </c>
    </row>
    <row r="375" spans="1:7" ht="15">
      <c r="A375" s="97" t="s">
        <v>2115</v>
      </c>
      <c r="B375" s="96">
        <v>3</v>
      </c>
      <c r="C375" s="118">
        <v>0.005029532354433532</v>
      </c>
      <c r="D375" s="96" t="s">
        <v>2064</v>
      </c>
      <c r="E375" s="96" t="b">
        <v>0</v>
      </c>
      <c r="F375" s="96" t="b">
        <v>0</v>
      </c>
      <c r="G375" s="96" t="b">
        <v>0</v>
      </c>
    </row>
    <row r="376" spans="1:7" ht="15">
      <c r="A376" s="97" t="s">
        <v>2116</v>
      </c>
      <c r="B376" s="96">
        <v>3</v>
      </c>
      <c r="C376" s="118">
        <v>0.005029532354433532</v>
      </c>
      <c r="D376" s="96" t="s">
        <v>2064</v>
      </c>
      <c r="E376" s="96" t="b">
        <v>0</v>
      </c>
      <c r="F376" s="96" t="b">
        <v>0</v>
      </c>
      <c r="G376" s="96" t="b">
        <v>0</v>
      </c>
    </row>
    <row r="377" spans="1:7" ht="15">
      <c r="A377" s="97" t="s">
        <v>2117</v>
      </c>
      <c r="B377" s="96">
        <v>3</v>
      </c>
      <c r="C377" s="118">
        <v>0.005029532354433532</v>
      </c>
      <c r="D377" s="96" t="s">
        <v>2064</v>
      </c>
      <c r="E377" s="96" t="b">
        <v>0</v>
      </c>
      <c r="F377" s="96" t="b">
        <v>0</v>
      </c>
      <c r="G377" s="96" t="b">
        <v>0</v>
      </c>
    </row>
    <row r="378" spans="1:7" ht="15">
      <c r="A378" s="97" t="s">
        <v>2118</v>
      </c>
      <c r="B378" s="96">
        <v>3</v>
      </c>
      <c r="C378" s="118">
        <v>0.005029532354433532</v>
      </c>
      <c r="D378" s="96" t="s">
        <v>2064</v>
      </c>
      <c r="E378" s="96" t="b">
        <v>0</v>
      </c>
      <c r="F378" s="96" t="b">
        <v>0</v>
      </c>
      <c r="G378" s="96" t="b">
        <v>0</v>
      </c>
    </row>
    <row r="379" spans="1:7" ht="15">
      <c r="A379" s="97" t="s">
        <v>2119</v>
      </c>
      <c r="B379" s="96">
        <v>3</v>
      </c>
      <c r="C379" s="118">
        <v>0.005029532354433532</v>
      </c>
      <c r="D379" s="96" t="s">
        <v>2064</v>
      </c>
      <c r="E379" s="96" t="b">
        <v>0</v>
      </c>
      <c r="F379" s="96" t="b">
        <v>0</v>
      </c>
      <c r="G379" s="96" t="b">
        <v>0</v>
      </c>
    </row>
    <row r="380" spans="1:7" ht="15">
      <c r="A380" s="97" t="s">
        <v>2129</v>
      </c>
      <c r="B380" s="96">
        <v>3</v>
      </c>
      <c r="C380" s="118">
        <v>0.005029532354433532</v>
      </c>
      <c r="D380" s="96" t="s">
        <v>2064</v>
      </c>
      <c r="E380" s="96" t="b">
        <v>0</v>
      </c>
      <c r="F380" s="96" t="b">
        <v>0</v>
      </c>
      <c r="G380" s="96" t="b">
        <v>0</v>
      </c>
    </row>
    <row r="381" spans="1:7" ht="15">
      <c r="A381" s="97" t="s">
        <v>2120</v>
      </c>
      <c r="B381" s="96">
        <v>3</v>
      </c>
      <c r="C381" s="118">
        <v>0.005029532354433532</v>
      </c>
      <c r="D381" s="96" t="s">
        <v>2064</v>
      </c>
      <c r="E381" s="96" t="b">
        <v>0</v>
      </c>
      <c r="F381" s="96" t="b">
        <v>0</v>
      </c>
      <c r="G381" s="96" t="b">
        <v>0</v>
      </c>
    </row>
    <row r="382" spans="1:7" ht="15">
      <c r="A382" s="97" t="s">
        <v>2121</v>
      </c>
      <c r="B382" s="96">
        <v>3</v>
      </c>
      <c r="C382" s="118">
        <v>0.005029532354433532</v>
      </c>
      <c r="D382" s="96" t="s">
        <v>2064</v>
      </c>
      <c r="E382" s="96" t="b">
        <v>0</v>
      </c>
      <c r="F382" s="96" t="b">
        <v>0</v>
      </c>
      <c r="G382" s="96" t="b">
        <v>0</v>
      </c>
    </row>
    <row r="383" spans="1:7" ht="15">
      <c r="A383" s="97" t="s">
        <v>2122</v>
      </c>
      <c r="B383" s="96">
        <v>3</v>
      </c>
      <c r="C383" s="118">
        <v>0.005029532354433532</v>
      </c>
      <c r="D383" s="96" t="s">
        <v>2064</v>
      </c>
      <c r="E383" s="96" t="b">
        <v>0</v>
      </c>
      <c r="F383" s="96" t="b">
        <v>0</v>
      </c>
      <c r="G383" s="96" t="b">
        <v>0</v>
      </c>
    </row>
    <row r="384" spans="1:7" ht="15">
      <c r="A384" s="97" t="s">
        <v>2130</v>
      </c>
      <c r="B384" s="96">
        <v>3</v>
      </c>
      <c r="C384" s="118">
        <v>0.005029532354433532</v>
      </c>
      <c r="D384" s="96" t="s">
        <v>2064</v>
      </c>
      <c r="E384" s="96" t="b">
        <v>0</v>
      </c>
      <c r="F384" s="96" t="b">
        <v>0</v>
      </c>
      <c r="G384" s="96" t="b">
        <v>0</v>
      </c>
    </row>
    <row r="385" spans="1:7" ht="15">
      <c r="A385" s="97" t="s">
        <v>2131</v>
      </c>
      <c r="B385" s="96">
        <v>3</v>
      </c>
      <c r="C385" s="118">
        <v>0.005029532354433532</v>
      </c>
      <c r="D385" s="96" t="s">
        <v>2064</v>
      </c>
      <c r="E385" s="96" t="b">
        <v>0</v>
      </c>
      <c r="F385" s="96" t="b">
        <v>0</v>
      </c>
      <c r="G385" s="96" t="b">
        <v>0</v>
      </c>
    </row>
    <row r="386" spans="1:7" ht="15">
      <c r="A386" s="97" t="s">
        <v>2123</v>
      </c>
      <c r="B386" s="96">
        <v>3</v>
      </c>
      <c r="C386" s="118">
        <v>0.005029532354433532</v>
      </c>
      <c r="D386" s="96" t="s">
        <v>2064</v>
      </c>
      <c r="E386" s="96" t="b">
        <v>0</v>
      </c>
      <c r="F386" s="96" t="b">
        <v>0</v>
      </c>
      <c r="G386" s="96" t="b">
        <v>0</v>
      </c>
    </row>
    <row r="387" spans="1:7" ht="15">
      <c r="A387" s="97" t="s">
        <v>2213</v>
      </c>
      <c r="B387" s="96">
        <v>3</v>
      </c>
      <c r="C387" s="118">
        <v>0.005029532354433532</v>
      </c>
      <c r="D387" s="96" t="s">
        <v>2064</v>
      </c>
      <c r="E387" s="96" t="b">
        <v>0</v>
      </c>
      <c r="F387" s="96" t="b">
        <v>0</v>
      </c>
      <c r="G387" s="96" t="b">
        <v>0</v>
      </c>
    </row>
    <row r="388" spans="1:7" ht="15">
      <c r="A388" s="97" t="s">
        <v>2182</v>
      </c>
      <c r="B388" s="96">
        <v>3</v>
      </c>
      <c r="C388" s="118">
        <v>0.005029532354433532</v>
      </c>
      <c r="D388" s="96" t="s">
        <v>2064</v>
      </c>
      <c r="E388" s="96" t="b">
        <v>0</v>
      </c>
      <c r="F388" s="96" t="b">
        <v>0</v>
      </c>
      <c r="G388" s="96" t="b">
        <v>0</v>
      </c>
    </row>
    <row r="389" spans="1:7" ht="15">
      <c r="A389" s="97" t="s">
        <v>2187</v>
      </c>
      <c r="B389" s="96">
        <v>3</v>
      </c>
      <c r="C389" s="118">
        <v>0.005029532354433532</v>
      </c>
      <c r="D389" s="96" t="s">
        <v>2064</v>
      </c>
      <c r="E389" s="96" t="b">
        <v>0</v>
      </c>
      <c r="F389" s="96" t="b">
        <v>0</v>
      </c>
      <c r="G389" s="96" t="b">
        <v>0</v>
      </c>
    </row>
    <row r="390" spans="1:7" ht="15">
      <c r="A390" s="97" t="s">
        <v>2188</v>
      </c>
      <c r="B390" s="96">
        <v>3</v>
      </c>
      <c r="C390" s="118">
        <v>0.005029532354433532</v>
      </c>
      <c r="D390" s="96" t="s">
        <v>2064</v>
      </c>
      <c r="E390" s="96" t="b">
        <v>0</v>
      </c>
      <c r="F390" s="96" t="b">
        <v>0</v>
      </c>
      <c r="G390" s="96" t="b">
        <v>0</v>
      </c>
    </row>
    <row r="391" spans="1:7" ht="15">
      <c r="A391" s="97" t="s">
        <v>2150</v>
      </c>
      <c r="B391" s="96">
        <v>2</v>
      </c>
      <c r="C391" s="118">
        <v>0.0038778837426646237</v>
      </c>
      <c r="D391" s="96" t="s">
        <v>2064</v>
      </c>
      <c r="E391" s="96" t="b">
        <v>0</v>
      </c>
      <c r="F391" s="96" t="b">
        <v>0</v>
      </c>
      <c r="G391" s="96" t="b">
        <v>0</v>
      </c>
    </row>
    <row r="392" spans="1:7" ht="15">
      <c r="A392" s="97" t="s">
        <v>2151</v>
      </c>
      <c r="B392" s="96">
        <v>2</v>
      </c>
      <c r="C392" s="118">
        <v>0.0038778837426646237</v>
      </c>
      <c r="D392" s="96" t="s">
        <v>2064</v>
      </c>
      <c r="E392" s="96" t="b">
        <v>0</v>
      </c>
      <c r="F392" s="96" t="b">
        <v>0</v>
      </c>
      <c r="G392" s="96" t="b">
        <v>0</v>
      </c>
    </row>
    <row r="393" spans="1:7" ht="15">
      <c r="A393" s="97" t="s">
        <v>2152</v>
      </c>
      <c r="B393" s="96">
        <v>2</v>
      </c>
      <c r="C393" s="118">
        <v>0.0038778837426646237</v>
      </c>
      <c r="D393" s="96" t="s">
        <v>2064</v>
      </c>
      <c r="E393" s="96" t="b">
        <v>0</v>
      </c>
      <c r="F393" s="96" t="b">
        <v>0</v>
      </c>
      <c r="G393" s="96" t="b">
        <v>0</v>
      </c>
    </row>
    <row r="394" spans="1:7" ht="15">
      <c r="A394" s="97" t="s">
        <v>2149</v>
      </c>
      <c r="B394" s="96">
        <v>2</v>
      </c>
      <c r="C394" s="118">
        <v>0.0038778837426646237</v>
      </c>
      <c r="D394" s="96" t="s">
        <v>2064</v>
      </c>
      <c r="E394" s="96" t="b">
        <v>0</v>
      </c>
      <c r="F394" s="96" t="b">
        <v>0</v>
      </c>
      <c r="G394" s="96" t="b">
        <v>0</v>
      </c>
    </row>
    <row r="395" spans="1:7" ht="15">
      <c r="A395" s="97" t="s">
        <v>2153</v>
      </c>
      <c r="B395" s="96">
        <v>2</v>
      </c>
      <c r="C395" s="118">
        <v>0.0038778837426646237</v>
      </c>
      <c r="D395" s="96" t="s">
        <v>2064</v>
      </c>
      <c r="E395" s="96" t="b">
        <v>0</v>
      </c>
      <c r="F395" s="96" t="b">
        <v>0</v>
      </c>
      <c r="G395" s="96" t="b">
        <v>0</v>
      </c>
    </row>
    <row r="396" spans="1:7" ht="15">
      <c r="A396" s="97" t="s">
        <v>2148</v>
      </c>
      <c r="B396" s="96">
        <v>2</v>
      </c>
      <c r="C396" s="118">
        <v>0.0038778837426646237</v>
      </c>
      <c r="D396" s="96" t="s">
        <v>2064</v>
      </c>
      <c r="E396" s="96" t="b">
        <v>0</v>
      </c>
      <c r="F396" s="96" t="b">
        <v>0</v>
      </c>
      <c r="G396" s="96" t="b">
        <v>0</v>
      </c>
    </row>
    <row r="397" spans="1:7" ht="15">
      <c r="A397" s="97" t="s">
        <v>2154</v>
      </c>
      <c r="B397" s="96">
        <v>2</v>
      </c>
      <c r="C397" s="118">
        <v>0.0038778837426646237</v>
      </c>
      <c r="D397" s="96" t="s">
        <v>2064</v>
      </c>
      <c r="E397" s="96" t="b">
        <v>0</v>
      </c>
      <c r="F397" s="96" t="b">
        <v>0</v>
      </c>
      <c r="G397" s="96" t="b">
        <v>0</v>
      </c>
    </row>
    <row r="398" spans="1:7" ht="15">
      <c r="A398" s="97" t="s">
        <v>2155</v>
      </c>
      <c r="B398" s="96">
        <v>2</v>
      </c>
      <c r="C398" s="118">
        <v>0.0038778837426646237</v>
      </c>
      <c r="D398" s="96" t="s">
        <v>2064</v>
      </c>
      <c r="E398" s="96" t="b">
        <v>0</v>
      </c>
      <c r="F398" s="96" t="b">
        <v>0</v>
      </c>
      <c r="G398" s="96" t="b">
        <v>0</v>
      </c>
    </row>
    <row r="399" spans="1:7" ht="15">
      <c r="A399" s="97" t="s">
        <v>2112</v>
      </c>
      <c r="B399" s="96">
        <v>2</v>
      </c>
      <c r="C399" s="118">
        <v>0.0038778837426646237</v>
      </c>
      <c r="D399" s="96" t="s">
        <v>2064</v>
      </c>
      <c r="E399" s="96" t="b">
        <v>0</v>
      </c>
      <c r="F399" s="96" t="b">
        <v>0</v>
      </c>
      <c r="G399" s="96" t="b">
        <v>0</v>
      </c>
    </row>
    <row r="400" spans="1:7" ht="15">
      <c r="A400" s="97" t="s">
        <v>2113</v>
      </c>
      <c r="B400" s="96">
        <v>2</v>
      </c>
      <c r="C400" s="118">
        <v>0.0038778837426646237</v>
      </c>
      <c r="D400" s="96" t="s">
        <v>2064</v>
      </c>
      <c r="E400" s="96" t="b">
        <v>0</v>
      </c>
      <c r="F400" s="96" t="b">
        <v>0</v>
      </c>
      <c r="G400" s="96" t="b">
        <v>0</v>
      </c>
    </row>
    <row r="401" spans="1:7" ht="15">
      <c r="A401" s="97" t="s">
        <v>2106</v>
      </c>
      <c r="B401" s="96">
        <v>21</v>
      </c>
      <c r="C401" s="118">
        <v>0.009170569365936986</v>
      </c>
      <c r="D401" s="96" t="s">
        <v>2065</v>
      </c>
      <c r="E401" s="96" t="b">
        <v>0</v>
      </c>
      <c r="F401" s="96" t="b">
        <v>0</v>
      </c>
      <c r="G401" s="96" t="b">
        <v>0</v>
      </c>
    </row>
    <row r="402" spans="1:7" ht="15">
      <c r="A402" s="97" t="s">
        <v>2107</v>
      </c>
      <c r="B402" s="96">
        <v>21</v>
      </c>
      <c r="C402" s="118">
        <v>0.009170569365936986</v>
      </c>
      <c r="D402" s="96" t="s">
        <v>2065</v>
      </c>
      <c r="E402" s="96" t="b">
        <v>0</v>
      </c>
      <c r="F402" s="96" t="b">
        <v>0</v>
      </c>
      <c r="G402" s="96" t="b">
        <v>0</v>
      </c>
    </row>
    <row r="403" spans="1:7" ht="15">
      <c r="A403" s="97" t="s">
        <v>2157</v>
      </c>
      <c r="B403" s="96">
        <v>10</v>
      </c>
      <c r="C403" s="118">
        <v>0.014404922052926981</v>
      </c>
      <c r="D403" s="96" t="s">
        <v>2065</v>
      </c>
      <c r="E403" s="96" t="b">
        <v>0</v>
      </c>
      <c r="F403" s="96" t="b">
        <v>0</v>
      </c>
      <c r="G403" s="96" t="b">
        <v>0</v>
      </c>
    </row>
    <row r="404" spans="1:7" ht="15">
      <c r="A404" s="97" t="s">
        <v>2176</v>
      </c>
      <c r="B404" s="96">
        <v>9</v>
      </c>
      <c r="C404" s="118">
        <v>0.014247350143727978</v>
      </c>
      <c r="D404" s="96" t="s">
        <v>2065</v>
      </c>
      <c r="E404" s="96" t="b">
        <v>0</v>
      </c>
      <c r="F404" s="96" t="b">
        <v>0</v>
      </c>
      <c r="G404" s="96" t="b">
        <v>0</v>
      </c>
    </row>
    <row r="405" spans="1:7" ht="15">
      <c r="A405" s="97" t="s">
        <v>2175</v>
      </c>
      <c r="B405" s="96">
        <v>9</v>
      </c>
      <c r="C405" s="118">
        <v>0.014247350143727978</v>
      </c>
      <c r="D405" s="96" t="s">
        <v>2065</v>
      </c>
      <c r="E405" s="96" t="b">
        <v>0</v>
      </c>
      <c r="F405" s="96" t="b">
        <v>0</v>
      </c>
      <c r="G405" s="96" t="b">
        <v>0</v>
      </c>
    </row>
    <row r="406" spans="1:7" ht="15">
      <c r="A406" s="97" t="s">
        <v>2177</v>
      </c>
      <c r="B406" s="96">
        <v>9</v>
      </c>
      <c r="C406" s="118">
        <v>0.014247350143727978</v>
      </c>
      <c r="D406" s="96" t="s">
        <v>2065</v>
      </c>
      <c r="E406" s="96" t="b">
        <v>0</v>
      </c>
      <c r="F406" s="96" t="b">
        <v>0</v>
      </c>
      <c r="G406" s="96" t="b">
        <v>0</v>
      </c>
    </row>
    <row r="407" spans="1:7" ht="15">
      <c r="A407" s="97" t="s">
        <v>2178</v>
      </c>
      <c r="B407" s="96">
        <v>9</v>
      </c>
      <c r="C407" s="118">
        <v>0.014247350143727978</v>
      </c>
      <c r="D407" s="96" t="s">
        <v>2065</v>
      </c>
      <c r="E407" s="96" t="b">
        <v>0</v>
      </c>
      <c r="F407" s="96" t="b">
        <v>0</v>
      </c>
      <c r="G407" s="96" t="b">
        <v>0</v>
      </c>
    </row>
    <row r="408" spans="1:7" ht="15">
      <c r="A408" s="97" t="s">
        <v>2179</v>
      </c>
      <c r="B408" s="96">
        <v>9</v>
      </c>
      <c r="C408" s="118">
        <v>0.014247350143727978</v>
      </c>
      <c r="D408" s="96" t="s">
        <v>2065</v>
      </c>
      <c r="E408" s="96" t="b">
        <v>0</v>
      </c>
      <c r="F408" s="96" t="b">
        <v>0</v>
      </c>
      <c r="G408" s="96" t="b">
        <v>0</v>
      </c>
    </row>
    <row r="409" spans="1:7" ht="15">
      <c r="A409" s="97" t="s">
        <v>346</v>
      </c>
      <c r="B409" s="96">
        <v>7</v>
      </c>
      <c r="C409" s="118">
        <v>0.013461369798108707</v>
      </c>
      <c r="D409" s="96" t="s">
        <v>2065</v>
      </c>
      <c r="E409" s="96" t="b">
        <v>0</v>
      </c>
      <c r="F409" s="96" t="b">
        <v>0</v>
      </c>
      <c r="G409" s="96" t="b">
        <v>0</v>
      </c>
    </row>
    <row r="410" spans="1:7" ht="15">
      <c r="A410" s="97" t="s">
        <v>416</v>
      </c>
      <c r="B410" s="96">
        <v>7</v>
      </c>
      <c r="C410" s="118">
        <v>0.014921268637405567</v>
      </c>
      <c r="D410" s="96" t="s">
        <v>2065</v>
      </c>
      <c r="E410" s="96" t="b">
        <v>0</v>
      </c>
      <c r="F410" s="96" t="b">
        <v>0</v>
      </c>
      <c r="G410" s="96" t="b">
        <v>0</v>
      </c>
    </row>
    <row r="411" spans="1:7" ht="15">
      <c r="A411" s="97" t="s">
        <v>2139</v>
      </c>
      <c r="B411" s="96">
        <v>3</v>
      </c>
      <c r="C411" s="118">
        <v>0.009208193861488724</v>
      </c>
      <c r="D411" s="96" t="s">
        <v>2065</v>
      </c>
      <c r="E411" s="96" t="b">
        <v>0</v>
      </c>
      <c r="F411" s="96" t="b">
        <v>0</v>
      </c>
      <c r="G411" s="96" t="b">
        <v>0</v>
      </c>
    </row>
    <row r="412" spans="1:7" ht="15">
      <c r="A412" s="97" t="s">
        <v>2148</v>
      </c>
      <c r="B412" s="96">
        <v>3</v>
      </c>
      <c r="C412" s="118">
        <v>0.009208193861488724</v>
      </c>
      <c r="D412" s="96" t="s">
        <v>2065</v>
      </c>
      <c r="E412" s="96" t="b">
        <v>0</v>
      </c>
      <c r="F412" s="96" t="b">
        <v>0</v>
      </c>
      <c r="G412" s="96" t="b">
        <v>0</v>
      </c>
    </row>
    <row r="413" spans="1:7" ht="15">
      <c r="A413" s="97" t="s">
        <v>2189</v>
      </c>
      <c r="B413" s="96">
        <v>3</v>
      </c>
      <c r="C413" s="118">
        <v>0.01085390656294369</v>
      </c>
      <c r="D413" s="96" t="s">
        <v>2065</v>
      </c>
      <c r="E413" s="96" t="b">
        <v>0</v>
      </c>
      <c r="F413" s="96" t="b">
        <v>0</v>
      </c>
      <c r="G413" s="96" t="b">
        <v>0</v>
      </c>
    </row>
    <row r="414" spans="1:7" ht="15">
      <c r="A414" s="97" t="s">
        <v>2183</v>
      </c>
      <c r="B414" s="96">
        <v>2</v>
      </c>
      <c r="C414" s="118">
        <v>0.007235937708629126</v>
      </c>
      <c r="D414" s="96" t="s">
        <v>2065</v>
      </c>
      <c r="E414" s="96" t="b">
        <v>0</v>
      </c>
      <c r="F414" s="96" t="b">
        <v>0</v>
      </c>
      <c r="G414" s="96" t="b">
        <v>0</v>
      </c>
    </row>
    <row r="415" spans="1:7" ht="15">
      <c r="A415" s="97" t="s">
        <v>2190</v>
      </c>
      <c r="B415" s="96">
        <v>2</v>
      </c>
      <c r="C415" s="118">
        <v>0.007235937708629126</v>
      </c>
      <c r="D415" s="96" t="s">
        <v>2065</v>
      </c>
      <c r="E415" s="96" t="b">
        <v>0</v>
      </c>
      <c r="F415" s="96" t="b">
        <v>0</v>
      </c>
      <c r="G415" s="96" t="b">
        <v>0</v>
      </c>
    </row>
    <row r="416" spans="1:7" ht="15">
      <c r="A416" s="97" t="s">
        <v>2239</v>
      </c>
      <c r="B416" s="96">
        <v>2</v>
      </c>
      <c r="C416" s="118">
        <v>0.007235937708629126</v>
      </c>
      <c r="D416" s="96" t="s">
        <v>2065</v>
      </c>
      <c r="E416" s="96" t="b">
        <v>0</v>
      </c>
      <c r="F416" s="96" t="b">
        <v>0</v>
      </c>
      <c r="G416" s="96" t="b">
        <v>0</v>
      </c>
    </row>
    <row r="417" spans="1:7" ht="15">
      <c r="A417" s="97" t="s">
        <v>2240</v>
      </c>
      <c r="B417" s="96">
        <v>2</v>
      </c>
      <c r="C417" s="118">
        <v>0.007235937708629126</v>
      </c>
      <c r="D417" s="96" t="s">
        <v>2065</v>
      </c>
      <c r="E417" s="96" t="b">
        <v>0</v>
      </c>
      <c r="F417" s="96" t="b">
        <v>0</v>
      </c>
      <c r="G417" s="96" t="b">
        <v>0</v>
      </c>
    </row>
    <row r="418" spans="1:7" ht="15">
      <c r="A418" s="97" t="s">
        <v>2241</v>
      </c>
      <c r="B418" s="96">
        <v>2</v>
      </c>
      <c r="C418" s="118">
        <v>0.007235937708629126</v>
      </c>
      <c r="D418" s="96" t="s">
        <v>2065</v>
      </c>
      <c r="E418" s="96" t="b">
        <v>0</v>
      </c>
      <c r="F418" s="96" t="b">
        <v>0</v>
      </c>
      <c r="G418" s="96" t="b">
        <v>0</v>
      </c>
    </row>
    <row r="419" spans="1:7" ht="15">
      <c r="A419" s="97" t="s">
        <v>2242</v>
      </c>
      <c r="B419" s="96">
        <v>2</v>
      </c>
      <c r="C419" s="118">
        <v>0.007235937708629126</v>
      </c>
      <c r="D419" s="96" t="s">
        <v>2065</v>
      </c>
      <c r="E419" s="96" t="b">
        <v>0</v>
      </c>
      <c r="F419" s="96" t="b">
        <v>0</v>
      </c>
      <c r="G419" s="96" t="b">
        <v>0</v>
      </c>
    </row>
    <row r="420" spans="1:7" ht="15">
      <c r="A420" s="97" t="s">
        <v>2243</v>
      </c>
      <c r="B420" s="96">
        <v>2</v>
      </c>
      <c r="C420" s="118">
        <v>0.007235937708629126</v>
      </c>
      <c r="D420" s="96" t="s">
        <v>2065</v>
      </c>
      <c r="E420" s="96" t="b">
        <v>0</v>
      </c>
      <c r="F420" s="96" t="b">
        <v>0</v>
      </c>
      <c r="G420" s="96" t="b">
        <v>0</v>
      </c>
    </row>
    <row r="421" spans="1:7" ht="15">
      <c r="A421" s="97" t="s">
        <v>2244</v>
      </c>
      <c r="B421" s="96">
        <v>2</v>
      </c>
      <c r="C421" s="118">
        <v>0.007235937708629126</v>
      </c>
      <c r="D421" s="96" t="s">
        <v>2065</v>
      </c>
      <c r="E421" s="96" t="b">
        <v>0</v>
      </c>
      <c r="F421" s="96" t="b">
        <v>0</v>
      </c>
      <c r="G421" s="96" t="b">
        <v>0</v>
      </c>
    </row>
    <row r="422" spans="1:7" ht="15">
      <c r="A422" s="97" t="s">
        <v>2112</v>
      </c>
      <c r="B422" s="96">
        <v>2</v>
      </c>
      <c r="C422" s="118">
        <v>0.007235937708629126</v>
      </c>
      <c r="D422" s="96" t="s">
        <v>2065</v>
      </c>
      <c r="E422" s="96" t="b">
        <v>0</v>
      </c>
      <c r="F422" s="96" t="b">
        <v>0</v>
      </c>
      <c r="G422" s="96" t="b">
        <v>0</v>
      </c>
    </row>
    <row r="423" spans="1:7" ht="15">
      <c r="A423" s="97" t="s">
        <v>2113</v>
      </c>
      <c r="B423" s="96">
        <v>2</v>
      </c>
      <c r="C423" s="118">
        <v>0.007235937708629126</v>
      </c>
      <c r="D423" s="96" t="s">
        <v>2065</v>
      </c>
      <c r="E423" s="96" t="b">
        <v>0</v>
      </c>
      <c r="F423" s="96" t="b">
        <v>0</v>
      </c>
      <c r="G423" s="96" t="b">
        <v>0</v>
      </c>
    </row>
    <row r="424" spans="1:7" ht="15">
      <c r="A424" s="97" t="s">
        <v>2108</v>
      </c>
      <c r="B424" s="96">
        <v>2</v>
      </c>
      <c r="C424" s="118">
        <v>0.007235937708629126</v>
      </c>
      <c r="D424" s="96" t="s">
        <v>2065</v>
      </c>
      <c r="E424" s="96" t="b">
        <v>0</v>
      </c>
      <c r="F424" s="96" t="b">
        <v>0</v>
      </c>
      <c r="G424" s="96" t="b">
        <v>0</v>
      </c>
    </row>
    <row r="425" spans="1:7" ht="15">
      <c r="A425" s="97" t="s">
        <v>2140</v>
      </c>
      <c r="B425" s="96">
        <v>2</v>
      </c>
      <c r="C425" s="118">
        <v>0.007235937708629126</v>
      </c>
      <c r="D425" s="96" t="s">
        <v>2065</v>
      </c>
      <c r="E425" s="96" t="b">
        <v>0</v>
      </c>
      <c r="F425" s="96" t="b">
        <v>0</v>
      </c>
      <c r="G425" s="96" t="b">
        <v>0</v>
      </c>
    </row>
    <row r="426" spans="1:7" ht="15">
      <c r="A426" s="97" t="s">
        <v>2124</v>
      </c>
      <c r="B426" s="96">
        <v>2</v>
      </c>
      <c r="C426" s="118">
        <v>0.007235937708629126</v>
      </c>
      <c r="D426" s="96" t="s">
        <v>2065</v>
      </c>
      <c r="E426" s="96" t="b">
        <v>0</v>
      </c>
      <c r="F426" s="96" t="b">
        <v>0</v>
      </c>
      <c r="G426" s="96" t="b">
        <v>0</v>
      </c>
    </row>
    <row r="427" spans="1:7" ht="15">
      <c r="A427" s="97" t="s">
        <v>2132</v>
      </c>
      <c r="B427" s="96">
        <v>2</v>
      </c>
      <c r="C427" s="118">
        <v>0.007235937708629126</v>
      </c>
      <c r="D427" s="96" t="s">
        <v>2065</v>
      </c>
      <c r="E427" s="96" t="b">
        <v>0</v>
      </c>
      <c r="F427" s="96" t="b">
        <v>0</v>
      </c>
      <c r="G427" s="96" t="b">
        <v>0</v>
      </c>
    </row>
    <row r="428" spans="1:7" ht="15">
      <c r="A428" s="97" t="s">
        <v>2141</v>
      </c>
      <c r="B428" s="96">
        <v>2</v>
      </c>
      <c r="C428" s="118">
        <v>0.007235937708629126</v>
      </c>
      <c r="D428" s="96" t="s">
        <v>2065</v>
      </c>
      <c r="E428" s="96" t="b">
        <v>0</v>
      </c>
      <c r="F428" s="96" t="b">
        <v>0</v>
      </c>
      <c r="G428" s="96" t="b">
        <v>0</v>
      </c>
    </row>
    <row r="429" spans="1:7" ht="15">
      <c r="A429" s="97" t="s">
        <v>2142</v>
      </c>
      <c r="B429" s="96">
        <v>2</v>
      </c>
      <c r="C429" s="118">
        <v>0.007235937708629126</v>
      </c>
      <c r="D429" s="96" t="s">
        <v>2065</v>
      </c>
      <c r="E429" s="96" t="b">
        <v>0</v>
      </c>
      <c r="F429" s="96" t="b">
        <v>0</v>
      </c>
      <c r="G429" s="96" t="b">
        <v>0</v>
      </c>
    </row>
    <row r="430" spans="1:7" ht="15">
      <c r="A430" s="97" t="s">
        <v>2143</v>
      </c>
      <c r="B430" s="96">
        <v>2</v>
      </c>
      <c r="C430" s="118">
        <v>0.007235937708629126</v>
      </c>
      <c r="D430" s="96" t="s">
        <v>2065</v>
      </c>
      <c r="E430" s="96" t="b">
        <v>0</v>
      </c>
      <c r="F430" s="96" t="b">
        <v>0</v>
      </c>
      <c r="G430" s="96" t="b">
        <v>0</v>
      </c>
    </row>
    <row r="431" spans="1:7" ht="15">
      <c r="A431" s="97" t="s">
        <v>2144</v>
      </c>
      <c r="B431" s="96">
        <v>2</v>
      </c>
      <c r="C431" s="118">
        <v>0.007235937708629126</v>
      </c>
      <c r="D431" s="96" t="s">
        <v>2065</v>
      </c>
      <c r="E431" s="96" t="b">
        <v>0</v>
      </c>
      <c r="F431" s="96" t="b">
        <v>0</v>
      </c>
      <c r="G431" s="96" t="b">
        <v>0</v>
      </c>
    </row>
    <row r="432" spans="1:7" ht="15">
      <c r="A432" s="97" t="s">
        <v>2133</v>
      </c>
      <c r="B432" s="96">
        <v>2</v>
      </c>
      <c r="C432" s="118">
        <v>0.007235937708629126</v>
      </c>
      <c r="D432" s="96" t="s">
        <v>2065</v>
      </c>
      <c r="E432" s="96" t="b">
        <v>0</v>
      </c>
      <c r="F432" s="96" t="b">
        <v>0</v>
      </c>
      <c r="G432" s="96" t="b">
        <v>0</v>
      </c>
    </row>
    <row r="433" spans="1:7" ht="15">
      <c r="A433" s="97" t="s">
        <v>2134</v>
      </c>
      <c r="B433" s="96">
        <v>2</v>
      </c>
      <c r="C433" s="118">
        <v>0.007235937708629126</v>
      </c>
      <c r="D433" s="96" t="s">
        <v>2065</v>
      </c>
      <c r="E433" s="96" t="b">
        <v>0</v>
      </c>
      <c r="F433" s="96" t="b">
        <v>0</v>
      </c>
      <c r="G433" s="96" t="b">
        <v>0</v>
      </c>
    </row>
    <row r="434" spans="1:7" ht="15">
      <c r="A434" s="97" t="s">
        <v>2135</v>
      </c>
      <c r="B434" s="96">
        <v>2</v>
      </c>
      <c r="C434" s="118">
        <v>0.007235937708629126</v>
      </c>
      <c r="D434" s="96" t="s">
        <v>2065</v>
      </c>
      <c r="E434" s="96" t="b">
        <v>0</v>
      </c>
      <c r="F434" s="96" t="b">
        <v>0</v>
      </c>
      <c r="G434" s="96" t="b">
        <v>0</v>
      </c>
    </row>
    <row r="435" spans="1:7" ht="15">
      <c r="A435" s="97" t="s">
        <v>2136</v>
      </c>
      <c r="B435" s="96">
        <v>2</v>
      </c>
      <c r="C435" s="118">
        <v>0.007235937708629126</v>
      </c>
      <c r="D435" s="96" t="s">
        <v>2065</v>
      </c>
      <c r="E435" s="96" t="b">
        <v>0</v>
      </c>
      <c r="F435" s="96" t="b">
        <v>0</v>
      </c>
      <c r="G435" s="96" t="b">
        <v>0</v>
      </c>
    </row>
    <row r="436" spans="1:7" ht="15">
      <c r="A436" s="97" t="s">
        <v>2137</v>
      </c>
      <c r="B436" s="96">
        <v>2</v>
      </c>
      <c r="C436" s="118">
        <v>0.007235937708629126</v>
      </c>
      <c r="D436" s="96" t="s">
        <v>2065</v>
      </c>
      <c r="E436" s="96" t="b">
        <v>0</v>
      </c>
      <c r="F436" s="96" t="b">
        <v>0</v>
      </c>
      <c r="G436" s="96" t="b">
        <v>0</v>
      </c>
    </row>
    <row r="437" spans="1:7" ht="15">
      <c r="A437" s="97" t="s">
        <v>2138</v>
      </c>
      <c r="B437" s="96">
        <v>2</v>
      </c>
      <c r="C437" s="118">
        <v>0.007235937708629126</v>
      </c>
      <c r="D437" s="96" t="s">
        <v>2065</v>
      </c>
      <c r="E437" s="96" t="b">
        <v>0</v>
      </c>
      <c r="F437" s="96" t="b">
        <v>0</v>
      </c>
      <c r="G437" s="96" t="b">
        <v>0</v>
      </c>
    </row>
    <row r="438" spans="1:7" ht="15">
      <c r="A438" s="97" t="s">
        <v>2145</v>
      </c>
      <c r="B438" s="96">
        <v>2</v>
      </c>
      <c r="C438" s="118">
        <v>0.007235937708629126</v>
      </c>
      <c r="D438" s="96" t="s">
        <v>2065</v>
      </c>
      <c r="E438" s="96" t="b">
        <v>0</v>
      </c>
      <c r="F438" s="96" t="b">
        <v>0</v>
      </c>
      <c r="G438" s="96" t="b">
        <v>0</v>
      </c>
    </row>
    <row r="439" spans="1:7" ht="15">
      <c r="A439" s="97" t="s">
        <v>2146</v>
      </c>
      <c r="B439" s="96">
        <v>2</v>
      </c>
      <c r="C439" s="118">
        <v>0.007235937708629126</v>
      </c>
      <c r="D439" s="96" t="s">
        <v>2065</v>
      </c>
      <c r="E439" s="96" t="b">
        <v>0</v>
      </c>
      <c r="F439" s="96" t="b">
        <v>0</v>
      </c>
      <c r="G439" s="96" t="b">
        <v>0</v>
      </c>
    </row>
    <row r="440" spans="1:7" ht="15">
      <c r="A440" s="97" t="s">
        <v>2111</v>
      </c>
      <c r="B440" s="96">
        <v>2</v>
      </c>
      <c r="C440" s="118">
        <v>0.007235937708629126</v>
      </c>
      <c r="D440" s="96" t="s">
        <v>2065</v>
      </c>
      <c r="E440" s="96" t="b">
        <v>0</v>
      </c>
      <c r="F440" s="96" t="b">
        <v>0</v>
      </c>
      <c r="G440" s="96" t="b">
        <v>0</v>
      </c>
    </row>
    <row r="441" spans="1:7" ht="15">
      <c r="A441" s="97" t="s">
        <v>2147</v>
      </c>
      <c r="B441" s="96">
        <v>2</v>
      </c>
      <c r="C441" s="118">
        <v>0.007235937708629126</v>
      </c>
      <c r="D441" s="96" t="s">
        <v>2065</v>
      </c>
      <c r="E441" s="96" t="b">
        <v>0</v>
      </c>
      <c r="F441" s="96" t="b">
        <v>0</v>
      </c>
      <c r="G441" s="96" t="b">
        <v>0</v>
      </c>
    </row>
    <row r="442" spans="1:7" ht="15">
      <c r="A442" s="97" t="s">
        <v>441</v>
      </c>
      <c r="B442" s="96">
        <v>2</v>
      </c>
      <c r="C442" s="118">
        <v>0.007235937708629126</v>
      </c>
      <c r="D442" s="96" t="s">
        <v>2065</v>
      </c>
      <c r="E442" s="96" t="b">
        <v>0</v>
      </c>
      <c r="F442" s="96" t="b">
        <v>0</v>
      </c>
      <c r="G442" s="96" t="b">
        <v>0</v>
      </c>
    </row>
    <row r="443" spans="1:7" ht="15">
      <c r="A443" s="97" t="s">
        <v>2268</v>
      </c>
      <c r="B443" s="96">
        <v>2</v>
      </c>
      <c r="C443" s="118">
        <v>0.007235937708629126</v>
      </c>
      <c r="D443" s="96" t="s">
        <v>2065</v>
      </c>
      <c r="E443" s="96" t="b">
        <v>0</v>
      </c>
      <c r="F443" s="96" t="b">
        <v>0</v>
      </c>
      <c r="G443" s="96" t="b">
        <v>0</v>
      </c>
    </row>
    <row r="444" spans="1:7" ht="15">
      <c r="A444" s="97" t="s">
        <v>2269</v>
      </c>
      <c r="B444" s="96">
        <v>2</v>
      </c>
      <c r="C444" s="118">
        <v>0.007235937708629126</v>
      </c>
      <c r="D444" s="96" t="s">
        <v>2065</v>
      </c>
      <c r="E444" s="96" t="b">
        <v>0</v>
      </c>
      <c r="F444" s="96" t="b">
        <v>0</v>
      </c>
      <c r="G444" s="96" t="b">
        <v>0</v>
      </c>
    </row>
    <row r="445" spans="1:7" ht="15">
      <c r="A445" s="97" t="s">
        <v>2270</v>
      </c>
      <c r="B445" s="96">
        <v>2</v>
      </c>
      <c r="C445" s="118">
        <v>0.007235937708629126</v>
      </c>
      <c r="D445" s="96" t="s">
        <v>2065</v>
      </c>
      <c r="E445" s="96" t="b">
        <v>0</v>
      </c>
      <c r="F445" s="96" t="b">
        <v>0</v>
      </c>
      <c r="G445" s="96" t="b">
        <v>0</v>
      </c>
    </row>
    <row r="446" spans="1:7" ht="15">
      <c r="A446" s="97" t="s">
        <v>2271</v>
      </c>
      <c r="B446" s="96">
        <v>2</v>
      </c>
      <c r="C446" s="118">
        <v>0.007235937708629126</v>
      </c>
      <c r="D446" s="96" t="s">
        <v>2065</v>
      </c>
      <c r="E446" s="96" t="b">
        <v>0</v>
      </c>
      <c r="F446" s="96" t="b">
        <v>0</v>
      </c>
      <c r="G446" s="96" t="b">
        <v>0</v>
      </c>
    </row>
    <row r="447" spans="1:7" ht="15">
      <c r="A447" s="97" t="s">
        <v>2272</v>
      </c>
      <c r="B447" s="96">
        <v>2</v>
      </c>
      <c r="C447" s="118">
        <v>0.007235937708629126</v>
      </c>
      <c r="D447" s="96" t="s">
        <v>2065</v>
      </c>
      <c r="E447" s="96" t="b">
        <v>0</v>
      </c>
      <c r="F447" s="96" t="b">
        <v>0</v>
      </c>
      <c r="G447" s="96" t="b">
        <v>0</v>
      </c>
    </row>
    <row r="448" spans="1:7" ht="15">
      <c r="A448" s="97" t="s">
        <v>2209</v>
      </c>
      <c r="B448" s="96">
        <v>2</v>
      </c>
      <c r="C448" s="118">
        <v>0.007235937708629126</v>
      </c>
      <c r="D448" s="96" t="s">
        <v>2065</v>
      </c>
      <c r="E448" s="96" t="b">
        <v>0</v>
      </c>
      <c r="F448" s="96" t="b">
        <v>0</v>
      </c>
      <c r="G448" s="96" t="b">
        <v>0</v>
      </c>
    </row>
    <row r="449" spans="1:7" ht="15">
      <c r="A449" s="97" t="s">
        <v>2210</v>
      </c>
      <c r="B449" s="96">
        <v>2</v>
      </c>
      <c r="C449" s="118">
        <v>0.007235937708629126</v>
      </c>
      <c r="D449" s="96" t="s">
        <v>2065</v>
      </c>
      <c r="E449" s="96" t="b">
        <v>0</v>
      </c>
      <c r="F449" s="96" t="b">
        <v>0</v>
      </c>
      <c r="G449" s="96" t="b">
        <v>0</v>
      </c>
    </row>
    <row r="450" spans="1:7" ht="15">
      <c r="A450" s="97" t="s">
        <v>2273</v>
      </c>
      <c r="B450" s="96">
        <v>2</v>
      </c>
      <c r="C450" s="118">
        <v>0.007235937708629126</v>
      </c>
      <c r="D450" s="96" t="s">
        <v>2065</v>
      </c>
      <c r="E450" s="96" t="b">
        <v>0</v>
      </c>
      <c r="F450" s="96" t="b">
        <v>0</v>
      </c>
      <c r="G450" s="96" t="b">
        <v>0</v>
      </c>
    </row>
    <row r="451" spans="1:7" ht="15">
      <c r="A451" s="97" t="s">
        <v>2274</v>
      </c>
      <c r="B451" s="96">
        <v>2</v>
      </c>
      <c r="C451" s="118">
        <v>0.007235937708629126</v>
      </c>
      <c r="D451" s="96" t="s">
        <v>2065</v>
      </c>
      <c r="E451" s="96" t="b">
        <v>0</v>
      </c>
      <c r="F451" s="96" t="b">
        <v>0</v>
      </c>
      <c r="G451" s="96" t="b">
        <v>0</v>
      </c>
    </row>
    <row r="452" spans="1:7" ht="15">
      <c r="A452" s="97" t="s">
        <v>2150</v>
      </c>
      <c r="B452" s="96">
        <v>2</v>
      </c>
      <c r="C452" s="118">
        <v>0.007235937708629126</v>
      </c>
      <c r="D452" s="96" t="s">
        <v>2065</v>
      </c>
      <c r="E452" s="96" t="b">
        <v>0</v>
      </c>
      <c r="F452" s="96" t="b">
        <v>0</v>
      </c>
      <c r="G452" s="96" t="b">
        <v>0</v>
      </c>
    </row>
    <row r="453" spans="1:7" ht="15">
      <c r="A453" s="97" t="s">
        <v>2151</v>
      </c>
      <c r="B453" s="96">
        <v>2</v>
      </c>
      <c r="C453" s="118">
        <v>0.007235937708629126</v>
      </c>
      <c r="D453" s="96" t="s">
        <v>2065</v>
      </c>
      <c r="E453" s="96" t="b">
        <v>0</v>
      </c>
      <c r="F453" s="96" t="b">
        <v>0</v>
      </c>
      <c r="G453" s="96" t="b">
        <v>0</v>
      </c>
    </row>
    <row r="454" spans="1:7" ht="15">
      <c r="A454" s="97" t="s">
        <v>2152</v>
      </c>
      <c r="B454" s="96">
        <v>2</v>
      </c>
      <c r="C454" s="118">
        <v>0.007235937708629126</v>
      </c>
      <c r="D454" s="96" t="s">
        <v>2065</v>
      </c>
      <c r="E454" s="96" t="b">
        <v>0</v>
      </c>
      <c r="F454" s="96" t="b">
        <v>0</v>
      </c>
      <c r="G454" s="96" t="b">
        <v>0</v>
      </c>
    </row>
    <row r="455" spans="1:7" ht="15">
      <c r="A455" s="97" t="s">
        <v>2149</v>
      </c>
      <c r="B455" s="96">
        <v>2</v>
      </c>
      <c r="C455" s="118">
        <v>0.007235937708629126</v>
      </c>
      <c r="D455" s="96" t="s">
        <v>2065</v>
      </c>
      <c r="E455" s="96" t="b">
        <v>0</v>
      </c>
      <c r="F455" s="96" t="b">
        <v>0</v>
      </c>
      <c r="G455" s="96" t="b">
        <v>0</v>
      </c>
    </row>
    <row r="456" spans="1:7" ht="15">
      <c r="A456" s="97" t="s">
        <v>2153</v>
      </c>
      <c r="B456" s="96">
        <v>2</v>
      </c>
      <c r="C456" s="118">
        <v>0.007235937708629126</v>
      </c>
      <c r="D456" s="96" t="s">
        <v>2065</v>
      </c>
      <c r="E456" s="96" t="b">
        <v>0</v>
      </c>
      <c r="F456" s="96" t="b">
        <v>0</v>
      </c>
      <c r="G456" s="96" t="b">
        <v>0</v>
      </c>
    </row>
    <row r="457" spans="1:7" ht="15">
      <c r="A457" s="97" t="s">
        <v>2154</v>
      </c>
      <c r="B457" s="96">
        <v>2</v>
      </c>
      <c r="C457" s="118">
        <v>0.007235937708629126</v>
      </c>
      <c r="D457" s="96" t="s">
        <v>2065</v>
      </c>
      <c r="E457" s="96" t="b">
        <v>0</v>
      </c>
      <c r="F457" s="96" t="b">
        <v>0</v>
      </c>
      <c r="G457" s="96" t="b">
        <v>0</v>
      </c>
    </row>
    <row r="458" spans="1:7" ht="15">
      <c r="A458" s="97" t="s">
        <v>2155</v>
      </c>
      <c r="B458" s="96">
        <v>2</v>
      </c>
      <c r="C458" s="118">
        <v>0.007235937708629126</v>
      </c>
      <c r="D458" s="96" t="s">
        <v>2065</v>
      </c>
      <c r="E458" s="96" t="b">
        <v>0</v>
      </c>
      <c r="F458" s="96" t="b">
        <v>0</v>
      </c>
      <c r="G458" s="96" t="b">
        <v>0</v>
      </c>
    </row>
    <row r="459" spans="1:7" ht="15">
      <c r="A459" s="97" t="s">
        <v>437</v>
      </c>
      <c r="B459" s="96">
        <v>2</v>
      </c>
      <c r="C459" s="118">
        <v>0.007235937708629126</v>
      </c>
      <c r="D459" s="96" t="s">
        <v>2065</v>
      </c>
      <c r="E459" s="96" t="b">
        <v>0</v>
      </c>
      <c r="F459" s="96" t="b">
        <v>0</v>
      </c>
      <c r="G459" s="96" t="b">
        <v>0</v>
      </c>
    </row>
    <row r="460" spans="1:7" ht="15">
      <c r="A460" s="97" t="s">
        <v>2288</v>
      </c>
      <c r="B460" s="96">
        <v>2</v>
      </c>
      <c r="C460" s="118">
        <v>0.007235937708629126</v>
      </c>
      <c r="D460" s="96" t="s">
        <v>2065</v>
      </c>
      <c r="E460" s="96" t="b">
        <v>0</v>
      </c>
      <c r="F460" s="96" t="b">
        <v>0</v>
      </c>
      <c r="G460" s="96" t="b">
        <v>0</v>
      </c>
    </row>
    <row r="461" spans="1:7" ht="15">
      <c r="A461" s="97" t="s">
        <v>2211</v>
      </c>
      <c r="B461" s="96">
        <v>2</v>
      </c>
      <c r="C461" s="118">
        <v>0.007235937708629126</v>
      </c>
      <c r="D461" s="96" t="s">
        <v>2065</v>
      </c>
      <c r="E461" s="96" t="b">
        <v>0</v>
      </c>
      <c r="F461" s="96" t="b">
        <v>0</v>
      </c>
      <c r="G461" s="96" t="b">
        <v>0</v>
      </c>
    </row>
    <row r="462" spans="1:7" ht="15">
      <c r="A462" s="97" t="s">
        <v>2106</v>
      </c>
      <c r="B462" s="96">
        <v>19</v>
      </c>
      <c r="C462" s="118">
        <v>0.002287668093741597</v>
      </c>
      <c r="D462" s="96" t="s">
        <v>2066</v>
      </c>
      <c r="E462" s="96" t="b">
        <v>0</v>
      </c>
      <c r="F462" s="96" t="b">
        <v>0</v>
      </c>
      <c r="G462" s="96" t="b">
        <v>0</v>
      </c>
    </row>
    <row r="463" spans="1:7" ht="15">
      <c r="A463" s="97" t="s">
        <v>2109</v>
      </c>
      <c r="B463" s="96">
        <v>14</v>
      </c>
      <c r="C463" s="118">
        <v>0.006829023896896225</v>
      </c>
      <c r="D463" s="96" t="s">
        <v>2066</v>
      </c>
      <c r="E463" s="96" t="b">
        <v>0</v>
      </c>
      <c r="F463" s="96" t="b">
        <v>0</v>
      </c>
      <c r="G463" s="96" t="b">
        <v>0</v>
      </c>
    </row>
    <row r="464" spans="1:7" ht="15">
      <c r="A464" s="97" t="s">
        <v>2108</v>
      </c>
      <c r="B464" s="96">
        <v>13</v>
      </c>
      <c r="C464" s="118">
        <v>0.007500241694050063</v>
      </c>
      <c r="D464" s="96" t="s">
        <v>2066</v>
      </c>
      <c r="E464" s="96" t="b">
        <v>0</v>
      </c>
      <c r="F464" s="96" t="b">
        <v>0</v>
      </c>
      <c r="G464" s="96" t="b">
        <v>0</v>
      </c>
    </row>
    <row r="465" spans="1:7" ht="15">
      <c r="A465" s="97" t="s">
        <v>2159</v>
      </c>
      <c r="B465" s="96">
        <v>11</v>
      </c>
      <c r="C465" s="118">
        <v>0.008557043505076556</v>
      </c>
      <c r="D465" s="96" t="s">
        <v>2066</v>
      </c>
      <c r="E465" s="96" t="b">
        <v>0</v>
      </c>
      <c r="F465" s="96" t="b">
        <v>0</v>
      </c>
      <c r="G465" s="96" t="b">
        <v>0</v>
      </c>
    </row>
    <row r="466" spans="1:7" ht="15">
      <c r="A466" s="97" t="s">
        <v>2160</v>
      </c>
      <c r="B466" s="96">
        <v>11</v>
      </c>
      <c r="C466" s="118">
        <v>0.008557043505076556</v>
      </c>
      <c r="D466" s="96" t="s">
        <v>2066</v>
      </c>
      <c r="E466" s="96" t="b">
        <v>0</v>
      </c>
      <c r="F466" s="96" t="b">
        <v>0</v>
      </c>
      <c r="G466" s="96" t="b">
        <v>0</v>
      </c>
    </row>
    <row r="467" spans="1:7" ht="15">
      <c r="A467" s="97" t="s">
        <v>2161</v>
      </c>
      <c r="B467" s="96">
        <v>11</v>
      </c>
      <c r="C467" s="118">
        <v>0.008557043505076556</v>
      </c>
      <c r="D467" s="96" t="s">
        <v>2066</v>
      </c>
      <c r="E467" s="96" t="b">
        <v>0</v>
      </c>
      <c r="F467" s="96" t="b">
        <v>0</v>
      </c>
      <c r="G467" s="96" t="b">
        <v>0</v>
      </c>
    </row>
    <row r="468" spans="1:7" ht="15">
      <c r="A468" s="97" t="s">
        <v>2158</v>
      </c>
      <c r="B468" s="96">
        <v>11</v>
      </c>
      <c r="C468" s="118">
        <v>0.008557043505076556</v>
      </c>
      <c r="D468" s="96" t="s">
        <v>2066</v>
      </c>
      <c r="E468" s="96" t="b">
        <v>0</v>
      </c>
      <c r="F468" s="96" t="b">
        <v>0</v>
      </c>
      <c r="G468" s="96" t="b">
        <v>0</v>
      </c>
    </row>
    <row r="469" spans="1:7" ht="15">
      <c r="A469" s="97" t="s">
        <v>2162</v>
      </c>
      <c r="B469" s="96">
        <v>11</v>
      </c>
      <c r="C469" s="118">
        <v>0.008557043505076556</v>
      </c>
      <c r="D469" s="96" t="s">
        <v>2066</v>
      </c>
      <c r="E469" s="96" t="b">
        <v>0</v>
      </c>
      <c r="F469" s="96" t="b">
        <v>0</v>
      </c>
      <c r="G469" s="96" t="b">
        <v>0</v>
      </c>
    </row>
    <row r="470" spans="1:7" ht="15">
      <c r="A470" s="97" t="s">
        <v>2163</v>
      </c>
      <c r="B470" s="96">
        <v>11</v>
      </c>
      <c r="C470" s="118">
        <v>0.008557043505076556</v>
      </c>
      <c r="D470" s="96" t="s">
        <v>2066</v>
      </c>
      <c r="E470" s="96" t="b">
        <v>0</v>
      </c>
      <c r="F470" s="96" t="b">
        <v>0</v>
      </c>
      <c r="G470" s="96" t="b">
        <v>0</v>
      </c>
    </row>
    <row r="471" spans="1:7" ht="15">
      <c r="A471" s="97" t="s">
        <v>2164</v>
      </c>
      <c r="B471" s="96">
        <v>11</v>
      </c>
      <c r="C471" s="118">
        <v>0.008557043505076556</v>
      </c>
      <c r="D471" s="96" t="s">
        <v>2066</v>
      </c>
      <c r="E471" s="96" t="b">
        <v>0</v>
      </c>
      <c r="F471" s="96" t="b">
        <v>0</v>
      </c>
      <c r="G471" s="96" t="b">
        <v>0</v>
      </c>
    </row>
    <row r="472" spans="1:7" ht="15">
      <c r="A472" s="97" t="s">
        <v>2165</v>
      </c>
      <c r="B472" s="96">
        <v>11</v>
      </c>
      <c r="C472" s="118">
        <v>0.008557043505076556</v>
      </c>
      <c r="D472" s="96" t="s">
        <v>2066</v>
      </c>
      <c r="E472" s="96" t="b">
        <v>0</v>
      </c>
      <c r="F472" s="96" t="b">
        <v>0</v>
      </c>
      <c r="G472" s="96" t="b">
        <v>0</v>
      </c>
    </row>
    <row r="473" spans="1:7" ht="15">
      <c r="A473" s="97" t="s">
        <v>2166</v>
      </c>
      <c r="B473" s="96">
        <v>11</v>
      </c>
      <c r="C473" s="118">
        <v>0.008557043505076556</v>
      </c>
      <c r="D473" s="96" t="s">
        <v>2066</v>
      </c>
      <c r="E473" s="96" t="b">
        <v>0</v>
      </c>
      <c r="F473" s="96" t="b">
        <v>0</v>
      </c>
      <c r="G473" s="96" t="b">
        <v>0</v>
      </c>
    </row>
    <row r="474" spans="1:7" ht="15">
      <c r="A474" s="97" t="s">
        <v>2167</v>
      </c>
      <c r="B474" s="96">
        <v>11</v>
      </c>
      <c r="C474" s="118">
        <v>0.008557043505076556</v>
      </c>
      <c r="D474" s="96" t="s">
        <v>2066</v>
      </c>
      <c r="E474" s="96" t="b">
        <v>0</v>
      </c>
      <c r="F474" s="96" t="b">
        <v>0</v>
      </c>
      <c r="G474" s="96" t="b">
        <v>0</v>
      </c>
    </row>
    <row r="475" spans="1:7" ht="15">
      <c r="A475" s="97" t="s">
        <v>2168</v>
      </c>
      <c r="B475" s="96">
        <v>11</v>
      </c>
      <c r="C475" s="118">
        <v>0.008557043505076556</v>
      </c>
      <c r="D475" s="96" t="s">
        <v>2066</v>
      </c>
      <c r="E475" s="96" t="b">
        <v>0</v>
      </c>
      <c r="F475" s="96" t="b">
        <v>0</v>
      </c>
      <c r="G475" s="96" t="b">
        <v>0</v>
      </c>
    </row>
    <row r="476" spans="1:7" ht="15">
      <c r="A476" s="97" t="s">
        <v>2169</v>
      </c>
      <c r="B476" s="96">
        <v>11</v>
      </c>
      <c r="C476" s="118">
        <v>0.008557043505076556</v>
      </c>
      <c r="D476" s="96" t="s">
        <v>2066</v>
      </c>
      <c r="E476" s="96" t="b">
        <v>0</v>
      </c>
      <c r="F476" s="96" t="b">
        <v>0</v>
      </c>
      <c r="G476" s="96" t="b">
        <v>0</v>
      </c>
    </row>
    <row r="477" spans="1:7" ht="15">
      <c r="A477" s="97" t="s">
        <v>2170</v>
      </c>
      <c r="B477" s="96">
        <v>11</v>
      </c>
      <c r="C477" s="118">
        <v>0.008557043505076556</v>
      </c>
      <c r="D477" s="96" t="s">
        <v>2066</v>
      </c>
      <c r="E477" s="96" t="b">
        <v>0</v>
      </c>
      <c r="F477" s="96" t="b">
        <v>0</v>
      </c>
      <c r="G477" s="96" t="b">
        <v>0</v>
      </c>
    </row>
    <row r="478" spans="1:7" ht="15">
      <c r="A478" s="97" t="s">
        <v>2171</v>
      </c>
      <c r="B478" s="96">
        <v>11</v>
      </c>
      <c r="C478" s="118">
        <v>0.008557043505076556</v>
      </c>
      <c r="D478" s="96" t="s">
        <v>2066</v>
      </c>
      <c r="E478" s="96" t="b">
        <v>0</v>
      </c>
      <c r="F478" s="96" t="b">
        <v>0</v>
      </c>
      <c r="G478" s="96" t="b">
        <v>0</v>
      </c>
    </row>
    <row r="479" spans="1:7" ht="15">
      <c r="A479" s="97" t="s">
        <v>2172</v>
      </c>
      <c r="B479" s="96">
        <v>11</v>
      </c>
      <c r="C479" s="118">
        <v>0.008557043505076556</v>
      </c>
      <c r="D479" s="96" t="s">
        <v>2066</v>
      </c>
      <c r="E479" s="96" t="b">
        <v>0</v>
      </c>
      <c r="F479" s="96" t="b">
        <v>0</v>
      </c>
      <c r="G479" s="96" t="b">
        <v>0</v>
      </c>
    </row>
    <row r="480" spans="1:7" ht="15">
      <c r="A480" s="97" t="s">
        <v>2173</v>
      </c>
      <c r="B480" s="96">
        <v>11</v>
      </c>
      <c r="C480" s="118">
        <v>0.008557043505076556</v>
      </c>
      <c r="D480" s="96" t="s">
        <v>2066</v>
      </c>
      <c r="E480" s="96" t="b">
        <v>0</v>
      </c>
      <c r="F480" s="96" t="b">
        <v>0</v>
      </c>
      <c r="G480" s="96" t="b">
        <v>0</v>
      </c>
    </row>
    <row r="481" spans="1:7" ht="15">
      <c r="A481" s="97" t="s">
        <v>2156</v>
      </c>
      <c r="B481" s="96">
        <v>11</v>
      </c>
      <c r="C481" s="118">
        <v>0.008557043505076556</v>
      </c>
      <c r="D481" s="96" t="s">
        <v>2066</v>
      </c>
      <c r="E481" s="96" t="b">
        <v>0</v>
      </c>
      <c r="F481" s="96" t="b">
        <v>0</v>
      </c>
      <c r="G481" s="96" t="b">
        <v>0</v>
      </c>
    </row>
    <row r="482" spans="1:7" ht="15">
      <c r="A482" s="97" t="s">
        <v>2174</v>
      </c>
      <c r="B482" s="96">
        <v>11</v>
      </c>
      <c r="C482" s="118">
        <v>0.008557043505076556</v>
      </c>
      <c r="D482" s="96" t="s">
        <v>2066</v>
      </c>
      <c r="E482" s="96" t="b">
        <v>0</v>
      </c>
      <c r="F482" s="96" t="b">
        <v>0</v>
      </c>
      <c r="G482" s="96" t="b">
        <v>0</v>
      </c>
    </row>
    <row r="483" spans="1:7" ht="15">
      <c r="A483" s="97" t="s">
        <v>2107</v>
      </c>
      <c r="B483" s="96">
        <v>8</v>
      </c>
      <c r="C483" s="118">
        <v>0.009288184105085334</v>
      </c>
      <c r="D483" s="96" t="s">
        <v>2066</v>
      </c>
      <c r="E483" s="96" t="b">
        <v>0</v>
      </c>
      <c r="F483" s="96" t="b">
        <v>0</v>
      </c>
      <c r="G483" s="96" t="b">
        <v>0</v>
      </c>
    </row>
    <row r="484" spans="1:7" ht="15">
      <c r="A484" s="97" t="s">
        <v>2110</v>
      </c>
      <c r="B484" s="96">
        <v>3</v>
      </c>
      <c r="C484" s="118">
        <v>0.007022975401780528</v>
      </c>
      <c r="D484" s="96" t="s">
        <v>2066</v>
      </c>
      <c r="E484" s="96" t="b">
        <v>0</v>
      </c>
      <c r="F484" s="96" t="b">
        <v>0</v>
      </c>
      <c r="G484" s="96" t="b">
        <v>0</v>
      </c>
    </row>
    <row r="485" spans="1:7" ht="15">
      <c r="A485" s="97" t="s">
        <v>2125</v>
      </c>
      <c r="B485" s="96">
        <v>3</v>
      </c>
      <c r="C485" s="118">
        <v>0.007022975401780528</v>
      </c>
      <c r="D485" s="96" t="s">
        <v>2066</v>
      </c>
      <c r="E485" s="96" t="b">
        <v>0</v>
      </c>
      <c r="F485" s="96" t="b">
        <v>0</v>
      </c>
      <c r="G485" s="96" t="b">
        <v>0</v>
      </c>
    </row>
    <row r="486" spans="1:7" ht="15">
      <c r="A486" s="97" t="s">
        <v>2126</v>
      </c>
      <c r="B486" s="96">
        <v>3</v>
      </c>
      <c r="C486" s="118">
        <v>0.007022975401780528</v>
      </c>
      <c r="D486" s="96" t="s">
        <v>2066</v>
      </c>
      <c r="E486" s="96" t="b">
        <v>0</v>
      </c>
      <c r="F486" s="96" t="b">
        <v>0</v>
      </c>
      <c r="G486" s="96" t="b">
        <v>0</v>
      </c>
    </row>
    <row r="487" spans="1:7" ht="15">
      <c r="A487" s="97" t="s">
        <v>2127</v>
      </c>
      <c r="B487" s="96">
        <v>3</v>
      </c>
      <c r="C487" s="118">
        <v>0.007022975401780528</v>
      </c>
      <c r="D487" s="96" t="s">
        <v>2066</v>
      </c>
      <c r="E487" s="96" t="b">
        <v>0</v>
      </c>
      <c r="F487" s="96" t="b">
        <v>0</v>
      </c>
      <c r="G487" s="96" t="b">
        <v>0</v>
      </c>
    </row>
    <row r="488" spans="1:7" ht="15">
      <c r="A488" s="97" t="s">
        <v>2128</v>
      </c>
      <c r="B488" s="96">
        <v>3</v>
      </c>
      <c r="C488" s="118">
        <v>0.007022975401780528</v>
      </c>
      <c r="D488" s="96" t="s">
        <v>2066</v>
      </c>
      <c r="E488" s="96" t="b">
        <v>0</v>
      </c>
      <c r="F488" s="96" t="b">
        <v>0</v>
      </c>
      <c r="G488" s="96" t="b">
        <v>0</v>
      </c>
    </row>
    <row r="489" spans="1:7" ht="15">
      <c r="A489" s="97" t="s">
        <v>2115</v>
      </c>
      <c r="B489" s="96">
        <v>3</v>
      </c>
      <c r="C489" s="118">
        <v>0.007022975401780528</v>
      </c>
      <c r="D489" s="96" t="s">
        <v>2066</v>
      </c>
      <c r="E489" s="96" t="b">
        <v>0</v>
      </c>
      <c r="F489" s="96" t="b">
        <v>0</v>
      </c>
      <c r="G489" s="96" t="b">
        <v>0</v>
      </c>
    </row>
    <row r="490" spans="1:7" ht="15">
      <c r="A490" s="97" t="s">
        <v>2116</v>
      </c>
      <c r="B490" s="96">
        <v>3</v>
      </c>
      <c r="C490" s="118">
        <v>0.007022975401780528</v>
      </c>
      <c r="D490" s="96" t="s">
        <v>2066</v>
      </c>
      <c r="E490" s="96" t="b">
        <v>0</v>
      </c>
      <c r="F490" s="96" t="b">
        <v>0</v>
      </c>
      <c r="G490" s="96" t="b">
        <v>0</v>
      </c>
    </row>
    <row r="491" spans="1:7" ht="15">
      <c r="A491" s="97" t="s">
        <v>2117</v>
      </c>
      <c r="B491" s="96">
        <v>3</v>
      </c>
      <c r="C491" s="118">
        <v>0.007022975401780528</v>
      </c>
      <c r="D491" s="96" t="s">
        <v>2066</v>
      </c>
      <c r="E491" s="96" t="b">
        <v>0</v>
      </c>
      <c r="F491" s="96" t="b">
        <v>0</v>
      </c>
      <c r="G491" s="96" t="b">
        <v>0</v>
      </c>
    </row>
    <row r="492" spans="1:7" ht="15">
      <c r="A492" s="97" t="s">
        <v>2118</v>
      </c>
      <c r="B492" s="96">
        <v>3</v>
      </c>
      <c r="C492" s="118">
        <v>0.007022975401780528</v>
      </c>
      <c r="D492" s="96" t="s">
        <v>2066</v>
      </c>
      <c r="E492" s="96" t="b">
        <v>0</v>
      </c>
      <c r="F492" s="96" t="b">
        <v>0</v>
      </c>
      <c r="G492" s="96" t="b">
        <v>0</v>
      </c>
    </row>
    <row r="493" spans="1:7" ht="15">
      <c r="A493" s="97" t="s">
        <v>2119</v>
      </c>
      <c r="B493" s="96">
        <v>3</v>
      </c>
      <c r="C493" s="118">
        <v>0.007022975401780528</v>
      </c>
      <c r="D493" s="96" t="s">
        <v>2066</v>
      </c>
      <c r="E493" s="96" t="b">
        <v>0</v>
      </c>
      <c r="F493" s="96" t="b">
        <v>0</v>
      </c>
      <c r="G493" s="96" t="b">
        <v>0</v>
      </c>
    </row>
    <row r="494" spans="1:7" ht="15">
      <c r="A494" s="97" t="s">
        <v>2129</v>
      </c>
      <c r="B494" s="96">
        <v>3</v>
      </c>
      <c r="C494" s="118">
        <v>0.007022975401780528</v>
      </c>
      <c r="D494" s="96" t="s">
        <v>2066</v>
      </c>
      <c r="E494" s="96" t="b">
        <v>0</v>
      </c>
      <c r="F494" s="96" t="b">
        <v>0</v>
      </c>
      <c r="G494" s="96" t="b">
        <v>0</v>
      </c>
    </row>
    <row r="495" spans="1:7" ht="15">
      <c r="A495" s="97" t="s">
        <v>2120</v>
      </c>
      <c r="B495" s="96">
        <v>3</v>
      </c>
      <c r="C495" s="118">
        <v>0.007022975401780528</v>
      </c>
      <c r="D495" s="96" t="s">
        <v>2066</v>
      </c>
      <c r="E495" s="96" t="b">
        <v>0</v>
      </c>
      <c r="F495" s="96" t="b">
        <v>0</v>
      </c>
      <c r="G495" s="96" t="b">
        <v>0</v>
      </c>
    </row>
    <row r="496" spans="1:7" ht="15">
      <c r="A496" s="97" t="s">
        <v>2121</v>
      </c>
      <c r="B496" s="96">
        <v>3</v>
      </c>
      <c r="C496" s="118">
        <v>0.007022975401780528</v>
      </c>
      <c r="D496" s="96" t="s">
        <v>2066</v>
      </c>
      <c r="E496" s="96" t="b">
        <v>0</v>
      </c>
      <c r="F496" s="96" t="b">
        <v>0</v>
      </c>
      <c r="G496" s="96" t="b">
        <v>0</v>
      </c>
    </row>
    <row r="497" spans="1:7" ht="15">
      <c r="A497" s="97" t="s">
        <v>2122</v>
      </c>
      <c r="B497" s="96">
        <v>3</v>
      </c>
      <c r="C497" s="118">
        <v>0.007022975401780528</v>
      </c>
      <c r="D497" s="96" t="s">
        <v>2066</v>
      </c>
      <c r="E497" s="96" t="b">
        <v>0</v>
      </c>
      <c r="F497" s="96" t="b">
        <v>0</v>
      </c>
      <c r="G497" s="96" t="b">
        <v>0</v>
      </c>
    </row>
    <row r="498" spans="1:7" ht="15">
      <c r="A498" s="97" t="s">
        <v>2130</v>
      </c>
      <c r="B498" s="96">
        <v>3</v>
      </c>
      <c r="C498" s="118">
        <v>0.007022975401780528</v>
      </c>
      <c r="D498" s="96" t="s">
        <v>2066</v>
      </c>
      <c r="E498" s="96" t="b">
        <v>0</v>
      </c>
      <c r="F498" s="96" t="b">
        <v>0</v>
      </c>
      <c r="G498" s="96" t="b">
        <v>0</v>
      </c>
    </row>
    <row r="499" spans="1:7" ht="15">
      <c r="A499" s="97" t="s">
        <v>2131</v>
      </c>
      <c r="B499" s="96">
        <v>3</v>
      </c>
      <c r="C499" s="118">
        <v>0.007022975401780528</v>
      </c>
      <c r="D499" s="96" t="s">
        <v>2066</v>
      </c>
      <c r="E499" s="96" t="b">
        <v>0</v>
      </c>
      <c r="F499" s="96" t="b">
        <v>0</v>
      </c>
      <c r="G499" s="96" t="b">
        <v>0</v>
      </c>
    </row>
    <row r="500" spans="1:7" ht="15">
      <c r="A500" s="97" t="s">
        <v>2123</v>
      </c>
      <c r="B500" s="96">
        <v>3</v>
      </c>
      <c r="C500" s="118">
        <v>0.007022975401780528</v>
      </c>
      <c r="D500" s="96" t="s">
        <v>2066</v>
      </c>
      <c r="E500" s="96" t="b">
        <v>0</v>
      </c>
      <c r="F500" s="96" t="b">
        <v>0</v>
      </c>
      <c r="G500" s="96" t="b">
        <v>0</v>
      </c>
    </row>
    <row r="501" spans="1:7" ht="15">
      <c r="A501" s="97" t="s">
        <v>2114</v>
      </c>
      <c r="B501" s="96">
        <v>3</v>
      </c>
      <c r="C501" s="118">
        <v>0.007022975401780528</v>
      </c>
      <c r="D501" s="96" t="s">
        <v>2066</v>
      </c>
      <c r="E501" s="96" t="b">
        <v>0</v>
      </c>
      <c r="F501" s="96" t="b">
        <v>0</v>
      </c>
      <c r="G501" s="96" t="b">
        <v>0</v>
      </c>
    </row>
    <row r="502" spans="1:7" ht="15">
      <c r="A502" s="97" t="s">
        <v>2150</v>
      </c>
      <c r="B502" s="96">
        <v>2</v>
      </c>
      <c r="C502" s="118">
        <v>0.005657558443600765</v>
      </c>
      <c r="D502" s="96" t="s">
        <v>2066</v>
      </c>
      <c r="E502" s="96" t="b">
        <v>0</v>
      </c>
      <c r="F502" s="96" t="b">
        <v>0</v>
      </c>
      <c r="G502" s="96" t="b">
        <v>0</v>
      </c>
    </row>
    <row r="503" spans="1:7" ht="15">
      <c r="A503" s="97" t="s">
        <v>2151</v>
      </c>
      <c r="B503" s="96">
        <v>2</v>
      </c>
      <c r="C503" s="118">
        <v>0.005657558443600765</v>
      </c>
      <c r="D503" s="96" t="s">
        <v>2066</v>
      </c>
      <c r="E503" s="96" t="b">
        <v>0</v>
      </c>
      <c r="F503" s="96" t="b">
        <v>0</v>
      </c>
      <c r="G503" s="96" t="b">
        <v>0</v>
      </c>
    </row>
    <row r="504" spans="1:7" ht="15">
      <c r="A504" s="97" t="s">
        <v>2152</v>
      </c>
      <c r="B504" s="96">
        <v>2</v>
      </c>
      <c r="C504" s="118">
        <v>0.005657558443600765</v>
      </c>
      <c r="D504" s="96" t="s">
        <v>2066</v>
      </c>
      <c r="E504" s="96" t="b">
        <v>0</v>
      </c>
      <c r="F504" s="96" t="b">
        <v>0</v>
      </c>
      <c r="G504" s="96" t="b">
        <v>0</v>
      </c>
    </row>
    <row r="505" spans="1:7" ht="15">
      <c r="A505" s="97" t="s">
        <v>2149</v>
      </c>
      <c r="B505" s="96">
        <v>2</v>
      </c>
      <c r="C505" s="118">
        <v>0.005657558443600765</v>
      </c>
      <c r="D505" s="96" t="s">
        <v>2066</v>
      </c>
      <c r="E505" s="96" t="b">
        <v>0</v>
      </c>
      <c r="F505" s="96" t="b">
        <v>0</v>
      </c>
      <c r="G505" s="96" t="b">
        <v>0</v>
      </c>
    </row>
    <row r="506" spans="1:7" ht="15">
      <c r="A506" s="97" t="s">
        <v>2153</v>
      </c>
      <c r="B506" s="96">
        <v>2</v>
      </c>
      <c r="C506" s="118">
        <v>0.005657558443600765</v>
      </c>
      <c r="D506" s="96" t="s">
        <v>2066</v>
      </c>
      <c r="E506" s="96" t="b">
        <v>0</v>
      </c>
      <c r="F506" s="96" t="b">
        <v>0</v>
      </c>
      <c r="G506" s="96" t="b">
        <v>0</v>
      </c>
    </row>
    <row r="507" spans="1:7" ht="15">
      <c r="A507" s="97" t="s">
        <v>2148</v>
      </c>
      <c r="B507" s="96">
        <v>2</v>
      </c>
      <c r="C507" s="118">
        <v>0.005657558443600765</v>
      </c>
      <c r="D507" s="96" t="s">
        <v>2066</v>
      </c>
      <c r="E507" s="96" t="b">
        <v>0</v>
      </c>
      <c r="F507" s="96" t="b">
        <v>0</v>
      </c>
      <c r="G507" s="96" t="b">
        <v>0</v>
      </c>
    </row>
    <row r="508" spans="1:7" ht="15">
      <c r="A508" s="97" t="s">
        <v>2154</v>
      </c>
      <c r="B508" s="96">
        <v>2</v>
      </c>
      <c r="C508" s="118">
        <v>0.005657558443600765</v>
      </c>
      <c r="D508" s="96" t="s">
        <v>2066</v>
      </c>
      <c r="E508" s="96" t="b">
        <v>0</v>
      </c>
      <c r="F508" s="96" t="b">
        <v>0</v>
      </c>
      <c r="G508" s="96" t="b">
        <v>0</v>
      </c>
    </row>
    <row r="509" spans="1:7" ht="15">
      <c r="A509" s="97" t="s">
        <v>2155</v>
      </c>
      <c r="B509" s="96">
        <v>2</v>
      </c>
      <c r="C509" s="118">
        <v>0.005657558443600765</v>
      </c>
      <c r="D509" s="96" t="s">
        <v>2066</v>
      </c>
      <c r="E509" s="96" t="b">
        <v>0</v>
      </c>
      <c r="F509" s="96" t="b">
        <v>0</v>
      </c>
      <c r="G509" s="96" t="b">
        <v>0</v>
      </c>
    </row>
    <row r="510" spans="1:7" ht="15">
      <c r="A510" s="97" t="s">
        <v>349</v>
      </c>
      <c r="B510" s="96">
        <v>2</v>
      </c>
      <c r="C510" s="118">
        <v>0.005657558443600765</v>
      </c>
      <c r="D510" s="96" t="s">
        <v>2066</v>
      </c>
      <c r="E510" s="96" t="b">
        <v>0</v>
      </c>
      <c r="F510" s="96" t="b">
        <v>0</v>
      </c>
      <c r="G510" s="96" t="b">
        <v>0</v>
      </c>
    </row>
    <row r="511" spans="1:7" ht="15">
      <c r="A511" s="97" t="s">
        <v>2106</v>
      </c>
      <c r="B511" s="96">
        <v>13</v>
      </c>
      <c r="C511" s="118">
        <v>0.002842184788489024</v>
      </c>
      <c r="D511" s="96" t="s">
        <v>2067</v>
      </c>
      <c r="E511" s="96" t="b">
        <v>0</v>
      </c>
      <c r="F511" s="96" t="b">
        <v>0</v>
      </c>
      <c r="G511" s="96" t="b">
        <v>0</v>
      </c>
    </row>
    <row r="512" spans="1:7" ht="15">
      <c r="A512" s="97" t="s">
        <v>2107</v>
      </c>
      <c r="B512" s="96">
        <v>13</v>
      </c>
      <c r="C512" s="118">
        <v>0.002842184788489024</v>
      </c>
      <c r="D512" s="96" t="s">
        <v>2067</v>
      </c>
      <c r="E512" s="96" t="b">
        <v>0</v>
      </c>
      <c r="F512" s="96" t="b">
        <v>0</v>
      </c>
      <c r="G512" s="96" t="b">
        <v>0</v>
      </c>
    </row>
    <row r="513" spans="1:7" ht="15">
      <c r="A513" s="97" t="s">
        <v>2185</v>
      </c>
      <c r="B513" s="96">
        <v>3</v>
      </c>
      <c r="C513" s="118">
        <v>0.012015511275229705</v>
      </c>
      <c r="D513" s="96" t="s">
        <v>2067</v>
      </c>
      <c r="E513" s="96" t="b">
        <v>0</v>
      </c>
      <c r="F513" s="96" t="b">
        <v>0</v>
      </c>
      <c r="G513" s="96" t="b">
        <v>0</v>
      </c>
    </row>
    <row r="514" spans="1:7" ht="15">
      <c r="A514" s="97" t="s">
        <v>2316</v>
      </c>
      <c r="B514" s="96">
        <v>2</v>
      </c>
      <c r="C514" s="118">
        <v>0.014011866066752664</v>
      </c>
      <c r="D514" s="96" t="s">
        <v>2067</v>
      </c>
      <c r="E514" s="96" t="b">
        <v>0</v>
      </c>
      <c r="F514" s="96" t="b">
        <v>0</v>
      </c>
      <c r="G514" s="96" t="b">
        <v>0</v>
      </c>
    </row>
    <row r="515" spans="1:7" ht="15">
      <c r="A515" s="97" t="s">
        <v>2303</v>
      </c>
      <c r="B515" s="96">
        <v>2</v>
      </c>
      <c r="C515" s="118">
        <v>0.010225325240790636</v>
      </c>
      <c r="D515" s="96" t="s">
        <v>2067</v>
      </c>
      <c r="E515" s="96" t="b">
        <v>0</v>
      </c>
      <c r="F515" s="96" t="b">
        <v>0</v>
      </c>
      <c r="G515" s="96" t="b">
        <v>0</v>
      </c>
    </row>
    <row r="516" spans="1:7" ht="15">
      <c r="A516" s="97" t="s">
        <v>2217</v>
      </c>
      <c r="B516" s="96">
        <v>2</v>
      </c>
      <c r="C516" s="118">
        <v>0.014011866066752664</v>
      </c>
      <c r="D516" s="96" t="s">
        <v>2067</v>
      </c>
      <c r="E516" s="96" t="b">
        <v>0</v>
      </c>
      <c r="F516" s="96" t="b">
        <v>0</v>
      </c>
      <c r="G516" s="96" t="b">
        <v>0</v>
      </c>
    </row>
    <row r="517" spans="1:7" ht="15">
      <c r="A517" s="97" t="s">
        <v>2298</v>
      </c>
      <c r="B517" s="96">
        <v>2</v>
      </c>
      <c r="C517" s="118">
        <v>0.010225325240790636</v>
      </c>
      <c r="D517" s="96" t="s">
        <v>2067</v>
      </c>
      <c r="E517" s="96" t="b">
        <v>0</v>
      </c>
      <c r="F517" s="96" t="b">
        <v>0</v>
      </c>
      <c r="G517" s="96" t="b">
        <v>0</v>
      </c>
    </row>
    <row r="518" spans="1:7" ht="15">
      <c r="A518" s="97" t="s">
        <v>2186</v>
      </c>
      <c r="B518" s="96">
        <v>2</v>
      </c>
      <c r="C518" s="118">
        <v>0.010225325240790636</v>
      </c>
      <c r="D518" s="96" t="s">
        <v>2067</v>
      </c>
      <c r="E518" s="96" t="b">
        <v>0</v>
      </c>
      <c r="F518" s="96" t="b">
        <v>0</v>
      </c>
      <c r="G518" s="96" t="b">
        <v>0</v>
      </c>
    </row>
    <row r="519" spans="1:7" ht="15">
      <c r="A519" s="97" t="s">
        <v>2299</v>
      </c>
      <c r="B519" s="96">
        <v>2</v>
      </c>
      <c r="C519" s="118">
        <v>0.010225325240790636</v>
      </c>
      <c r="D519" s="96" t="s">
        <v>2067</v>
      </c>
      <c r="E519" s="96" t="b">
        <v>0</v>
      </c>
      <c r="F519" s="96" t="b">
        <v>0</v>
      </c>
      <c r="G519" s="96" t="b">
        <v>0</v>
      </c>
    </row>
    <row r="520" spans="1:7" ht="15">
      <c r="A520" s="97" t="s">
        <v>2300</v>
      </c>
      <c r="B520" s="96">
        <v>2</v>
      </c>
      <c r="C520" s="118">
        <v>0.010225325240790636</v>
      </c>
      <c r="D520" s="96" t="s">
        <v>2067</v>
      </c>
      <c r="E520" s="96" t="b">
        <v>0</v>
      </c>
      <c r="F520" s="96" t="b">
        <v>0</v>
      </c>
      <c r="G520" s="96" t="b">
        <v>0</v>
      </c>
    </row>
    <row r="521" spans="1:7" ht="15">
      <c r="A521" s="97" t="s">
        <v>2301</v>
      </c>
      <c r="B521" s="96">
        <v>2</v>
      </c>
      <c r="C521" s="118">
        <v>0.010225325240790636</v>
      </c>
      <c r="D521" s="96" t="s">
        <v>2067</v>
      </c>
      <c r="E521" s="96" t="b">
        <v>0</v>
      </c>
      <c r="F521" s="96" t="b">
        <v>0</v>
      </c>
      <c r="G521" s="96" t="b">
        <v>0</v>
      </c>
    </row>
    <row r="522" spans="1:7" ht="15">
      <c r="A522" s="97" t="s">
        <v>2295</v>
      </c>
      <c r="B522" s="96">
        <v>2</v>
      </c>
      <c r="C522" s="118">
        <v>0.010225325240790636</v>
      </c>
      <c r="D522" s="96" t="s">
        <v>2067</v>
      </c>
      <c r="E522" s="96" t="b">
        <v>0</v>
      </c>
      <c r="F522" s="96" t="b">
        <v>0</v>
      </c>
      <c r="G522" s="96" t="b">
        <v>0</v>
      </c>
    </row>
    <row r="523" spans="1:7" ht="15">
      <c r="A523" s="97" t="s">
        <v>2296</v>
      </c>
      <c r="B523" s="96">
        <v>2</v>
      </c>
      <c r="C523" s="118">
        <v>0.010225325240790636</v>
      </c>
      <c r="D523" s="96" t="s">
        <v>2067</v>
      </c>
      <c r="E523" s="96" t="b">
        <v>0</v>
      </c>
      <c r="F523" s="96" t="b">
        <v>0</v>
      </c>
      <c r="G523" s="96" t="b">
        <v>0</v>
      </c>
    </row>
    <row r="524" spans="1:7" ht="15">
      <c r="A524" s="97" t="s">
        <v>2297</v>
      </c>
      <c r="B524" s="96">
        <v>2</v>
      </c>
      <c r="C524" s="118">
        <v>0.010225325240790636</v>
      </c>
      <c r="D524" s="96" t="s">
        <v>2067</v>
      </c>
      <c r="E524" s="96" t="b">
        <v>0</v>
      </c>
      <c r="F524" s="96" t="b">
        <v>0</v>
      </c>
      <c r="G524" s="96" t="b">
        <v>0</v>
      </c>
    </row>
    <row r="525" spans="1:7" ht="15">
      <c r="A525" s="97" t="s">
        <v>414</v>
      </c>
      <c r="B525" s="96">
        <v>2</v>
      </c>
      <c r="C525" s="118">
        <v>0</v>
      </c>
      <c r="D525" s="96" t="s">
        <v>2068</v>
      </c>
      <c r="E525" s="96" t="b">
        <v>0</v>
      </c>
      <c r="F525" s="96" t="b">
        <v>0</v>
      </c>
      <c r="G525" s="96" t="b">
        <v>0</v>
      </c>
    </row>
    <row r="526" spans="1:7" ht="15">
      <c r="A526" s="97" t="s">
        <v>412</v>
      </c>
      <c r="B526" s="96">
        <v>2</v>
      </c>
      <c r="C526" s="118">
        <v>0</v>
      </c>
      <c r="D526" s="96" t="s">
        <v>2068</v>
      </c>
      <c r="E526" s="96" t="b">
        <v>0</v>
      </c>
      <c r="F526" s="96" t="b">
        <v>0</v>
      </c>
      <c r="G526" s="96" t="b">
        <v>0</v>
      </c>
    </row>
    <row r="527" spans="1:7" ht="15">
      <c r="A527" s="97" t="s">
        <v>411</v>
      </c>
      <c r="B527" s="96">
        <v>2</v>
      </c>
      <c r="C527" s="118">
        <v>0</v>
      </c>
      <c r="D527" s="96" t="s">
        <v>2068</v>
      </c>
      <c r="E527" s="96" t="b">
        <v>0</v>
      </c>
      <c r="F527" s="96" t="b">
        <v>0</v>
      </c>
      <c r="G527" s="96" t="b">
        <v>0</v>
      </c>
    </row>
    <row r="528" spans="1:7" ht="15">
      <c r="A528" s="97" t="s">
        <v>444</v>
      </c>
      <c r="B528" s="96">
        <v>3</v>
      </c>
      <c r="C528" s="118">
        <v>0</v>
      </c>
      <c r="D528" s="96" t="s">
        <v>2069</v>
      </c>
      <c r="E528" s="96" t="b">
        <v>0</v>
      </c>
      <c r="F528" s="96" t="b">
        <v>0</v>
      </c>
      <c r="G528" s="96" t="b">
        <v>0</v>
      </c>
    </row>
    <row r="529" spans="1:7" ht="15">
      <c r="A529" s="97" t="s">
        <v>2106</v>
      </c>
      <c r="B529" s="96">
        <v>3</v>
      </c>
      <c r="C529" s="118">
        <v>0</v>
      </c>
      <c r="D529" s="96" t="s">
        <v>2069</v>
      </c>
      <c r="E529" s="96" t="b">
        <v>0</v>
      </c>
      <c r="F529" s="96" t="b">
        <v>0</v>
      </c>
      <c r="G529" s="96" t="b">
        <v>0</v>
      </c>
    </row>
    <row r="530" spans="1:7" ht="15">
      <c r="A530" s="97" t="s">
        <v>2107</v>
      </c>
      <c r="B530" s="96">
        <v>3</v>
      </c>
      <c r="C530" s="118">
        <v>0</v>
      </c>
      <c r="D530" s="96" t="s">
        <v>2069</v>
      </c>
      <c r="E530" s="96" t="b">
        <v>0</v>
      </c>
      <c r="F530" s="96" t="b">
        <v>0</v>
      </c>
      <c r="G530" s="96" t="b">
        <v>0</v>
      </c>
    </row>
    <row r="531" spans="1:7" ht="15">
      <c r="A531" s="97" t="s">
        <v>2180</v>
      </c>
      <c r="B531" s="96">
        <v>3</v>
      </c>
      <c r="C531" s="118">
        <v>0</v>
      </c>
      <c r="D531" s="96" t="s">
        <v>2069</v>
      </c>
      <c r="E531" s="96" t="b">
        <v>0</v>
      </c>
      <c r="F531" s="96" t="b">
        <v>0</v>
      </c>
      <c r="G531" s="96" t="b">
        <v>0</v>
      </c>
    </row>
    <row r="532" spans="1:7" ht="15">
      <c r="A532" s="97" t="s">
        <v>2254</v>
      </c>
      <c r="B532" s="96">
        <v>2</v>
      </c>
      <c r="C532" s="118">
        <v>0.009267961002930591</v>
      </c>
      <c r="D532" s="96" t="s">
        <v>2069</v>
      </c>
      <c r="E532" s="96" t="b">
        <v>0</v>
      </c>
      <c r="F532" s="96" t="b">
        <v>0</v>
      </c>
      <c r="G532" s="96" t="b">
        <v>0</v>
      </c>
    </row>
    <row r="533" spans="1:7" ht="15">
      <c r="A533" s="97" t="s">
        <v>2184</v>
      </c>
      <c r="B533" s="96">
        <v>2</v>
      </c>
      <c r="C533" s="118">
        <v>0.009267961002930591</v>
      </c>
      <c r="D533" s="96" t="s">
        <v>2069</v>
      </c>
      <c r="E533" s="96" t="b">
        <v>0</v>
      </c>
      <c r="F533" s="96" t="b">
        <v>0</v>
      </c>
      <c r="G533" s="96" t="b">
        <v>0</v>
      </c>
    </row>
    <row r="534" spans="1:7" ht="15">
      <c r="A534" s="97" t="s">
        <v>2255</v>
      </c>
      <c r="B534" s="96">
        <v>2</v>
      </c>
      <c r="C534" s="118">
        <v>0.009267961002930591</v>
      </c>
      <c r="D534" s="96" t="s">
        <v>2069</v>
      </c>
      <c r="E534" s="96" t="b">
        <v>0</v>
      </c>
      <c r="F534" s="96" t="b">
        <v>0</v>
      </c>
      <c r="G534" s="96" t="b">
        <v>0</v>
      </c>
    </row>
    <row r="535" spans="1:7" ht="15">
      <c r="A535" s="97" t="s">
        <v>2256</v>
      </c>
      <c r="B535" s="96">
        <v>2</v>
      </c>
      <c r="C535" s="118">
        <v>0.009267961002930591</v>
      </c>
      <c r="D535" s="96" t="s">
        <v>2069</v>
      </c>
      <c r="E535" s="96" t="b">
        <v>0</v>
      </c>
      <c r="F535" s="96" t="b">
        <v>0</v>
      </c>
      <c r="G535" s="96" t="b">
        <v>0</v>
      </c>
    </row>
    <row r="536" spans="1:7" ht="15">
      <c r="A536" s="97" t="s">
        <v>2257</v>
      </c>
      <c r="B536" s="96">
        <v>2</v>
      </c>
      <c r="C536" s="118">
        <v>0.009267961002930591</v>
      </c>
      <c r="D536" s="96" t="s">
        <v>2069</v>
      </c>
      <c r="E536" s="96" t="b">
        <v>0</v>
      </c>
      <c r="F536" s="96" t="b">
        <v>0</v>
      </c>
      <c r="G536" s="96" t="b">
        <v>0</v>
      </c>
    </row>
    <row r="537" spans="1:7" ht="15">
      <c r="A537" s="97" t="s">
        <v>2106</v>
      </c>
      <c r="B537" s="96">
        <v>2</v>
      </c>
      <c r="C537" s="118">
        <v>0</v>
      </c>
      <c r="D537" s="96" t="s">
        <v>2070</v>
      </c>
      <c r="E537" s="96" t="b">
        <v>0</v>
      </c>
      <c r="F537" s="96" t="b">
        <v>0</v>
      </c>
      <c r="G537" s="96" t="b">
        <v>0</v>
      </c>
    </row>
    <row r="538" spans="1:7" ht="15">
      <c r="A538" s="97" t="s">
        <v>2107</v>
      </c>
      <c r="B538" s="96">
        <v>2</v>
      </c>
      <c r="C538" s="118">
        <v>0</v>
      </c>
      <c r="D538" s="96" t="s">
        <v>2070</v>
      </c>
      <c r="E538" s="96" t="b">
        <v>0</v>
      </c>
      <c r="F538" s="96" t="b">
        <v>0</v>
      </c>
      <c r="G538" s="96" t="b">
        <v>0</v>
      </c>
    </row>
    <row r="539" spans="1:7" ht="15">
      <c r="A539" s="97" t="s">
        <v>2261</v>
      </c>
      <c r="B539" s="96">
        <v>2</v>
      </c>
      <c r="C539" s="118">
        <v>0.0162718916575125</v>
      </c>
      <c r="D539" s="96" t="s">
        <v>2070</v>
      </c>
      <c r="E539" s="96" t="b">
        <v>0</v>
      </c>
      <c r="F539" s="96" t="b">
        <v>0</v>
      </c>
      <c r="G539" s="96" t="b">
        <v>0</v>
      </c>
    </row>
    <row r="540" spans="1:7" ht="15">
      <c r="A540" s="97" t="s">
        <v>2106</v>
      </c>
      <c r="B540" s="96">
        <v>3</v>
      </c>
      <c r="C540" s="118">
        <v>0</v>
      </c>
      <c r="D540" s="96" t="s">
        <v>2071</v>
      </c>
      <c r="E540" s="96" t="b">
        <v>0</v>
      </c>
      <c r="F540" s="96" t="b">
        <v>0</v>
      </c>
      <c r="G540" s="96" t="b">
        <v>0</v>
      </c>
    </row>
    <row r="541" spans="1:7" ht="15">
      <c r="A541" s="97" t="s">
        <v>2107</v>
      </c>
      <c r="B541" s="96">
        <v>3</v>
      </c>
      <c r="C541" s="118">
        <v>0</v>
      </c>
      <c r="D541" s="96" t="s">
        <v>2071</v>
      </c>
      <c r="E541" s="96" t="b">
        <v>0</v>
      </c>
      <c r="F541" s="96" t="b">
        <v>0</v>
      </c>
      <c r="G541" s="96" t="b">
        <v>0</v>
      </c>
    </row>
    <row r="542" spans="1:7" ht="15">
      <c r="A542" s="97" t="s">
        <v>2195</v>
      </c>
      <c r="B542" s="96">
        <v>3</v>
      </c>
      <c r="C542" s="118">
        <v>0</v>
      </c>
      <c r="D542" s="96" t="s">
        <v>2071</v>
      </c>
      <c r="E542" s="96" t="b">
        <v>0</v>
      </c>
      <c r="F542" s="96" t="b">
        <v>0</v>
      </c>
      <c r="G542" s="96" t="b">
        <v>0</v>
      </c>
    </row>
    <row r="543" spans="1:7" ht="15">
      <c r="A543" s="97" t="s">
        <v>2196</v>
      </c>
      <c r="B543" s="96">
        <v>3</v>
      </c>
      <c r="C543" s="118">
        <v>0</v>
      </c>
      <c r="D543" s="96" t="s">
        <v>2071</v>
      </c>
      <c r="E543" s="96" t="b">
        <v>0</v>
      </c>
      <c r="F543" s="96" t="b">
        <v>0</v>
      </c>
      <c r="G543" s="96" t="b">
        <v>0</v>
      </c>
    </row>
    <row r="544" spans="1:7" ht="15">
      <c r="A544" s="97" t="s">
        <v>2197</v>
      </c>
      <c r="B544" s="96">
        <v>3</v>
      </c>
      <c r="C544" s="118">
        <v>0</v>
      </c>
      <c r="D544" s="96" t="s">
        <v>2071</v>
      </c>
      <c r="E544" s="96" t="b">
        <v>0</v>
      </c>
      <c r="F544" s="96" t="b">
        <v>0</v>
      </c>
      <c r="G544" s="96" t="b">
        <v>0</v>
      </c>
    </row>
    <row r="545" spans="1:7" ht="15">
      <c r="A545" s="97" t="s">
        <v>2198</v>
      </c>
      <c r="B545" s="96">
        <v>3</v>
      </c>
      <c r="C545" s="118">
        <v>0</v>
      </c>
      <c r="D545" s="96" t="s">
        <v>2071</v>
      </c>
      <c r="E545" s="96" t="b">
        <v>0</v>
      </c>
      <c r="F545" s="96" t="b">
        <v>0</v>
      </c>
      <c r="G545" s="96" t="b">
        <v>0</v>
      </c>
    </row>
    <row r="546" spans="1:7" ht="15">
      <c r="A546" s="97" t="s">
        <v>2199</v>
      </c>
      <c r="B546" s="96">
        <v>3</v>
      </c>
      <c r="C546" s="118">
        <v>0</v>
      </c>
      <c r="D546" s="96" t="s">
        <v>2071</v>
      </c>
      <c r="E546" s="96" t="b">
        <v>0</v>
      </c>
      <c r="F546" s="96" t="b">
        <v>0</v>
      </c>
      <c r="G546" s="96" t="b">
        <v>0</v>
      </c>
    </row>
    <row r="547" spans="1:7" ht="15">
      <c r="A547" s="97" t="s">
        <v>2200</v>
      </c>
      <c r="B547" s="96">
        <v>3</v>
      </c>
      <c r="C547" s="118">
        <v>0</v>
      </c>
      <c r="D547" s="96" t="s">
        <v>2071</v>
      </c>
      <c r="E547" s="96" t="b">
        <v>0</v>
      </c>
      <c r="F547" s="96" t="b">
        <v>0</v>
      </c>
      <c r="G547" s="96" t="b">
        <v>0</v>
      </c>
    </row>
    <row r="548" spans="1:7" ht="15">
      <c r="A548" s="97" t="s">
        <v>2201</v>
      </c>
      <c r="B548" s="96">
        <v>3</v>
      </c>
      <c r="C548" s="118">
        <v>0</v>
      </c>
      <c r="D548" s="96" t="s">
        <v>2071</v>
      </c>
      <c r="E548" s="96" t="b">
        <v>0</v>
      </c>
      <c r="F548" s="96" t="b">
        <v>0</v>
      </c>
      <c r="G548" s="96" t="b">
        <v>0</v>
      </c>
    </row>
    <row r="549" spans="1:7" ht="15">
      <c r="A549" s="97" t="s">
        <v>2181</v>
      </c>
      <c r="B549" s="96">
        <v>3</v>
      </c>
      <c r="C549" s="118">
        <v>0</v>
      </c>
      <c r="D549" s="96" t="s">
        <v>2071</v>
      </c>
      <c r="E549" s="96" t="b">
        <v>0</v>
      </c>
      <c r="F549" s="96" t="b">
        <v>0</v>
      </c>
      <c r="G549" s="96" t="b">
        <v>0</v>
      </c>
    </row>
    <row r="550" spans="1:7" ht="15">
      <c r="A550" s="97" t="s">
        <v>2202</v>
      </c>
      <c r="B550" s="96">
        <v>3</v>
      </c>
      <c r="C550" s="118">
        <v>0</v>
      </c>
      <c r="D550" s="96" t="s">
        <v>2071</v>
      </c>
      <c r="E550" s="96" t="b">
        <v>0</v>
      </c>
      <c r="F550" s="96" t="b">
        <v>0</v>
      </c>
      <c r="G550" s="96" t="b">
        <v>0</v>
      </c>
    </row>
    <row r="551" spans="1:7" ht="15">
      <c r="A551" s="97" t="s">
        <v>2203</v>
      </c>
      <c r="B551" s="96">
        <v>3</v>
      </c>
      <c r="C551" s="118">
        <v>0</v>
      </c>
      <c r="D551" s="96" t="s">
        <v>2071</v>
      </c>
      <c r="E551" s="96" t="b">
        <v>0</v>
      </c>
      <c r="F551" s="96" t="b">
        <v>0</v>
      </c>
      <c r="G551" s="96" t="b">
        <v>0</v>
      </c>
    </row>
    <row r="552" spans="1:7" ht="15">
      <c r="A552" s="97" t="s">
        <v>2204</v>
      </c>
      <c r="B552" s="96">
        <v>3</v>
      </c>
      <c r="C552" s="118">
        <v>0</v>
      </c>
      <c r="D552" s="96" t="s">
        <v>2071</v>
      </c>
      <c r="E552" s="96" t="b">
        <v>0</v>
      </c>
      <c r="F552" s="96" t="b">
        <v>0</v>
      </c>
      <c r="G552" s="96" t="b">
        <v>0</v>
      </c>
    </row>
    <row r="553" spans="1:7" ht="15">
      <c r="A553" s="97" t="s">
        <v>2205</v>
      </c>
      <c r="B553" s="96">
        <v>3</v>
      </c>
      <c r="C553" s="118">
        <v>0</v>
      </c>
      <c r="D553" s="96" t="s">
        <v>2071</v>
      </c>
      <c r="E553" s="96" t="b">
        <v>0</v>
      </c>
      <c r="F553" s="96" t="b">
        <v>0</v>
      </c>
      <c r="G553" s="96" t="b">
        <v>0</v>
      </c>
    </row>
    <row r="554" spans="1:7" ht="15">
      <c r="A554" s="97" t="s">
        <v>2206</v>
      </c>
      <c r="B554" s="96">
        <v>3</v>
      </c>
      <c r="C554" s="118">
        <v>0</v>
      </c>
      <c r="D554" s="96" t="s">
        <v>2071</v>
      </c>
      <c r="E554" s="96" t="b">
        <v>0</v>
      </c>
      <c r="F554" s="96" t="b">
        <v>0</v>
      </c>
      <c r="G554" s="96" t="b">
        <v>0</v>
      </c>
    </row>
    <row r="555" spans="1:7" ht="15">
      <c r="A555" s="97" t="s">
        <v>2183</v>
      </c>
      <c r="B555" s="96">
        <v>3</v>
      </c>
      <c r="C555" s="118">
        <v>0</v>
      </c>
      <c r="D555" s="96" t="s">
        <v>2071</v>
      </c>
      <c r="E555" s="96" t="b">
        <v>0</v>
      </c>
      <c r="F555" s="96" t="b">
        <v>0</v>
      </c>
      <c r="G555" s="96" t="b">
        <v>0</v>
      </c>
    </row>
    <row r="556" spans="1:7" ht="15">
      <c r="A556" s="97" t="s">
        <v>2207</v>
      </c>
      <c r="B556" s="96">
        <v>3</v>
      </c>
      <c r="C556" s="118">
        <v>0</v>
      </c>
      <c r="D556" s="96" t="s">
        <v>2071</v>
      </c>
      <c r="E556" s="96" t="b">
        <v>0</v>
      </c>
      <c r="F556" s="96" t="b">
        <v>0</v>
      </c>
      <c r="G556" s="96" t="b">
        <v>0</v>
      </c>
    </row>
    <row r="557" spans="1:7" ht="15">
      <c r="A557" s="97" t="s">
        <v>2208</v>
      </c>
      <c r="B557" s="96">
        <v>3</v>
      </c>
      <c r="C557" s="118">
        <v>0</v>
      </c>
      <c r="D557" s="96" t="s">
        <v>2071</v>
      </c>
      <c r="E557" s="96" t="b">
        <v>0</v>
      </c>
      <c r="F557" s="96" t="b">
        <v>0</v>
      </c>
      <c r="G557" s="96" t="b">
        <v>0</v>
      </c>
    </row>
    <row r="558" spans="1:7" ht="15">
      <c r="A558" s="97" t="s">
        <v>428</v>
      </c>
      <c r="B558" s="96">
        <v>2</v>
      </c>
      <c r="C558" s="118">
        <v>0</v>
      </c>
      <c r="D558" s="96" t="s">
        <v>2073</v>
      </c>
      <c r="E558" s="96" t="b">
        <v>0</v>
      </c>
      <c r="F558" s="96" t="b">
        <v>0</v>
      </c>
      <c r="G558" s="96" t="b">
        <v>0</v>
      </c>
    </row>
    <row r="559" spans="1:7" ht="15">
      <c r="A559" s="97" t="s">
        <v>2106</v>
      </c>
      <c r="B559" s="96">
        <v>2</v>
      </c>
      <c r="C559" s="118">
        <v>0</v>
      </c>
      <c r="D559" s="96" t="s">
        <v>2073</v>
      </c>
      <c r="E559" s="96" t="b">
        <v>0</v>
      </c>
      <c r="F559" s="96" t="b">
        <v>0</v>
      </c>
      <c r="G559" s="96" t="b">
        <v>0</v>
      </c>
    </row>
    <row r="560" spans="1:7" ht="15">
      <c r="A560" s="97" t="s">
        <v>2107</v>
      </c>
      <c r="B560" s="96">
        <v>2</v>
      </c>
      <c r="C560" s="118">
        <v>0</v>
      </c>
      <c r="D560" s="96" t="s">
        <v>2073</v>
      </c>
      <c r="E560" s="96" t="b">
        <v>0</v>
      </c>
      <c r="F560" s="96" t="b">
        <v>0</v>
      </c>
      <c r="G560" s="96" t="b">
        <v>0</v>
      </c>
    </row>
    <row r="561" spans="1:7" ht="15">
      <c r="A561" s="97" t="s">
        <v>2124</v>
      </c>
      <c r="B561" s="96">
        <v>2</v>
      </c>
      <c r="C561" s="118">
        <v>0</v>
      </c>
      <c r="D561" s="96" t="s">
        <v>2076</v>
      </c>
      <c r="E561" s="96" t="b">
        <v>0</v>
      </c>
      <c r="F561" s="96" t="b">
        <v>0</v>
      </c>
      <c r="G561" s="96" t="b">
        <v>0</v>
      </c>
    </row>
    <row r="562" spans="1:7" ht="15">
      <c r="A562" s="97" t="s">
        <v>2245</v>
      </c>
      <c r="B562" s="96">
        <v>2</v>
      </c>
      <c r="C562" s="118">
        <v>0</v>
      </c>
      <c r="D562" s="96" t="s">
        <v>2076</v>
      </c>
      <c r="E562" s="96" t="b">
        <v>0</v>
      </c>
      <c r="F562" s="96" t="b">
        <v>0</v>
      </c>
      <c r="G562" s="96" t="b">
        <v>0</v>
      </c>
    </row>
    <row r="563" spans="1:7" ht="15">
      <c r="A563" s="97" t="s">
        <v>2132</v>
      </c>
      <c r="B563" s="96">
        <v>2</v>
      </c>
      <c r="C563" s="118">
        <v>0</v>
      </c>
      <c r="D563" s="96" t="s">
        <v>2076</v>
      </c>
      <c r="E563" s="96" t="b">
        <v>0</v>
      </c>
      <c r="F563" s="96" t="b">
        <v>0</v>
      </c>
      <c r="G563" s="96" t="b">
        <v>0</v>
      </c>
    </row>
    <row r="564" spans="1:7" ht="15">
      <c r="A564" s="97" t="s">
        <v>2246</v>
      </c>
      <c r="B564" s="96">
        <v>2</v>
      </c>
      <c r="C564" s="118">
        <v>0</v>
      </c>
      <c r="D564" s="96" t="s">
        <v>2076</v>
      </c>
      <c r="E564" s="96" t="b">
        <v>0</v>
      </c>
      <c r="F564" s="96" t="b">
        <v>0</v>
      </c>
      <c r="G564" s="96" t="b">
        <v>0</v>
      </c>
    </row>
    <row r="565" spans="1:7" ht="15">
      <c r="A565" s="97" t="s">
        <v>2106</v>
      </c>
      <c r="B565" s="96">
        <v>2</v>
      </c>
      <c r="C565" s="118">
        <v>0</v>
      </c>
      <c r="D565" s="96" t="s">
        <v>2076</v>
      </c>
      <c r="E565" s="96" t="b">
        <v>0</v>
      </c>
      <c r="F565" s="96" t="b">
        <v>0</v>
      </c>
      <c r="G565" s="96" t="b">
        <v>0</v>
      </c>
    </row>
    <row r="566" spans="1:7" ht="15">
      <c r="A566" s="97" t="s">
        <v>2107</v>
      </c>
      <c r="B566" s="96">
        <v>2</v>
      </c>
      <c r="C566" s="118">
        <v>0</v>
      </c>
      <c r="D566" s="96" t="s">
        <v>2076</v>
      </c>
      <c r="E566" s="96" t="b">
        <v>0</v>
      </c>
      <c r="F566" s="96" t="b">
        <v>0</v>
      </c>
      <c r="G566" s="96" t="b">
        <v>0</v>
      </c>
    </row>
    <row r="567" spans="1:7" ht="15">
      <c r="A567" s="97" t="s">
        <v>2247</v>
      </c>
      <c r="B567" s="96">
        <v>2</v>
      </c>
      <c r="C567" s="118">
        <v>0</v>
      </c>
      <c r="D567" s="96" t="s">
        <v>2076</v>
      </c>
      <c r="E567" s="96" t="b">
        <v>0</v>
      </c>
      <c r="F567" s="96" t="b">
        <v>0</v>
      </c>
      <c r="G567" s="96" t="b">
        <v>0</v>
      </c>
    </row>
    <row r="568" spans="1:7" ht="15">
      <c r="A568" s="97" t="s">
        <v>2157</v>
      </c>
      <c r="B568" s="96">
        <v>2</v>
      </c>
      <c r="C568" s="118">
        <v>0</v>
      </c>
      <c r="D568" s="96" t="s">
        <v>2076</v>
      </c>
      <c r="E568" s="96" t="b">
        <v>0</v>
      </c>
      <c r="F568" s="96" t="b">
        <v>0</v>
      </c>
      <c r="G568" s="96" t="b">
        <v>0</v>
      </c>
    </row>
    <row r="569" spans="1:7" ht="15">
      <c r="A569" s="97" t="s">
        <v>2180</v>
      </c>
      <c r="B569" s="96">
        <v>2</v>
      </c>
      <c r="C569" s="118">
        <v>0</v>
      </c>
      <c r="D569" s="96" t="s">
        <v>2076</v>
      </c>
      <c r="E569" s="96" t="b">
        <v>0</v>
      </c>
      <c r="F569" s="96" t="b">
        <v>0</v>
      </c>
      <c r="G569" s="96" t="b">
        <v>0</v>
      </c>
    </row>
    <row r="570" spans="1:7" ht="15">
      <c r="A570" s="97" t="s">
        <v>2248</v>
      </c>
      <c r="B570" s="96">
        <v>2</v>
      </c>
      <c r="C570" s="118">
        <v>0</v>
      </c>
      <c r="D570" s="96" t="s">
        <v>2076</v>
      </c>
      <c r="E570" s="96" t="b">
        <v>0</v>
      </c>
      <c r="F570" s="96" t="b">
        <v>0</v>
      </c>
      <c r="G570" s="96" t="b">
        <v>0</v>
      </c>
    </row>
    <row r="571" spans="1:7" ht="15">
      <c r="A571" s="97" t="s">
        <v>2249</v>
      </c>
      <c r="B571" s="96">
        <v>2</v>
      </c>
      <c r="C571" s="118">
        <v>0</v>
      </c>
      <c r="D571" s="96" t="s">
        <v>2076</v>
      </c>
      <c r="E571" s="96" t="b">
        <v>0</v>
      </c>
      <c r="F571" s="96" t="b">
        <v>0</v>
      </c>
      <c r="G571" s="96" t="b">
        <v>0</v>
      </c>
    </row>
    <row r="572" spans="1:7" ht="15">
      <c r="A572" s="97" t="s">
        <v>2133</v>
      </c>
      <c r="B572" s="96">
        <v>2</v>
      </c>
      <c r="C572" s="118">
        <v>0</v>
      </c>
      <c r="D572" s="96" t="s">
        <v>2076</v>
      </c>
      <c r="E572" s="96" t="b">
        <v>0</v>
      </c>
      <c r="F572" s="96" t="b">
        <v>0</v>
      </c>
      <c r="G572" s="96" t="b">
        <v>0</v>
      </c>
    </row>
    <row r="573" spans="1:7" ht="15">
      <c r="A573" s="97" t="s">
        <v>2134</v>
      </c>
      <c r="B573" s="96">
        <v>2</v>
      </c>
      <c r="C573" s="118">
        <v>0</v>
      </c>
      <c r="D573" s="96" t="s">
        <v>2076</v>
      </c>
      <c r="E573" s="96" t="b">
        <v>0</v>
      </c>
      <c r="F573" s="96" t="b">
        <v>0</v>
      </c>
      <c r="G573" s="96" t="b">
        <v>0</v>
      </c>
    </row>
    <row r="574" spans="1:7" ht="15">
      <c r="A574" s="97" t="s">
        <v>2135</v>
      </c>
      <c r="B574" s="96">
        <v>2</v>
      </c>
      <c r="C574" s="118">
        <v>0</v>
      </c>
      <c r="D574" s="96" t="s">
        <v>2076</v>
      </c>
      <c r="E574" s="96" t="b">
        <v>0</v>
      </c>
      <c r="F574" s="96" t="b">
        <v>0</v>
      </c>
      <c r="G574" s="96" t="b">
        <v>0</v>
      </c>
    </row>
    <row r="575" spans="1:7" ht="15">
      <c r="A575" s="97" t="s">
        <v>2136</v>
      </c>
      <c r="B575" s="96">
        <v>2</v>
      </c>
      <c r="C575" s="118">
        <v>0</v>
      </c>
      <c r="D575" s="96" t="s">
        <v>2076</v>
      </c>
      <c r="E575" s="96" t="b">
        <v>0</v>
      </c>
      <c r="F575" s="96" t="b">
        <v>0</v>
      </c>
      <c r="G575" s="96" t="b">
        <v>0</v>
      </c>
    </row>
    <row r="576" spans="1:7" ht="15">
      <c r="A576" s="97" t="s">
        <v>2137</v>
      </c>
      <c r="B576" s="96">
        <v>2</v>
      </c>
      <c r="C576" s="118">
        <v>0</v>
      </c>
      <c r="D576" s="96" t="s">
        <v>2076</v>
      </c>
      <c r="E576" s="96" t="b">
        <v>0</v>
      </c>
      <c r="F576" s="96" t="b">
        <v>0</v>
      </c>
      <c r="G576" s="96" t="b">
        <v>0</v>
      </c>
    </row>
    <row r="577" spans="1:7" ht="15">
      <c r="A577" s="97" t="s">
        <v>2191</v>
      </c>
      <c r="B577" s="96">
        <v>2</v>
      </c>
      <c r="C577" s="118">
        <v>0</v>
      </c>
      <c r="D577" s="96" t="s">
        <v>2076</v>
      </c>
      <c r="E577" s="96" t="b">
        <v>0</v>
      </c>
      <c r="F577" s="96" t="b">
        <v>0</v>
      </c>
      <c r="G577" s="96" t="b">
        <v>0</v>
      </c>
    </row>
    <row r="578" spans="1:7" ht="15">
      <c r="A578" s="97" t="s">
        <v>2250</v>
      </c>
      <c r="B578" s="96">
        <v>2</v>
      </c>
      <c r="C578" s="118">
        <v>0</v>
      </c>
      <c r="D578" s="96" t="s">
        <v>2076</v>
      </c>
      <c r="E578" s="96" t="b">
        <v>0</v>
      </c>
      <c r="F578" s="96" t="b">
        <v>0</v>
      </c>
      <c r="G578" s="96" t="b">
        <v>0</v>
      </c>
    </row>
    <row r="579" spans="1:7" ht="15">
      <c r="A579" s="97" t="s">
        <v>2192</v>
      </c>
      <c r="B579" s="96">
        <v>2</v>
      </c>
      <c r="C579" s="118">
        <v>0</v>
      </c>
      <c r="D579" s="96" t="s">
        <v>2076</v>
      </c>
      <c r="E579" s="96" t="b">
        <v>0</v>
      </c>
      <c r="F579" s="96" t="b">
        <v>0</v>
      </c>
      <c r="G579" s="96" t="b">
        <v>0</v>
      </c>
    </row>
    <row r="580" spans="1:7" ht="15">
      <c r="A580" s="97" t="s">
        <v>2251</v>
      </c>
      <c r="B580" s="96">
        <v>2</v>
      </c>
      <c r="C580" s="118">
        <v>0</v>
      </c>
      <c r="D580" s="96" t="s">
        <v>2076</v>
      </c>
      <c r="E580" s="96" t="b">
        <v>0</v>
      </c>
      <c r="F580" s="96" t="b">
        <v>0</v>
      </c>
      <c r="G580" s="96" t="b">
        <v>0</v>
      </c>
    </row>
    <row r="581" spans="1:7" ht="15">
      <c r="A581" s="97" t="s">
        <v>2252</v>
      </c>
      <c r="B581" s="96">
        <v>2</v>
      </c>
      <c r="C581" s="118">
        <v>0</v>
      </c>
      <c r="D581" s="96" t="s">
        <v>2076</v>
      </c>
      <c r="E581" s="96" t="b">
        <v>0</v>
      </c>
      <c r="F581" s="96" t="b">
        <v>0</v>
      </c>
      <c r="G581" s="96" t="b">
        <v>0</v>
      </c>
    </row>
    <row r="582" spans="1:7" ht="15">
      <c r="A582" s="97" t="s">
        <v>2253</v>
      </c>
      <c r="B582" s="96">
        <v>2</v>
      </c>
      <c r="C582" s="118">
        <v>0</v>
      </c>
      <c r="D582" s="96" t="s">
        <v>2076</v>
      </c>
      <c r="E582" s="96" t="b">
        <v>0</v>
      </c>
      <c r="F582" s="96" t="b">
        <v>0</v>
      </c>
      <c r="G582"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724A-A6A2-4A8F-8C8B-DEF2D6E681C7}">
  <dimension ref="A1:L4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2339</v>
      </c>
      <c r="B1" s="13" t="s">
        <v>2340</v>
      </c>
      <c r="C1" s="13" t="s">
        <v>2330</v>
      </c>
      <c r="D1" s="13" t="s">
        <v>2334</v>
      </c>
      <c r="E1" s="13" t="s">
        <v>2341</v>
      </c>
      <c r="F1" s="13" t="s">
        <v>144</v>
      </c>
      <c r="G1" s="13" t="s">
        <v>2342</v>
      </c>
      <c r="H1" s="13" t="s">
        <v>2343</v>
      </c>
      <c r="I1" s="13" t="s">
        <v>2344</v>
      </c>
      <c r="J1" s="13" t="s">
        <v>2345</v>
      </c>
      <c r="K1" s="13" t="s">
        <v>2346</v>
      </c>
      <c r="L1" s="13" t="s">
        <v>2347</v>
      </c>
    </row>
    <row r="2" spans="1:12" ht="15">
      <c r="A2" s="96" t="s">
        <v>2106</v>
      </c>
      <c r="B2" s="96" t="s">
        <v>2107</v>
      </c>
      <c r="C2" s="96">
        <v>147</v>
      </c>
      <c r="D2" s="118">
        <v>0.009832042694867217</v>
      </c>
      <c r="E2" s="118">
        <v>1.2163540126114851</v>
      </c>
      <c r="F2" s="96" t="s">
        <v>2335</v>
      </c>
      <c r="G2" s="96" t="b">
        <v>0</v>
      </c>
      <c r="H2" s="96" t="b">
        <v>0</v>
      </c>
      <c r="I2" s="96" t="b">
        <v>0</v>
      </c>
      <c r="J2" s="96" t="b">
        <v>0</v>
      </c>
      <c r="K2" s="96" t="b">
        <v>0</v>
      </c>
      <c r="L2" s="96" t="b">
        <v>0</v>
      </c>
    </row>
    <row r="3" spans="1:12" ht="15">
      <c r="A3" s="97" t="s">
        <v>2107</v>
      </c>
      <c r="B3" s="96" t="s">
        <v>2112</v>
      </c>
      <c r="C3" s="96">
        <v>34</v>
      </c>
      <c r="D3" s="118">
        <v>0.009008815036794033</v>
      </c>
      <c r="E3" s="118">
        <v>1.3052928628478686</v>
      </c>
      <c r="F3" s="96" t="s">
        <v>2335</v>
      </c>
      <c r="G3" s="96" t="b">
        <v>0</v>
      </c>
      <c r="H3" s="96" t="b">
        <v>0</v>
      </c>
      <c r="I3" s="96" t="b">
        <v>0</v>
      </c>
      <c r="J3" s="96" t="b">
        <v>0</v>
      </c>
      <c r="K3" s="96" t="b">
        <v>0</v>
      </c>
      <c r="L3" s="96" t="b">
        <v>0</v>
      </c>
    </row>
    <row r="4" spans="1:12" ht="15">
      <c r="A4" s="97" t="s">
        <v>2112</v>
      </c>
      <c r="B4" s="96" t="s">
        <v>2113</v>
      </c>
      <c r="C4" s="96">
        <v>34</v>
      </c>
      <c r="D4" s="118">
        <v>0.009008815036794033</v>
      </c>
      <c r="E4" s="118">
        <v>1.9411312805537895</v>
      </c>
      <c r="F4" s="96" t="s">
        <v>2335</v>
      </c>
      <c r="G4" s="96" t="b">
        <v>0</v>
      </c>
      <c r="H4" s="96" t="b">
        <v>0</v>
      </c>
      <c r="I4" s="96" t="b">
        <v>0</v>
      </c>
      <c r="J4" s="96" t="b">
        <v>0</v>
      </c>
      <c r="K4" s="96" t="b">
        <v>0</v>
      </c>
      <c r="L4" s="96" t="b">
        <v>0</v>
      </c>
    </row>
    <row r="5" spans="1:12" ht="15">
      <c r="A5" s="97" t="s">
        <v>2115</v>
      </c>
      <c r="B5" s="96" t="s">
        <v>2116</v>
      </c>
      <c r="C5" s="96">
        <v>33</v>
      </c>
      <c r="D5" s="118">
        <v>0.008877134700623169</v>
      </c>
      <c r="E5" s="118">
        <v>1.954096257718157</v>
      </c>
      <c r="F5" s="96" t="s">
        <v>2335</v>
      </c>
      <c r="G5" s="96" t="b">
        <v>0</v>
      </c>
      <c r="H5" s="96" t="b">
        <v>0</v>
      </c>
      <c r="I5" s="96" t="b">
        <v>0</v>
      </c>
      <c r="J5" s="96" t="b">
        <v>0</v>
      </c>
      <c r="K5" s="96" t="b">
        <v>0</v>
      </c>
      <c r="L5" s="96" t="b">
        <v>0</v>
      </c>
    </row>
    <row r="6" spans="1:12" ht="15">
      <c r="A6" s="97" t="s">
        <v>2116</v>
      </c>
      <c r="B6" s="96" t="s">
        <v>2117</v>
      </c>
      <c r="C6" s="96">
        <v>33</v>
      </c>
      <c r="D6" s="118">
        <v>0.008877134700623169</v>
      </c>
      <c r="E6" s="118">
        <v>1.954096257718157</v>
      </c>
      <c r="F6" s="96" t="s">
        <v>2335</v>
      </c>
      <c r="G6" s="96" t="b">
        <v>0</v>
      </c>
      <c r="H6" s="96" t="b">
        <v>0</v>
      </c>
      <c r="I6" s="96" t="b">
        <v>0</v>
      </c>
      <c r="J6" s="96" t="b">
        <v>0</v>
      </c>
      <c r="K6" s="96" t="b">
        <v>0</v>
      </c>
      <c r="L6" s="96" t="b">
        <v>0</v>
      </c>
    </row>
    <row r="7" spans="1:12" ht="15">
      <c r="A7" s="97" t="s">
        <v>2117</v>
      </c>
      <c r="B7" s="96" t="s">
        <v>2118</v>
      </c>
      <c r="C7" s="96">
        <v>33</v>
      </c>
      <c r="D7" s="118">
        <v>0.008877134700623169</v>
      </c>
      <c r="E7" s="118">
        <v>1.954096257718157</v>
      </c>
      <c r="F7" s="96" t="s">
        <v>2335</v>
      </c>
      <c r="G7" s="96" t="b">
        <v>0</v>
      </c>
      <c r="H7" s="96" t="b">
        <v>0</v>
      </c>
      <c r="I7" s="96" t="b">
        <v>0</v>
      </c>
      <c r="J7" s="96" t="b">
        <v>0</v>
      </c>
      <c r="K7" s="96" t="b">
        <v>0</v>
      </c>
      <c r="L7" s="96" t="b">
        <v>0</v>
      </c>
    </row>
    <row r="8" spans="1:12" ht="15">
      <c r="A8" s="97" t="s">
        <v>2118</v>
      </c>
      <c r="B8" s="96" t="s">
        <v>2119</v>
      </c>
      <c r="C8" s="96">
        <v>33</v>
      </c>
      <c r="D8" s="118">
        <v>0.008877134700623169</v>
      </c>
      <c r="E8" s="118">
        <v>1.954096257718157</v>
      </c>
      <c r="F8" s="96" t="s">
        <v>2335</v>
      </c>
      <c r="G8" s="96" t="b">
        <v>0</v>
      </c>
      <c r="H8" s="96" t="b">
        <v>0</v>
      </c>
      <c r="I8" s="96" t="b">
        <v>0</v>
      </c>
      <c r="J8" s="96" t="b">
        <v>0</v>
      </c>
      <c r="K8" s="96" t="b">
        <v>0</v>
      </c>
      <c r="L8" s="96" t="b">
        <v>0</v>
      </c>
    </row>
    <row r="9" spans="1:12" ht="15">
      <c r="A9" s="97" t="s">
        <v>2120</v>
      </c>
      <c r="B9" s="96" t="s">
        <v>2121</v>
      </c>
      <c r="C9" s="96">
        <v>33</v>
      </c>
      <c r="D9" s="118">
        <v>0.008877134700623169</v>
      </c>
      <c r="E9" s="118">
        <v>1.954096257718157</v>
      </c>
      <c r="F9" s="96" t="s">
        <v>2335</v>
      </c>
      <c r="G9" s="96" t="b">
        <v>0</v>
      </c>
      <c r="H9" s="96" t="b">
        <v>0</v>
      </c>
      <c r="I9" s="96" t="b">
        <v>0</v>
      </c>
      <c r="J9" s="96" t="b">
        <v>0</v>
      </c>
      <c r="K9" s="96" t="b">
        <v>0</v>
      </c>
      <c r="L9" s="96" t="b">
        <v>0</v>
      </c>
    </row>
    <row r="10" spans="1:12" ht="15">
      <c r="A10" s="97" t="s">
        <v>2121</v>
      </c>
      <c r="B10" s="96" t="s">
        <v>2122</v>
      </c>
      <c r="C10" s="96">
        <v>33</v>
      </c>
      <c r="D10" s="118">
        <v>0.008877134700623169</v>
      </c>
      <c r="E10" s="118">
        <v>1.954096257718157</v>
      </c>
      <c r="F10" s="96" t="s">
        <v>2335</v>
      </c>
      <c r="G10" s="96" t="b">
        <v>0</v>
      </c>
      <c r="H10" s="96" t="b">
        <v>0</v>
      </c>
      <c r="I10" s="96" t="b">
        <v>0</v>
      </c>
      <c r="J10" s="96" t="b">
        <v>0</v>
      </c>
      <c r="K10" s="96" t="b">
        <v>0</v>
      </c>
      <c r="L10" s="96" t="b">
        <v>0</v>
      </c>
    </row>
    <row r="11" spans="1:12" ht="15">
      <c r="A11" s="97" t="s">
        <v>2123</v>
      </c>
      <c r="B11" s="96" t="s">
        <v>2114</v>
      </c>
      <c r="C11" s="96">
        <v>33</v>
      </c>
      <c r="D11" s="118">
        <v>0.008877134700623169</v>
      </c>
      <c r="E11" s="118">
        <v>1.9411312805537895</v>
      </c>
      <c r="F11" s="96" t="s">
        <v>2335</v>
      </c>
      <c r="G11" s="96" t="b">
        <v>0</v>
      </c>
      <c r="H11" s="96" t="b">
        <v>0</v>
      </c>
      <c r="I11" s="96" t="b">
        <v>0</v>
      </c>
      <c r="J11" s="96" t="b">
        <v>0</v>
      </c>
      <c r="K11" s="96" t="b">
        <v>0</v>
      </c>
      <c r="L11" s="96" t="b">
        <v>0</v>
      </c>
    </row>
    <row r="12" spans="1:12" ht="15">
      <c r="A12" s="97" t="s">
        <v>2107</v>
      </c>
      <c r="B12" s="96" t="s">
        <v>2109</v>
      </c>
      <c r="C12" s="96">
        <v>32</v>
      </c>
      <c r="D12" s="118">
        <v>0.00874135391157595</v>
      </c>
      <c r="E12" s="118">
        <v>1.1572303273924307</v>
      </c>
      <c r="F12" s="96" t="s">
        <v>2335</v>
      </c>
      <c r="G12" s="96" t="b">
        <v>0</v>
      </c>
      <c r="H12" s="96" t="b">
        <v>0</v>
      </c>
      <c r="I12" s="96" t="b">
        <v>0</v>
      </c>
      <c r="J12" s="96" t="b">
        <v>0</v>
      </c>
      <c r="K12" s="96" t="b">
        <v>0</v>
      </c>
      <c r="L12" s="96" t="b">
        <v>0</v>
      </c>
    </row>
    <row r="13" spans="1:12" ht="15">
      <c r="A13" s="97" t="s">
        <v>2109</v>
      </c>
      <c r="B13" s="96" t="s">
        <v>2110</v>
      </c>
      <c r="C13" s="96">
        <v>32</v>
      </c>
      <c r="D13" s="118">
        <v>0.00874135391157595</v>
      </c>
      <c r="E13" s="118">
        <v>1.7804796177903313</v>
      </c>
      <c r="F13" s="96" t="s">
        <v>2335</v>
      </c>
      <c r="G13" s="96" t="b">
        <v>0</v>
      </c>
      <c r="H13" s="96" t="b">
        <v>0</v>
      </c>
      <c r="I13" s="96" t="b">
        <v>0</v>
      </c>
      <c r="J13" s="96" t="b">
        <v>0</v>
      </c>
      <c r="K13" s="96" t="b">
        <v>0</v>
      </c>
      <c r="L13" s="96" t="b">
        <v>0</v>
      </c>
    </row>
    <row r="14" spans="1:12" ht="15">
      <c r="A14" s="97" t="s">
        <v>2110</v>
      </c>
      <c r="B14" s="96" t="s">
        <v>2125</v>
      </c>
      <c r="C14" s="96">
        <v>32</v>
      </c>
      <c r="D14" s="118">
        <v>0.00874135391157595</v>
      </c>
      <c r="E14" s="118">
        <v>1.928542153245769</v>
      </c>
      <c r="F14" s="96" t="s">
        <v>2335</v>
      </c>
      <c r="G14" s="96" t="b">
        <v>0</v>
      </c>
      <c r="H14" s="96" t="b">
        <v>0</v>
      </c>
      <c r="I14" s="96" t="b">
        <v>0</v>
      </c>
      <c r="J14" s="96" t="b">
        <v>0</v>
      </c>
      <c r="K14" s="96" t="b">
        <v>0</v>
      </c>
      <c r="L14" s="96" t="b">
        <v>0</v>
      </c>
    </row>
    <row r="15" spans="1:12" ht="15">
      <c r="A15" s="97" t="s">
        <v>2125</v>
      </c>
      <c r="B15" s="96" t="s">
        <v>2126</v>
      </c>
      <c r="C15" s="96">
        <v>32</v>
      </c>
      <c r="D15" s="118">
        <v>0.00874135391157595</v>
      </c>
      <c r="E15" s="118">
        <v>1.9674602192761388</v>
      </c>
      <c r="F15" s="96" t="s">
        <v>2335</v>
      </c>
      <c r="G15" s="96" t="b">
        <v>0</v>
      </c>
      <c r="H15" s="96" t="b">
        <v>0</v>
      </c>
      <c r="I15" s="96" t="b">
        <v>0</v>
      </c>
      <c r="J15" s="96" t="b">
        <v>0</v>
      </c>
      <c r="K15" s="96" t="b">
        <v>0</v>
      </c>
      <c r="L15" s="96" t="b">
        <v>0</v>
      </c>
    </row>
    <row r="16" spans="1:12" ht="15">
      <c r="A16" s="97" t="s">
        <v>2126</v>
      </c>
      <c r="B16" s="96" t="s">
        <v>2127</v>
      </c>
      <c r="C16" s="96">
        <v>32</v>
      </c>
      <c r="D16" s="118">
        <v>0.00874135391157595</v>
      </c>
      <c r="E16" s="118">
        <v>1.9674602192761388</v>
      </c>
      <c r="F16" s="96" t="s">
        <v>2335</v>
      </c>
      <c r="G16" s="96" t="b">
        <v>0</v>
      </c>
      <c r="H16" s="96" t="b">
        <v>0</v>
      </c>
      <c r="I16" s="96" t="b">
        <v>0</v>
      </c>
      <c r="J16" s="96" t="b">
        <v>0</v>
      </c>
      <c r="K16" s="96" t="b">
        <v>0</v>
      </c>
      <c r="L16" s="96" t="b">
        <v>0</v>
      </c>
    </row>
    <row r="17" spans="1:12" ht="15">
      <c r="A17" s="97" t="s">
        <v>2127</v>
      </c>
      <c r="B17" s="96" t="s">
        <v>2128</v>
      </c>
      <c r="C17" s="96">
        <v>32</v>
      </c>
      <c r="D17" s="118">
        <v>0.00874135391157595</v>
      </c>
      <c r="E17" s="118">
        <v>1.9674602192761388</v>
      </c>
      <c r="F17" s="96" t="s">
        <v>2335</v>
      </c>
      <c r="G17" s="96" t="b">
        <v>0</v>
      </c>
      <c r="H17" s="96" t="b">
        <v>0</v>
      </c>
      <c r="I17" s="96" t="b">
        <v>0</v>
      </c>
      <c r="J17" s="96" t="b">
        <v>0</v>
      </c>
      <c r="K17" s="96" t="b">
        <v>0</v>
      </c>
      <c r="L17" s="96" t="b">
        <v>0</v>
      </c>
    </row>
    <row r="18" spans="1:12" ht="15">
      <c r="A18" s="97" t="s">
        <v>2128</v>
      </c>
      <c r="B18" s="96" t="s">
        <v>2115</v>
      </c>
      <c r="C18" s="96">
        <v>32</v>
      </c>
      <c r="D18" s="118">
        <v>0.00874135391157595</v>
      </c>
      <c r="E18" s="118">
        <v>1.954096257718157</v>
      </c>
      <c r="F18" s="96" t="s">
        <v>2335</v>
      </c>
      <c r="G18" s="96" t="b">
        <v>0</v>
      </c>
      <c r="H18" s="96" t="b">
        <v>0</v>
      </c>
      <c r="I18" s="96" t="b">
        <v>0</v>
      </c>
      <c r="J18" s="96" t="b">
        <v>0</v>
      </c>
      <c r="K18" s="96" t="b">
        <v>0</v>
      </c>
      <c r="L18" s="96" t="b">
        <v>0</v>
      </c>
    </row>
    <row r="19" spans="1:12" ht="15">
      <c r="A19" s="97" t="s">
        <v>2119</v>
      </c>
      <c r="B19" s="96" t="s">
        <v>2129</v>
      </c>
      <c r="C19" s="96">
        <v>32</v>
      </c>
      <c r="D19" s="118">
        <v>0.00874135391157595</v>
      </c>
      <c r="E19" s="118">
        <v>1.954096257718157</v>
      </c>
      <c r="F19" s="96" t="s">
        <v>2335</v>
      </c>
      <c r="G19" s="96" t="b">
        <v>0</v>
      </c>
      <c r="H19" s="96" t="b">
        <v>0</v>
      </c>
      <c r="I19" s="96" t="b">
        <v>0</v>
      </c>
      <c r="J19" s="96" t="b">
        <v>0</v>
      </c>
      <c r="K19" s="96" t="b">
        <v>0</v>
      </c>
      <c r="L19" s="96" t="b">
        <v>0</v>
      </c>
    </row>
    <row r="20" spans="1:12" ht="15">
      <c r="A20" s="97" t="s">
        <v>2129</v>
      </c>
      <c r="B20" s="96" t="s">
        <v>2120</v>
      </c>
      <c r="C20" s="96">
        <v>32</v>
      </c>
      <c r="D20" s="118">
        <v>0.00874135391157595</v>
      </c>
      <c r="E20" s="118">
        <v>1.954096257718157</v>
      </c>
      <c r="F20" s="96" t="s">
        <v>2335</v>
      </c>
      <c r="G20" s="96" t="b">
        <v>0</v>
      </c>
      <c r="H20" s="96" t="b">
        <v>0</v>
      </c>
      <c r="I20" s="96" t="b">
        <v>0</v>
      </c>
      <c r="J20" s="96" t="b">
        <v>0</v>
      </c>
      <c r="K20" s="96" t="b">
        <v>0</v>
      </c>
      <c r="L20" s="96" t="b">
        <v>0</v>
      </c>
    </row>
    <row r="21" spans="1:12" ht="15">
      <c r="A21" s="97" t="s">
        <v>2122</v>
      </c>
      <c r="B21" s="96" t="s">
        <v>2130</v>
      </c>
      <c r="C21" s="96">
        <v>32</v>
      </c>
      <c r="D21" s="118">
        <v>0.00874135391157595</v>
      </c>
      <c r="E21" s="118">
        <v>1.954096257718157</v>
      </c>
      <c r="F21" s="96" t="s">
        <v>2335</v>
      </c>
      <c r="G21" s="96" t="b">
        <v>0</v>
      </c>
      <c r="H21" s="96" t="b">
        <v>0</v>
      </c>
      <c r="I21" s="96" t="b">
        <v>0</v>
      </c>
      <c r="J21" s="96" t="b">
        <v>0</v>
      </c>
      <c r="K21" s="96" t="b">
        <v>0</v>
      </c>
      <c r="L21" s="96" t="b">
        <v>0</v>
      </c>
    </row>
    <row r="22" spans="1:12" ht="15">
      <c r="A22" s="97" t="s">
        <v>2130</v>
      </c>
      <c r="B22" s="96" t="s">
        <v>2131</v>
      </c>
      <c r="C22" s="96">
        <v>32</v>
      </c>
      <c r="D22" s="118">
        <v>0.00874135391157595</v>
      </c>
      <c r="E22" s="118">
        <v>1.9674602192761388</v>
      </c>
      <c r="F22" s="96" t="s">
        <v>2335</v>
      </c>
      <c r="G22" s="96" t="b">
        <v>0</v>
      </c>
      <c r="H22" s="96" t="b">
        <v>0</v>
      </c>
      <c r="I22" s="96" t="b">
        <v>0</v>
      </c>
      <c r="J22" s="96" t="b">
        <v>0</v>
      </c>
      <c r="K22" s="96" t="b">
        <v>0</v>
      </c>
      <c r="L22" s="96" t="b">
        <v>0</v>
      </c>
    </row>
    <row r="23" spans="1:12" ht="15">
      <c r="A23" s="97" t="s">
        <v>2131</v>
      </c>
      <c r="B23" s="96" t="s">
        <v>2123</v>
      </c>
      <c r="C23" s="96">
        <v>32</v>
      </c>
      <c r="D23" s="118">
        <v>0.00874135391157595</v>
      </c>
      <c r="E23" s="118">
        <v>1.954096257718157</v>
      </c>
      <c r="F23" s="96" t="s">
        <v>2335</v>
      </c>
      <c r="G23" s="96" t="b">
        <v>0</v>
      </c>
      <c r="H23" s="96" t="b">
        <v>0</v>
      </c>
      <c r="I23" s="96" t="b">
        <v>0</v>
      </c>
      <c r="J23" s="96" t="b">
        <v>0</v>
      </c>
      <c r="K23" s="96" t="b">
        <v>0</v>
      </c>
      <c r="L23" s="96" t="b">
        <v>0</v>
      </c>
    </row>
    <row r="24" spans="1:12" ht="15">
      <c r="A24" s="97" t="s">
        <v>2133</v>
      </c>
      <c r="B24" s="96" t="s">
        <v>2134</v>
      </c>
      <c r="C24" s="96">
        <v>31</v>
      </c>
      <c r="D24" s="118">
        <v>0.008601344489395162</v>
      </c>
      <c r="E24" s="118">
        <v>1.981248503761772</v>
      </c>
      <c r="F24" s="96" t="s">
        <v>2335</v>
      </c>
      <c r="G24" s="96" t="b">
        <v>0</v>
      </c>
      <c r="H24" s="96" t="b">
        <v>0</v>
      </c>
      <c r="I24" s="96" t="b">
        <v>0</v>
      </c>
      <c r="J24" s="96" t="b">
        <v>0</v>
      </c>
      <c r="K24" s="96" t="b">
        <v>0</v>
      </c>
      <c r="L24" s="96" t="b">
        <v>0</v>
      </c>
    </row>
    <row r="25" spans="1:12" ht="15">
      <c r="A25" s="97" t="s">
        <v>2134</v>
      </c>
      <c r="B25" s="96" t="s">
        <v>2135</v>
      </c>
      <c r="C25" s="96">
        <v>31</v>
      </c>
      <c r="D25" s="118">
        <v>0.008601344489395162</v>
      </c>
      <c r="E25" s="118">
        <v>1.981248503761772</v>
      </c>
      <c r="F25" s="96" t="s">
        <v>2335</v>
      </c>
      <c r="G25" s="96" t="b">
        <v>0</v>
      </c>
      <c r="H25" s="96" t="b">
        <v>0</v>
      </c>
      <c r="I25" s="96" t="b">
        <v>0</v>
      </c>
      <c r="J25" s="96" t="b">
        <v>0</v>
      </c>
      <c r="K25" s="96" t="b">
        <v>0</v>
      </c>
      <c r="L25" s="96" t="b">
        <v>0</v>
      </c>
    </row>
    <row r="26" spans="1:12" ht="15">
      <c r="A26" s="97" t="s">
        <v>2135</v>
      </c>
      <c r="B26" s="96" t="s">
        <v>2136</v>
      </c>
      <c r="C26" s="96">
        <v>31</v>
      </c>
      <c r="D26" s="118">
        <v>0.008601344489395162</v>
      </c>
      <c r="E26" s="118">
        <v>1.981248503761772</v>
      </c>
      <c r="F26" s="96" t="s">
        <v>2335</v>
      </c>
      <c r="G26" s="96" t="b">
        <v>0</v>
      </c>
      <c r="H26" s="96" t="b">
        <v>0</v>
      </c>
      <c r="I26" s="96" t="b">
        <v>0</v>
      </c>
      <c r="J26" s="96" t="b">
        <v>0</v>
      </c>
      <c r="K26" s="96" t="b">
        <v>0</v>
      </c>
      <c r="L26" s="96" t="b">
        <v>0</v>
      </c>
    </row>
    <row r="27" spans="1:12" ht="15">
      <c r="A27" s="97" t="s">
        <v>2136</v>
      </c>
      <c r="B27" s="96" t="s">
        <v>2137</v>
      </c>
      <c r="C27" s="96">
        <v>31</v>
      </c>
      <c r="D27" s="118">
        <v>0.008601344489395162</v>
      </c>
      <c r="E27" s="118">
        <v>1.981248503761772</v>
      </c>
      <c r="F27" s="96" t="s">
        <v>2335</v>
      </c>
      <c r="G27" s="96" t="b">
        <v>0</v>
      </c>
      <c r="H27" s="96" t="b">
        <v>0</v>
      </c>
      <c r="I27" s="96" t="b">
        <v>0</v>
      </c>
      <c r="J27" s="96" t="b">
        <v>0</v>
      </c>
      <c r="K27" s="96" t="b">
        <v>0</v>
      </c>
      <c r="L27" s="96" t="b">
        <v>0</v>
      </c>
    </row>
    <row r="28" spans="1:12" ht="15">
      <c r="A28" s="97" t="s">
        <v>2108</v>
      </c>
      <c r="B28" s="96" t="s">
        <v>2140</v>
      </c>
      <c r="C28" s="96">
        <v>29</v>
      </c>
      <c r="D28" s="118">
        <v>0.008308084827290172</v>
      </c>
      <c r="E28" s="118">
        <v>1.7402164377730762</v>
      </c>
      <c r="F28" s="96" t="s">
        <v>2335</v>
      </c>
      <c r="G28" s="96" t="b">
        <v>0</v>
      </c>
      <c r="H28" s="96" t="b">
        <v>0</v>
      </c>
      <c r="I28" s="96" t="b">
        <v>0</v>
      </c>
      <c r="J28" s="96" t="b">
        <v>0</v>
      </c>
      <c r="K28" s="96" t="b">
        <v>0</v>
      </c>
      <c r="L28" s="96" t="b">
        <v>0</v>
      </c>
    </row>
    <row r="29" spans="1:12" ht="15">
      <c r="A29" s="97" t="s">
        <v>2140</v>
      </c>
      <c r="B29" s="96" t="s">
        <v>2124</v>
      </c>
      <c r="C29" s="96">
        <v>29</v>
      </c>
      <c r="D29" s="118">
        <v>0.008308084827290172</v>
      </c>
      <c r="E29" s="118">
        <v>1.9954889428763822</v>
      </c>
      <c r="F29" s="96" t="s">
        <v>2335</v>
      </c>
      <c r="G29" s="96" t="b">
        <v>0</v>
      </c>
      <c r="H29" s="96" t="b">
        <v>0</v>
      </c>
      <c r="I29" s="96" t="b">
        <v>0</v>
      </c>
      <c r="J29" s="96" t="b">
        <v>0</v>
      </c>
      <c r="K29" s="96" t="b">
        <v>0</v>
      </c>
      <c r="L29" s="96" t="b">
        <v>0</v>
      </c>
    </row>
    <row r="30" spans="1:12" ht="15">
      <c r="A30" s="97" t="s">
        <v>2124</v>
      </c>
      <c r="B30" s="96" t="s">
        <v>2132</v>
      </c>
      <c r="C30" s="96">
        <v>29</v>
      </c>
      <c r="D30" s="118">
        <v>0.008308084827290172</v>
      </c>
      <c r="E30" s="118">
        <v>1.938496523340822</v>
      </c>
      <c r="F30" s="96" t="s">
        <v>2335</v>
      </c>
      <c r="G30" s="96" t="b">
        <v>0</v>
      </c>
      <c r="H30" s="96" t="b">
        <v>0</v>
      </c>
      <c r="I30" s="96" t="b">
        <v>0</v>
      </c>
      <c r="J30" s="96" t="b">
        <v>0</v>
      </c>
      <c r="K30" s="96" t="b">
        <v>0</v>
      </c>
      <c r="L30" s="96" t="b">
        <v>0</v>
      </c>
    </row>
    <row r="31" spans="1:12" ht="15">
      <c r="A31" s="97" t="s">
        <v>2132</v>
      </c>
      <c r="B31" s="96" t="s">
        <v>2141</v>
      </c>
      <c r="C31" s="96">
        <v>29</v>
      </c>
      <c r="D31" s="118">
        <v>0.008308084827290172</v>
      </c>
      <c r="E31" s="118">
        <v>1.981248503761772</v>
      </c>
      <c r="F31" s="96" t="s">
        <v>2335</v>
      </c>
      <c r="G31" s="96" t="b">
        <v>0</v>
      </c>
      <c r="H31" s="96" t="b">
        <v>0</v>
      </c>
      <c r="I31" s="96" t="b">
        <v>0</v>
      </c>
      <c r="J31" s="96" t="b">
        <v>0</v>
      </c>
      <c r="K31" s="96" t="b">
        <v>0</v>
      </c>
      <c r="L31" s="96" t="b">
        <v>0</v>
      </c>
    </row>
    <row r="32" spans="1:12" ht="15">
      <c r="A32" s="97" t="s">
        <v>2141</v>
      </c>
      <c r="B32" s="96" t="s">
        <v>2142</v>
      </c>
      <c r="C32" s="96">
        <v>29</v>
      </c>
      <c r="D32" s="118">
        <v>0.008308084827290172</v>
      </c>
      <c r="E32" s="118">
        <v>2.0102121996970883</v>
      </c>
      <c r="F32" s="96" t="s">
        <v>2335</v>
      </c>
      <c r="G32" s="96" t="b">
        <v>0</v>
      </c>
      <c r="H32" s="96" t="b">
        <v>0</v>
      </c>
      <c r="I32" s="96" t="b">
        <v>0</v>
      </c>
      <c r="J32" s="96" t="b">
        <v>0</v>
      </c>
      <c r="K32" s="96" t="b">
        <v>0</v>
      </c>
      <c r="L32" s="96" t="b">
        <v>0</v>
      </c>
    </row>
    <row r="33" spans="1:12" ht="15">
      <c r="A33" s="97" t="s">
        <v>2142</v>
      </c>
      <c r="B33" s="96" t="s">
        <v>2143</v>
      </c>
      <c r="C33" s="96">
        <v>29</v>
      </c>
      <c r="D33" s="118">
        <v>0.008308084827290172</v>
      </c>
      <c r="E33" s="118">
        <v>2.0102121996970883</v>
      </c>
      <c r="F33" s="96" t="s">
        <v>2335</v>
      </c>
      <c r="G33" s="96" t="b">
        <v>0</v>
      </c>
      <c r="H33" s="96" t="b">
        <v>0</v>
      </c>
      <c r="I33" s="96" t="b">
        <v>0</v>
      </c>
      <c r="J33" s="96" t="b">
        <v>0</v>
      </c>
      <c r="K33" s="96" t="b">
        <v>0</v>
      </c>
      <c r="L33" s="96" t="b">
        <v>0</v>
      </c>
    </row>
    <row r="34" spans="1:12" ht="15">
      <c r="A34" s="97" t="s">
        <v>2143</v>
      </c>
      <c r="B34" s="96" t="s">
        <v>2144</v>
      </c>
      <c r="C34" s="96">
        <v>29</v>
      </c>
      <c r="D34" s="118">
        <v>0.008308084827290172</v>
      </c>
      <c r="E34" s="118">
        <v>2.0102121996970883</v>
      </c>
      <c r="F34" s="96" t="s">
        <v>2335</v>
      </c>
      <c r="G34" s="96" t="b">
        <v>0</v>
      </c>
      <c r="H34" s="96" t="b">
        <v>0</v>
      </c>
      <c r="I34" s="96" t="b">
        <v>0</v>
      </c>
      <c r="J34" s="96" t="b">
        <v>0</v>
      </c>
      <c r="K34" s="96" t="b">
        <v>0</v>
      </c>
      <c r="L34" s="96" t="b">
        <v>0</v>
      </c>
    </row>
    <row r="35" spans="1:12" ht="15">
      <c r="A35" s="97" t="s">
        <v>2144</v>
      </c>
      <c r="B35" s="96" t="s">
        <v>2133</v>
      </c>
      <c r="C35" s="96">
        <v>29</v>
      </c>
      <c r="D35" s="118">
        <v>0.008308084827290172</v>
      </c>
      <c r="E35" s="118">
        <v>1.981248503761772</v>
      </c>
      <c r="F35" s="96" t="s">
        <v>2335</v>
      </c>
      <c r="G35" s="96" t="b">
        <v>0</v>
      </c>
      <c r="H35" s="96" t="b">
        <v>0</v>
      </c>
      <c r="I35" s="96" t="b">
        <v>0</v>
      </c>
      <c r="J35" s="96" t="b">
        <v>0</v>
      </c>
      <c r="K35" s="96" t="b">
        <v>0</v>
      </c>
      <c r="L35" s="96" t="b">
        <v>0</v>
      </c>
    </row>
    <row r="36" spans="1:12" ht="15">
      <c r="A36" s="97" t="s">
        <v>2137</v>
      </c>
      <c r="B36" s="96" t="s">
        <v>2138</v>
      </c>
      <c r="C36" s="96">
        <v>29</v>
      </c>
      <c r="D36" s="118">
        <v>0.008308084827290172</v>
      </c>
      <c r="E36" s="118">
        <v>1.9665252469410657</v>
      </c>
      <c r="F36" s="96" t="s">
        <v>2335</v>
      </c>
      <c r="G36" s="96" t="b">
        <v>0</v>
      </c>
      <c r="H36" s="96" t="b">
        <v>0</v>
      </c>
      <c r="I36" s="96" t="b">
        <v>0</v>
      </c>
      <c r="J36" s="96" t="b">
        <v>0</v>
      </c>
      <c r="K36" s="96" t="b">
        <v>0</v>
      </c>
      <c r="L36" s="96" t="b">
        <v>0</v>
      </c>
    </row>
    <row r="37" spans="1:12" ht="15">
      <c r="A37" s="97" t="s">
        <v>2138</v>
      </c>
      <c r="B37" s="96" t="s">
        <v>2145</v>
      </c>
      <c r="C37" s="96">
        <v>29</v>
      </c>
      <c r="D37" s="118">
        <v>0.008308084827290172</v>
      </c>
      <c r="E37" s="118">
        <v>1.9954889428763822</v>
      </c>
      <c r="F37" s="96" t="s">
        <v>2335</v>
      </c>
      <c r="G37" s="96" t="b">
        <v>0</v>
      </c>
      <c r="H37" s="96" t="b">
        <v>0</v>
      </c>
      <c r="I37" s="96" t="b">
        <v>0</v>
      </c>
      <c r="J37" s="96" t="b">
        <v>0</v>
      </c>
      <c r="K37" s="96" t="b">
        <v>0</v>
      </c>
      <c r="L37" s="96" t="b">
        <v>0</v>
      </c>
    </row>
    <row r="38" spans="1:12" ht="15">
      <c r="A38" s="97" t="s">
        <v>2145</v>
      </c>
      <c r="B38" s="96" t="s">
        <v>2139</v>
      </c>
      <c r="C38" s="96">
        <v>29</v>
      </c>
      <c r="D38" s="118">
        <v>0.008308084827290172</v>
      </c>
      <c r="E38" s="118">
        <v>1.9954889428763822</v>
      </c>
      <c r="F38" s="96" t="s">
        <v>2335</v>
      </c>
      <c r="G38" s="96" t="b">
        <v>0</v>
      </c>
      <c r="H38" s="96" t="b">
        <v>0</v>
      </c>
      <c r="I38" s="96" t="b">
        <v>0</v>
      </c>
      <c r="J38" s="96" t="b">
        <v>0</v>
      </c>
      <c r="K38" s="96" t="b">
        <v>0</v>
      </c>
      <c r="L38" s="96" t="b">
        <v>0</v>
      </c>
    </row>
    <row r="39" spans="1:12" ht="15">
      <c r="A39" s="97" t="s">
        <v>2139</v>
      </c>
      <c r="B39" s="96" t="s">
        <v>2146</v>
      </c>
      <c r="C39" s="96">
        <v>29</v>
      </c>
      <c r="D39" s="118">
        <v>0.008308084827290172</v>
      </c>
      <c r="E39" s="118">
        <v>1.9954889428763822</v>
      </c>
      <c r="F39" s="96" t="s">
        <v>2335</v>
      </c>
      <c r="G39" s="96" t="b">
        <v>0</v>
      </c>
      <c r="H39" s="96" t="b">
        <v>0</v>
      </c>
      <c r="I39" s="96" t="b">
        <v>0</v>
      </c>
      <c r="J39" s="96" t="b">
        <v>0</v>
      </c>
      <c r="K39" s="96" t="b">
        <v>0</v>
      </c>
      <c r="L39" s="96" t="b">
        <v>0</v>
      </c>
    </row>
    <row r="40" spans="1:12" ht="15">
      <c r="A40" s="97" t="s">
        <v>2146</v>
      </c>
      <c r="B40" s="96" t="s">
        <v>2111</v>
      </c>
      <c r="C40" s="96">
        <v>29</v>
      </c>
      <c r="D40" s="118">
        <v>0.008308084827290172</v>
      </c>
      <c r="E40" s="118">
        <v>1.9411312805537895</v>
      </c>
      <c r="F40" s="96" t="s">
        <v>2335</v>
      </c>
      <c r="G40" s="96" t="b">
        <v>0</v>
      </c>
      <c r="H40" s="96" t="b">
        <v>0</v>
      </c>
      <c r="I40" s="96" t="b">
        <v>0</v>
      </c>
      <c r="J40" s="96" t="b">
        <v>0</v>
      </c>
      <c r="K40" s="96" t="b">
        <v>0</v>
      </c>
      <c r="L40" s="96" t="b">
        <v>0</v>
      </c>
    </row>
    <row r="41" spans="1:12" ht="15">
      <c r="A41" s="97" t="s">
        <v>2111</v>
      </c>
      <c r="B41" s="96" t="s">
        <v>2147</v>
      </c>
      <c r="C41" s="96">
        <v>29</v>
      </c>
      <c r="D41" s="118">
        <v>0.008308084827290172</v>
      </c>
      <c r="E41" s="118">
        <v>1.9411312805537895</v>
      </c>
      <c r="F41" s="96" t="s">
        <v>2335</v>
      </c>
      <c r="G41" s="96" t="b">
        <v>0</v>
      </c>
      <c r="H41" s="96" t="b">
        <v>0</v>
      </c>
      <c r="I41" s="96" t="b">
        <v>0</v>
      </c>
      <c r="J41" s="96" t="b">
        <v>0</v>
      </c>
      <c r="K41" s="96" t="b">
        <v>0</v>
      </c>
      <c r="L41" s="96" t="b">
        <v>0</v>
      </c>
    </row>
    <row r="42" spans="1:12" ht="15">
      <c r="A42" s="97" t="s">
        <v>2107</v>
      </c>
      <c r="B42" s="96" t="s">
        <v>2150</v>
      </c>
      <c r="C42" s="96">
        <v>22</v>
      </c>
      <c r="D42" s="118">
        <v>0.00712494578148242</v>
      </c>
      <c r="E42" s="118">
        <v>1.3052928628478684</v>
      </c>
      <c r="F42" s="96" t="s">
        <v>2335</v>
      </c>
      <c r="G42" s="96" t="b">
        <v>0</v>
      </c>
      <c r="H42" s="96" t="b">
        <v>0</v>
      </c>
      <c r="I42" s="96" t="b">
        <v>0</v>
      </c>
      <c r="J42" s="96" t="b">
        <v>0</v>
      </c>
      <c r="K42" s="96" t="b">
        <v>0</v>
      </c>
      <c r="L42" s="96" t="b">
        <v>0</v>
      </c>
    </row>
    <row r="43" spans="1:12" ht="15">
      <c r="A43" s="97" t="s">
        <v>2150</v>
      </c>
      <c r="B43" s="96" t="s">
        <v>2151</v>
      </c>
      <c r="C43" s="96">
        <v>22</v>
      </c>
      <c r="D43" s="118">
        <v>0.00712494578148242</v>
      </c>
      <c r="E43" s="118">
        <v>2.1301875167738387</v>
      </c>
      <c r="F43" s="96" t="s">
        <v>2335</v>
      </c>
      <c r="G43" s="96" t="b">
        <v>0</v>
      </c>
      <c r="H43" s="96" t="b">
        <v>0</v>
      </c>
      <c r="I43" s="96" t="b">
        <v>0</v>
      </c>
      <c r="J43" s="96" t="b">
        <v>0</v>
      </c>
      <c r="K43" s="96" t="b">
        <v>0</v>
      </c>
      <c r="L43" s="96" t="b">
        <v>0</v>
      </c>
    </row>
    <row r="44" spans="1:12" ht="15">
      <c r="A44" s="97" t="s">
        <v>2151</v>
      </c>
      <c r="B44" s="96" t="s">
        <v>2152</v>
      </c>
      <c r="C44" s="96">
        <v>22</v>
      </c>
      <c r="D44" s="118">
        <v>0.00712494578148242</v>
      </c>
      <c r="E44" s="118">
        <v>2.1301875167738387</v>
      </c>
      <c r="F44" s="96" t="s">
        <v>2335</v>
      </c>
      <c r="G44" s="96" t="b">
        <v>0</v>
      </c>
      <c r="H44" s="96" t="b">
        <v>0</v>
      </c>
      <c r="I44" s="96" t="b">
        <v>0</v>
      </c>
      <c r="J44" s="96" t="b">
        <v>0</v>
      </c>
      <c r="K44" s="96" t="b">
        <v>0</v>
      </c>
      <c r="L44" s="96" t="b">
        <v>0</v>
      </c>
    </row>
    <row r="45" spans="1:12" ht="15">
      <c r="A45" s="97" t="s">
        <v>2152</v>
      </c>
      <c r="B45" s="96" t="s">
        <v>2149</v>
      </c>
      <c r="C45" s="96">
        <v>22</v>
      </c>
      <c r="D45" s="118">
        <v>0.00712494578148242</v>
      </c>
      <c r="E45" s="118">
        <v>2.1108823615784518</v>
      </c>
      <c r="F45" s="96" t="s">
        <v>2335</v>
      </c>
      <c r="G45" s="96" t="b">
        <v>0</v>
      </c>
      <c r="H45" s="96" t="b">
        <v>0</v>
      </c>
      <c r="I45" s="96" t="b">
        <v>0</v>
      </c>
      <c r="J45" s="96" t="b">
        <v>0</v>
      </c>
      <c r="K45" s="96" t="b">
        <v>0</v>
      </c>
      <c r="L45" s="96" t="b">
        <v>0</v>
      </c>
    </row>
    <row r="46" spans="1:12" ht="15">
      <c r="A46" s="97" t="s">
        <v>2149</v>
      </c>
      <c r="B46" s="96" t="s">
        <v>2153</v>
      </c>
      <c r="C46" s="96">
        <v>22</v>
      </c>
      <c r="D46" s="118">
        <v>0.00712494578148242</v>
      </c>
      <c r="E46" s="118">
        <v>2.1108823615784518</v>
      </c>
      <c r="F46" s="96" t="s">
        <v>2335</v>
      </c>
      <c r="G46" s="96" t="b">
        <v>0</v>
      </c>
      <c r="H46" s="96" t="b">
        <v>0</v>
      </c>
      <c r="I46" s="96" t="b">
        <v>0</v>
      </c>
      <c r="J46" s="96" t="b">
        <v>0</v>
      </c>
      <c r="K46" s="96" t="b">
        <v>0</v>
      </c>
      <c r="L46" s="96" t="b">
        <v>0</v>
      </c>
    </row>
    <row r="47" spans="1:12" ht="15">
      <c r="A47" s="97" t="s">
        <v>2153</v>
      </c>
      <c r="B47" s="96" t="s">
        <v>2148</v>
      </c>
      <c r="C47" s="96">
        <v>22</v>
      </c>
      <c r="D47" s="118">
        <v>0.00712494578148242</v>
      </c>
      <c r="E47" s="118">
        <v>2.0576368496252266</v>
      </c>
      <c r="F47" s="96" t="s">
        <v>2335</v>
      </c>
      <c r="G47" s="96" t="b">
        <v>0</v>
      </c>
      <c r="H47" s="96" t="b">
        <v>0</v>
      </c>
      <c r="I47" s="96" t="b">
        <v>0</v>
      </c>
      <c r="J47" s="96" t="b">
        <v>0</v>
      </c>
      <c r="K47" s="96" t="b">
        <v>0</v>
      </c>
      <c r="L47" s="96" t="b">
        <v>0</v>
      </c>
    </row>
    <row r="48" spans="1:12" ht="15">
      <c r="A48" s="97" t="s">
        <v>2148</v>
      </c>
      <c r="B48" s="96" t="s">
        <v>2154</v>
      </c>
      <c r="C48" s="96">
        <v>22</v>
      </c>
      <c r="D48" s="118">
        <v>0.00712494578148242</v>
      </c>
      <c r="E48" s="118">
        <v>2.0576368496252266</v>
      </c>
      <c r="F48" s="96" t="s">
        <v>2335</v>
      </c>
      <c r="G48" s="96" t="b">
        <v>0</v>
      </c>
      <c r="H48" s="96" t="b">
        <v>0</v>
      </c>
      <c r="I48" s="96" t="b">
        <v>0</v>
      </c>
      <c r="J48" s="96" t="b">
        <v>0</v>
      </c>
      <c r="K48" s="96" t="b">
        <v>0</v>
      </c>
      <c r="L48" s="96" t="b">
        <v>0</v>
      </c>
    </row>
    <row r="49" spans="1:12" ht="15">
      <c r="A49" s="97" t="s">
        <v>2154</v>
      </c>
      <c r="B49" s="96" t="s">
        <v>2155</v>
      </c>
      <c r="C49" s="96">
        <v>22</v>
      </c>
      <c r="D49" s="118">
        <v>0.00712494578148242</v>
      </c>
      <c r="E49" s="118">
        <v>2.1301875167738387</v>
      </c>
      <c r="F49" s="96" t="s">
        <v>2335</v>
      </c>
      <c r="G49" s="96" t="b">
        <v>0</v>
      </c>
      <c r="H49" s="96" t="b">
        <v>0</v>
      </c>
      <c r="I49" s="96" t="b">
        <v>0</v>
      </c>
      <c r="J49" s="96" t="b">
        <v>0</v>
      </c>
      <c r="K49" s="96" t="b">
        <v>0</v>
      </c>
      <c r="L49" s="96" t="b">
        <v>0</v>
      </c>
    </row>
    <row r="50" spans="1:12" ht="15">
      <c r="A50" s="97" t="s">
        <v>2108</v>
      </c>
      <c r="B50" s="96" t="s">
        <v>2159</v>
      </c>
      <c r="C50" s="96">
        <v>11</v>
      </c>
      <c r="D50" s="118">
        <v>0.004594039854075725</v>
      </c>
      <c r="E50" s="118">
        <v>1.740216437773076</v>
      </c>
      <c r="F50" s="96" t="s">
        <v>2335</v>
      </c>
      <c r="G50" s="96" t="b">
        <v>0</v>
      </c>
      <c r="H50" s="96" t="b">
        <v>0</v>
      </c>
      <c r="I50" s="96" t="b">
        <v>0</v>
      </c>
      <c r="J50" s="96" t="b">
        <v>0</v>
      </c>
      <c r="K50" s="96" t="b">
        <v>0</v>
      </c>
      <c r="L50" s="96" t="b">
        <v>0</v>
      </c>
    </row>
    <row r="51" spans="1:12" ht="15">
      <c r="A51" s="97" t="s">
        <v>2159</v>
      </c>
      <c r="B51" s="96" t="s">
        <v>2160</v>
      </c>
      <c r="C51" s="96">
        <v>11</v>
      </c>
      <c r="D51" s="118">
        <v>0.004594039854075725</v>
      </c>
      <c r="E51" s="118">
        <v>2.4312175124378195</v>
      </c>
      <c r="F51" s="96" t="s">
        <v>2335</v>
      </c>
      <c r="G51" s="96" t="b">
        <v>0</v>
      </c>
      <c r="H51" s="96" t="b">
        <v>0</v>
      </c>
      <c r="I51" s="96" t="b">
        <v>0</v>
      </c>
      <c r="J51" s="96" t="b">
        <v>0</v>
      </c>
      <c r="K51" s="96" t="b">
        <v>0</v>
      </c>
      <c r="L51" s="96" t="b">
        <v>0</v>
      </c>
    </row>
    <row r="52" spans="1:12" ht="15">
      <c r="A52" s="97" t="s">
        <v>2160</v>
      </c>
      <c r="B52" s="96" t="s">
        <v>2109</v>
      </c>
      <c r="C52" s="96">
        <v>11</v>
      </c>
      <c r="D52" s="118">
        <v>0.004594039854075725</v>
      </c>
      <c r="E52" s="118">
        <v>1.8193976838207009</v>
      </c>
      <c r="F52" s="96" t="s">
        <v>2335</v>
      </c>
      <c r="G52" s="96" t="b">
        <v>0</v>
      </c>
      <c r="H52" s="96" t="b">
        <v>0</v>
      </c>
      <c r="I52" s="96" t="b">
        <v>0</v>
      </c>
      <c r="J52" s="96" t="b">
        <v>0</v>
      </c>
      <c r="K52" s="96" t="b">
        <v>0</v>
      </c>
      <c r="L52" s="96" t="b">
        <v>0</v>
      </c>
    </row>
    <row r="53" spans="1:12" ht="15">
      <c r="A53" s="97" t="s">
        <v>2109</v>
      </c>
      <c r="B53" s="96" t="s">
        <v>2161</v>
      </c>
      <c r="C53" s="96">
        <v>11</v>
      </c>
      <c r="D53" s="118">
        <v>0.004594039854075725</v>
      </c>
      <c r="E53" s="118">
        <v>1.8193976838207009</v>
      </c>
      <c r="F53" s="96" t="s">
        <v>2335</v>
      </c>
      <c r="G53" s="96" t="b">
        <v>0</v>
      </c>
      <c r="H53" s="96" t="b">
        <v>0</v>
      </c>
      <c r="I53" s="96" t="b">
        <v>0</v>
      </c>
      <c r="J53" s="96" t="b">
        <v>0</v>
      </c>
      <c r="K53" s="96" t="b">
        <v>0</v>
      </c>
      <c r="L53" s="96" t="b">
        <v>0</v>
      </c>
    </row>
    <row r="54" spans="1:12" ht="15">
      <c r="A54" s="97" t="s">
        <v>2161</v>
      </c>
      <c r="B54" s="96" t="s">
        <v>2158</v>
      </c>
      <c r="C54" s="96">
        <v>11</v>
      </c>
      <c r="D54" s="118">
        <v>0.004594039854075725</v>
      </c>
      <c r="E54" s="118">
        <v>2.3934289515484197</v>
      </c>
      <c r="F54" s="96" t="s">
        <v>2335</v>
      </c>
      <c r="G54" s="96" t="b">
        <v>0</v>
      </c>
      <c r="H54" s="96" t="b">
        <v>0</v>
      </c>
      <c r="I54" s="96" t="b">
        <v>0</v>
      </c>
      <c r="J54" s="96" t="b">
        <v>0</v>
      </c>
      <c r="K54" s="96" t="b">
        <v>0</v>
      </c>
      <c r="L54" s="96" t="b">
        <v>0</v>
      </c>
    </row>
    <row r="55" spans="1:12" ht="15">
      <c r="A55" s="97" t="s">
        <v>2158</v>
      </c>
      <c r="B55" s="96" t="s">
        <v>2162</v>
      </c>
      <c r="C55" s="96">
        <v>11</v>
      </c>
      <c r="D55" s="118">
        <v>0.004594039854075725</v>
      </c>
      <c r="E55" s="118">
        <v>2.3934289515484197</v>
      </c>
      <c r="F55" s="96" t="s">
        <v>2335</v>
      </c>
      <c r="G55" s="96" t="b">
        <v>0</v>
      </c>
      <c r="H55" s="96" t="b">
        <v>0</v>
      </c>
      <c r="I55" s="96" t="b">
        <v>0</v>
      </c>
      <c r="J55" s="96" t="b">
        <v>0</v>
      </c>
      <c r="K55" s="96" t="b">
        <v>0</v>
      </c>
      <c r="L55" s="96" t="b">
        <v>0</v>
      </c>
    </row>
    <row r="56" spans="1:12" ht="15">
      <c r="A56" s="97" t="s">
        <v>2162</v>
      </c>
      <c r="B56" s="96" t="s">
        <v>2163</v>
      </c>
      <c r="C56" s="96">
        <v>11</v>
      </c>
      <c r="D56" s="118">
        <v>0.004594039854075725</v>
      </c>
      <c r="E56" s="118">
        <v>2.4312175124378195</v>
      </c>
      <c r="F56" s="96" t="s">
        <v>2335</v>
      </c>
      <c r="G56" s="96" t="b">
        <v>0</v>
      </c>
      <c r="H56" s="96" t="b">
        <v>0</v>
      </c>
      <c r="I56" s="96" t="b">
        <v>0</v>
      </c>
      <c r="J56" s="96" t="b">
        <v>0</v>
      </c>
      <c r="K56" s="96" t="b">
        <v>0</v>
      </c>
      <c r="L56" s="96" t="b">
        <v>0</v>
      </c>
    </row>
    <row r="57" spans="1:12" ht="15">
      <c r="A57" s="97" t="s">
        <v>2163</v>
      </c>
      <c r="B57" s="96" t="s">
        <v>2164</v>
      </c>
      <c r="C57" s="96">
        <v>11</v>
      </c>
      <c r="D57" s="118">
        <v>0.004594039854075725</v>
      </c>
      <c r="E57" s="118">
        <v>2.4312175124378195</v>
      </c>
      <c r="F57" s="96" t="s">
        <v>2335</v>
      </c>
      <c r="G57" s="96" t="b">
        <v>0</v>
      </c>
      <c r="H57" s="96" t="b">
        <v>0</v>
      </c>
      <c r="I57" s="96" t="b">
        <v>0</v>
      </c>
      <c r="J57" s="96" t="b">
        <v>0</v>
      </c>
      <c r="K57" s="96" t="b">
        <v>0</v>
      </c>
      <c r="L57" s="96" t="b">
        <v>0</v>
      </c>
    </row>
    <row r="58" spans="1:12" ht="15">
      <c r="A58" s="97" t="s">
        <v>2164</v>
      </c>
      <c r="B58" s="96" t="s">
        <v>2106</v>
      </c>
      <c r="C58" s="96">
        <v>11</v>
      </c>
      <c r="D58" s="118">
        <v>0.004594039854075725</v>
      </c>
      <c r="E58" s="118">
        <v>1.694458947212401</v>
      </c>
      <c r="F58" s="96" t="s">
        <v>2335</v>
      </c>
      <c r="G58" s="96" t="b">
        <v>0</v>
      </c>
      <c r="H58" s="96" t="b">
        <v>0</v>
      </c>
      <c r="I58" s="96" t="b">
        <v>0</v>
      </c>
      <c r="J58" s="96" t="b">
        <v>0</v>
      </c>
      <c r="K58" s="96" t="b">
        <v>0</v>
      </c>
      <c r="L58" s="96" t="b">
        <v>0</v>
      </c>
    </row>
    <row r="59" spans="1:12" ht="15">
      <c r="A59" s="97" t="s">
        <v>2106</v>
      </c>
      <c r="B59" s="96" t="s">
        <v>2165</v>
      </c>
      <c r="C59" s="96">
        <v>11</v>
      </c>
      <c r="D59" s="118">
        <v>0.004594039854075725</v>
      </c>
      <c r="E59" s="118">
        <v>1.2421612762177707</v>
      </c>
      <c r="F59" s="96" t="s">
        <v>2335</v>
      </c>
      <c r="G59" s="96" t="b">
        <v>0</v>
      </c>
      <c r="H59" s="96" t="b">
        <v>0</v>
      </c>
      <c r="I59" s="96" t="b">
        <v>0</v>
      </c>
      <c r="J59" s="96" t="b">
        <v>0</v>
      </c>
      <c r="K59" s="96" t="b">
        <v>0</v>
      </c>
      <c r="L59" s="96" t="b">
        <v>0</v>
      </c>
    </row>
    <row r="60" spans="1:12" ht="15">
      <c r="A60" s="97" t="s">
        <v>2165</v>
      </c>
      <c r="B60" s="96" t="s">
        <v>2166</v>
      </c>
      <c r="C60" s="96">
        <v>11</v>
      </c>
      <c r="D60" s="118">
        <v>0.004594039854075725</v>
      </c>
      <c r="E60" s="118">
        <v>2.4312175124378195</v>
      </c>
      <c r="F60" s="96" t="s">
        <v>2335</v>
      </c>
      <c r="G60" s="96" t="b">
        <v>0</v>
      </c>
      <c r="H60" s="96" t="b">
        <v>0</v>
      </c>
      <c r="I60" s="96" t="b">
        <v>0</v>
      </c>
      <c r="J60" s="96" t="b">
        <v>0</v>
      </c>
      <c r="K60" s="96" t="b">
        <v>0</v>
      </c>
      <c r="L60" s="96" t="b">
        <v>0</v>
      </c>
    </row>
    <row r="61" spans="1:12" ht="15">
      <c r="A61" s="97" t="s">
        <v>2166</v>
      </c>
      <c r="B61" s="96" t="s">
        <v>2167</v>
      </c>
      <c r="C61" s="96">
        <v>11</v>
      </c>
      <c r="D61" s="118">
        <v>0.004594039854075725</v>
      </c>
      <c r="E61" s="118">
        <v>2.4312175124378195</v>
      </c>
      <c r="F61" s="96" t="s">
        <v>2335</v>
      </c>
      <c r="G61" s="96" t="b">
        <v>0</v>
      </c>
      <c r="H61" s="96" t="b">
        <v>0</v>
      </c>
      <c r="I61" s="96" t="b">
        <v>0</v>
      </c>
      <c r="J61" s="96" t="b">
        <v>0</v>
      </c>
      <c r="K61" s="96" t="b">
        <v>0</v>
      </c>
      <c r="L61" s="96" t="b">
        <v>0</v>
      </c>
    </row>
    <row r="62" spans="1:12" ht="15">
      <c r="A62" s="97" t="s">
        <v>2167</v>
      </c>
      <c r="B62" s="96" t="s">
        <v>2168</v>
      </c>
      <c r="C62" s="96">
        <v>11</v>
      </c>
      <c r="D62" s="118">
        <v>0.004594039854075725</v>
      </c>
      <c r="E62" s="118">
        <v>2.4312175124378195</v>
      </c>
      <c r="F62" s="96" t="s">
        <v>2335</v>
      </c>
      <c r="G62" s="96" t="b">
        <v>0</v>
      </c>
      <c r="H62" s="96" t="b">
        <v>0</v>
      </c>
      <c r="I62" s="96" t="b">
        <v>0</v>
      </c>
      <c r="J62" s="96" t="b">
        <v>0</v>
      </c>
      <c r="K62" s="96" t="b">
        <v>0</v>
      </c>
      <c r="L62" s="96" t="b">
        <v>0</v>
      </c>
    </row>
    <row r="63" spans="1:12" ht="15">
      <c r="A63" s="97" t="s">
        <v>2168</v>
      </c>
      <c r="B63" s="96" t="s">
        <v>2169</v>
      </c>
      <c r="C63" s="96">
        <v>11</v>
      </c>
      <c r="D63" s="118">
        <v>0.004594039854075725</v>
      </c>
      <c r="E63" s="118">
        <v>2.4312175124378195</v>
      </c>
      <c r="F63" s="96" t="s">
        <v>2335</v>
      </c>
      <c r="G63" s="96" t="b">
        <v>0</v>
      </c>
      <c r="H63" s="96" t="b">
        <v>0</v>
      </c>
      <c r="I63" s="96" t="b">
        <v>0</v>
      </c>
      <c r="J63" s="96" t="b">
        <v>0</v>
      </c>
      <c r="K63" s="96" t="b">
        <v>0</v>
      </c>
      <c r="L63" s="96" t="b">
        <v>0</v>
      </c>
    </row>
    <row r="64" spans="1:12" ht="15">
      <c r="A64" s="97" t="s">
        <v>2169</v>
      </c>
      <c r="B64" s="96" t="s">
        <v>2170</v>
      </c>
      <c r="C64" s="96">
        <v>11</v>
      </c>
      <c r="D64" s="118">
        <v>0.004594039854075725</v>
      </c>
      <c r="E64" s="118">
        <v>2.4312175124378195</v>
      </c>
      <c r="F64" s="96" t="s">
        <v>2335</v>
      </c>
      <c r="G64" s="96" t="b">
        <v>0</v>
      </c>
      <c r="H64" s="96" t="b">
        <v>0</v>
      </c>
      <c r="I64" s="96" t="b">
        <v>0</v>
      </c>
      <c r="J64" s="96" t="b">
        <v>0</v>
      </c>
      <c r="K64" s="96" t="b">
        <v>0</v>
      </c>
      <c r="L64" s="96" t="b">
        <v>0</v>
      </c>
    </row>
    <row r="65" spans="1:12" ht="15">
      <c r="A65" s="97" t="s">
        <v>2170</v>
      </c>
      <c r="B65" s="96" t="s">
        <v>2171</v>
      </c>
      <c r="C65" s="96">
        <v>11</v>
      </c>
      <c r="D65" s="118">
        <v>0.004594039854075725</v>
      </c>
      <c r="E65" s="118">
        <v>2.4312175124378195</v>
      </c>
      <c r="F65" s="96" t="s">
        <v>2335</v>
      </c>
      <c r="G65" s="96" t="b">
        <v>0</v>
      </c>
      <c r="H65" s="96" t="b">
        <v>0</v>
      </c>
      <c r="I65" s="96" t="b">
        <v>0</v>
      </c>
      <c r="J65" s="96" t="b">
        <v>0</v>
      </c>
      <c r="K65" s="96" t="b">
        <v>0</v>
      </c>
      <c r="L65" s="96" t="b">
        <v>0</v>
      </c>
    </row>
    <row r="66" spans="1:12" ht="15">
      <c r="A66" s="97" t="s">
        <v>2171</v>
      </c>
      <c r="B66" s="96" t="s">
        <v>2172</v>
      </c>
      <c r="C66" s="96">
        <v>11</v>
      </c>
      <c r="D66" s="118">
        <v>0.004594039854075725</v>
      </c>
      <c r="E66" s="118">
        <v>2.4312175124378195</v>
      </c>
      <c r="F66" s="96" t="s">
        <v>2335</v>
      </c>
      <c r="G66" s="96" t="b">
        <v>0</v>
      </c>
      <c r="H66" s="96" t="b">
        <v>0</v>
      </c>
      <c r="I66" s="96" t="b">
        <v>0</v>
      </c>
      <c r="J66" s="96" t="b">
        <v>0</v>
      </c>
      <c r="K66" s="96" t="b">
        <v>0</v>
      </c>
      <c r="L66" s="96" t="b">
        <v>0</v>
      </c>
    </row>
    <row r="67" spans="1:12" ht="15">
      <c r="A67" s="97" t="s">
        <v>2172</v>
      </c>
      <c r="B67" s="96" t="s">
        <v>2173</v>
      </c>
      <c r="C67" s="96">
        <v>11</v>
      </c>
      <c r="D67" s="118">
        <v>0.004594039854075725</v>
      </c>
      <c r="E67" s="118">
        <v>2.4312175124378195</v>
      </c>
      <c r="F67" s="96" t="s">
        <v>2335</v>
      </c>
      <c r="G67" s="96" t="b">
        <v>0</v>
      </c>
      <c r="H67" s="96" t="b">
        <v>0</v>
      </c>
      <c r="I67" s="96" t="b">
        <v>0</v>
      </c>
      <c r="J67" s="96" t="b">
        <v>0</v>
      </c>
      <c r="K67" s="96" t="b">
        <v>0</v>
      </c>
      <c r="L67" s="96" t="b">
        <v>0</v>
      </c>
    </row>
    <row r="68" spans="1:12" ht="15">
      <c r="A68" s="97" t="s">
        <v>2173</v>
      </c>
      <c r="B68" s="96" t="s">
        <v>2156</v>
      </c>
      <c r="C68" s="96">
        <v>11</v>
      </c>
      <c r="D68" s="118">
        <v>0.004594039854075725</v>
      </c>
      <c r="E68" s="118">
        <v>2.358666845289208</v>
      </c>
      <c r="F68" s="96" t="s">
        <v>2335</v>
      </c>
      <c r="G68" s="96" t="b">
        <v>0</v>
      </c>
      <c r="H68" s="96" t="b">
        <v>0</v>
      </c>
      <c r="I68" s="96" t="b">
        <v>0</v>
      </c>
      <c r="J68" s="96" t="b">
        <v>0</v>
      </c>
      <c r="K68" s="96" t="b">
        <v>0</v>
      </c>
      <c r="L68" s="96" t="b">
        <v>0</v>
      </c>
    </row>
    <row r="69" spans="1:12" ht="15">
      <c r="A69" s="97" t="s">
        <v>2156</v>
      </c>
      <c r="B69" s="96" t="s">
        <v>2174</v>
      </c>
      <c r="C69" s="96">
        <v>11</v>
      </c>
      <c r="D69" s="118">
        <v>0.004594039854075725</v>
      </c>
      <c r="E69" s="118">
        <v>2.358666845289208</v>
      </c>
      <c r="F69" s="96" t="s">
        <v>2335</v>
      </c>
      <c r="G69" s="96" t="b">
        <v>0</v>
      </c>
      <c r="H69" s="96" t="b">
        <v>0</v>
      </c>
      <c r="I69" s="96" t="b">
        <v>0</v>
      </c>
      <c r="J69" s="96" t="b">
        <v>0</v>
      </c>
      <c r="K69" s="96" t="b">
        <v>0</v>
      </c>
      <c r="L69" s="96" t="b">
        <v>0</v>
      </c>
    </row>
    <row r="70" spans="1:12" ht="15">
      <c r="A70" s="97" t="s">
        <v>2107</v>
      </c>
      <c r="B70" s="96" t="s">
        <v>2176</v>
      </c>
      <c r="C70" s="96">
        <v>9</v>
      </c>
      <c r="D70" s="118">
        <v>0.004003106167669748</v>
      </c>
      <c r="E70" s="118">
        <v>1.3052928628478684</v>
      </c>
      <c r="F70" s="96" t="s">
        <v>2335</v>
      </c>
      <c r="G70" s="96" t="b">
        <v>0</v>
      </c>
      <c r="H70" s="96" t="b">
        <v>0</v>
      </c>
      <c r="I70" s="96" t="b">
        <v>0</v>
      </c>
      <c r="J70" s="96" t="b">
        <v>0</v>
      </c>
      <c r="K70" s="96" t="b">
        <v>0</v>
      </c>
      <c r="L70" s="96" t="b">
        <v>0</v>
      </c>
    </row>
    <row r="71" spans="1:12" ht="15">
      <c r="A71" s="97" t="s">
        <v>2176</v>
      </c>
      <c r="B71" s="96" t="s">
        <v>2175</v>
      </c>
      <c r="C71" s="96">
        <v>9</v>
      </c>
      <c r="D71" s="118">
        <v>0.004003106167669748</v>
      </c>
      <c r="E71" s="118">
        <v>2.472610197596045</v>
      </c>
      <c r="F71" s="96" t="s">
        <v>2335</v>
      </c>
      <c r="G71" s="96" t="b">
        <v>0</v>
      </c>
      <c r="H71" s="96" t="b">
        <v>0</v>
      </c>
      <c r="I71" s="96" t="b">
        <v>0</v>
      </c>
      <c r="J71" s="96" t="b">
        <v>0</v>
      </c>
      <c r="K71" s="96" t="b">
        <v>0</v>
      </c>
      <c r="L71" s="96" t="b">
        <v>0</v>
      </c>
    </row>
    <row r="72" spans="1:12" ht="15">
      <c r="A72" s="97" t="s">
        <v>2175</v>
      </c>
      <c r="B72" s="96" t="s">
        <v>2157</v>
      </c>
      <c r="C72" s="96">
        <v>9</v>
      </c>
      <c r="D72" s="118">
        <v>0.004003106167669748</v>
      </c>
      <c r="E72" s="118">
        <v>2.347671460987745</v>
      </c>
      <c r="F72" s="96" t="s">
        <v>2335</v>
      </c>
      <c r="G72" s="96" t="b">
        <v>0</v>
      </c>
      <c r="H72" s="96" t="b">
        <v>0</v>
      </c>
      <c r="I72" s="96" t="b">
        <v>0</v>
      </c>
      <c r="J72" s="96" t="b">
        <v>0</v>
      </c>
      <c r="K72" s="96" t="b">
        <v>0</v>
      </c>
      <c r="L72" s="96" t="b">
        <v>0</v>
      </c>
    </row>
    <row r="73" spans="1:12" ht="15">
      <c r="A73" s="97" t="s">
        <v>2157</v>
      </c>
      <c r="B73" s="96" t="s">
        <v>2177</v>
      </c>
      <c r="C73" s="96">
        <v>9</v>
      </c>
      <c r="D73" s="118">
        <v>0.004003106167669748</v>
      </c>
      <c r="E73" s="118">
        <v>2.3934289515484197</v>
      </c>
      <c r="F73" s="96" t="s">
        <v>2335</v>
      </c>
      <c r="G73" s="96" t="b">
        <v>0</v>
      </c>
      <c r="H73" s="96" t="b">
        <v>0</v>
      </c>
      <c r="I73" s="96" t="b">
        <v>0</v>
      </c>
      <c r="J73" s="96" t="b">
        <v>0</v>
      </c>
      <c r="K73" s="96" t="b">
        <v>0</v>
      </c>
      <c r="L73" s="96" t="b">
        <v>0</v>
      </c>
    </row>
    <row r="74" spans="1:12" ht="15">
      <c r="A74" s="97" t="s">
        <v>2177</v>
      </c>
      <c r="B74" s="96" t="s">
        <v>2178</v>
      </c>
      <c r="C74" s="96">
        <v>9</v>
      </c>
      <c r="D74" s="118">
        <v>0.004003106167669748</v>
      </c>
      <c r="E74" s="118">
        <v>2.5183676881567196</v>
      </c>
      <c r="F74" s="96" t="s">
        <v>2335</v>
      </c>
      <c r="G74" s="96" t="b">
        <v>0</v>
      </c>
      <c r="H74" s="96" t="b">
        <v>0</v>
      </c>
      <c r="I74" s="96" t="b">
        <v>0</v>
      </c>
      <c r="J74" s="96" t="b">
        <v>0</v>
      </c>
      <c r="K74" s="96" t="b">
        <v>0</v>
      </c>
      <c r="L74" s="96" t="b">
        <v>0</v>
      </c>
    </row>
    <row r="75" spans="1:12" ht="15">
      <c r="A75" s="97" t="s">
        <v>2178</v>
      </c>
      <c r="B75" s="96" t="s">
        <v>2179</v>
      </c>
      <c r="C75" s="96">
        <v>9</v>
      </c>
      <c r="D75" s="118">
        <v>0.004003106167669748</v>
      </c>
      <c r="E75" s="118">
        <v>2.5183676881567196</v>
      </c>
      <c r="F75" s="96" t="s">
        <v>2335</v>
      </c>
      <c r="G75" s="96" t="b">
        <v>0</v>
      </c>
      <c r="H75" s="96" t="b">
        <v>0</v>
      </c>
      <c r="I75" s="96" t="b">
        <v>0</v>
      </c>
      <c r="J75" s="96" t="b">
        <v>0</v>
      </c>
      <c r="K75" s="96" t="b">
        <v>0</v>
      </c>
      <c r="L75" s="96" t="b">
        <v>0</v>
      </c>
    </row>
    <row r="76" spans="1:12" ht="15">
      <c r="A76" s="97" t="s">
        <v>444</v>
      </c>
      <c r="B76" s="96" t="s">
        <v>2106</v>
      </c>
      <c r="C76" s="96">
        <v>3</v>
      </c>
      <c r="D76" s="118">
        <v>0.001780276437247856</v>
      </c>
      <c r="E76" s="118">
        <v>1.694458947212401</v>
      </c>
      <c r="F76" s="96" t="s">
        <v>2335</v>
      </c>
      <c r="G76" s="96" t="b">
        <v>0</v>
      </c>
      <c r="H76" s="96" t="b">
        <v>0</v>
      </c>
      <c r="I76" s="96" t="b">
        <v>0</v>
      </c>
      <c r="J76" s="96" t="b">
        <v>0</v>
      </c>
      <c r="K76" s="96" t="b">
        <v>0</v>
      </c>
      <c r="L76" s="96" t="b">
        <v>0</v>
      </c>
    </row>
    <row r="77" spans="1:12" ht="15">
      <c r="A77" s="97" t="s">
        <v>384</v>
      </c>
      <c r="B77" s="96" t="s">
        <v>2106</v>
      </c>
      <c r="C77" s="96">
        <v>3</v>
      </c>
      <c r="D77" s="118">
        <v>0.001780276437247856</v>
      </c>
      <c r="E77" s="118">
        <v>1.0923989558844387</v>
      </c>
      <c r="F77" s="96" t="s">
        <v>2335</v>
      </c>
      <c r="G77" s="96" t="b">
        <v>0</v>
      </c>
      <c r="H77" s="96" t="b">
        <v>0</v>
      </c>
      <c r="I77" s="96" t="b">
        <v>0</v>
      </c>
      <c r="J77" s="96" t="b">
        <v>0</v>
      </c>
      <c r="K77" s="96" t="b">
        <v>0</v>
      </c>
      <c r="L77" s="96" t="b">
        <v>0</v>
      </c>
    </row>
    <row r="78" spans="1:12" ht="15">
      <c r="A78" s="97" t="s">
        <v>2107</v>
      </c>
      <c r="B78" s="96" t="s">
        <v>2195</v>
      </c>
      <c r="C78" s="96">
        <v>3</v>
      </c>
      <c r="D78" s="118">
        <v>0.001780276437247856</v>
      </c>
      <c r="E78" s="118">
        <v>1.3052928628478684</v>
      </c>
      <c r="F78" s="96" t="s">
        <v>2335</v>
      </c>
      <c r="G78" s="96" t="b">
        <v>0</v>
      </c>
      <c r="H78" s="96" t="b">
        <v>0</v>
      </c>
      <c r="I78" s="96" t="b">
        <v>0</v>
      </c>
      <c r="J78" s="96" t="b">
        <v>0</v>
      </c>
      <c r="K78" s="96" t="b">
        <v>0</v>
      </c>
      <c r="L78" s="96" t="b">
        <v>0</v>
      </c>
    </row>
    <row r="79" spans="1:12" ht="15">
      <c r="A79" s="97" t="s">
        <v>2195</v>
      </c>
      <c r="B79" s="96" t="s">
        <v>2196</v>
      </c>
      <c r="C79" s="96">
        <v>3</v>
      </c>
      <c r="D79" s="118">
        <v>0.001780276437247856</v>
      </c>
      <c r="E79" s="118">
        <v>2.9954889428763822</v>
      </c>
      <c r="F79" s="96" t="s">
        <v>2335</v>
      </c>
      <c r="G79" s="96" t="b">
        <v>0</v>
      </c>
      <c r="H79" s="96" t="b">
        <v>0</v>
      </c>
      <c r="I79" s="96" t="b">
        <v>0</v>
      </c>
      <c r="J79" s="96" t="b">
        <v>0</v>
      </c>
      <c r="K79" s="96" t="b">
        <v>0</v>
      </c>
      <c r="L79" s="96" t="b">
        <v>0</v>
      </c>
    </row>
    <row r="80" spans="1:12" ht="15">
      <c r="A80" s="97" t="s">
        <v>2196</v>
      </c>
      <c r="B80" s="96" t="s">
        <v>2197</v>
      </c>
      <c r="C80" s="96">
        <v>3</v>
      </c>
      <c r="D80" s="118">
        <v>0.001780276437247856</v>
      </c>
      <c r="E80" s="118">
        <v>2.9954889428763822</v>
      </c>
      <c r="F80" s="96" t="s">
        <v>2335</v>
      </c>
      <c r="G80" s="96" t="b">
        <v>0</v>
      </c>
      <c r="H80" s="96" t="b">
        <v>0</v>
      </c>
      <c r="I80" s="96" t="b">
        <v>0</v>
      </c>
      <c r="J80" s="96" t="b">
        <v>0</v>
      </c>
      <c r="K80" s="96" t="b">
        <v>0</v>
      </c>
      <c r="L80" s="96" t="b">
        <v>0</v>
      </c>
    </row>
    <row r="81" spans="1:12" ht="15">
      <c r="A81" s="97" t="s">
        <v>2197</v>
      </c>
      <c r="B81" s="96" t="s">
        <v>2198</v>
      </c>
      <c r="C81" s="96">
        <v>3</v>
      </c>
      <c r="D81" s="118">
        <v>0.001780276437247856</v>
      </c>
      <c r="E81" s="118">
        <v>2.9954889428763822</v>
      </c>
      <c r="F81" s="96" t="s">
        <v>2335</v>
      </c>
      <c r="G81" s="96" t="b">
        <v>0</v>
      </c>
      <c r="H81" s="96" t="b">
        <v>0</v>
      </c>
      <c r="I81" s="96" t="b">
        <v>0</v>
      </c>
      <c r="J81" s="96" t="b">
        <v>0</v>
      </c>
      <c r="K81" s="96" t="b">
        <v>0</v>
      </c>
      <c r="L81" s="96" t="b">
        <v>0</v>
      </c>
    </row>
    <row r="82" spans="1:12" ht="15">
      <c r="A82" s="97" t="s">
        <v>2198</v>
      </c>
      <c r="B82" s="96" t="s">
        <v>2199</v>
      </c>
      <c r="C82" s="96">
        <v>3</v>
      </c>
      <c r="D82" s="118">
        <v>0.001780276437247856</v>
      </c>
      <c r="E82" s="118">
        <v>2.9954889428763822</v>
      </c>
      <c r="F82" s="96" t="s">
        <v>2335</v>
      </c>
      <c r="G82" s="96" t="b">
        <v>0</v>
      </c>
      <c r="H82" s="96" t="b">
        <v>0</v>
      </c>
      <c r="I82" s="96" t="b">
        <v>0</v>
      </c>
      <c r="J82" s="96" t="b">
        <v>0</v>
      </c>
      <c r="K82" s="96" t="b">
        <v>0</v>
      </c>
      <c r="L82" s="96" t="b">
        <v>0</v>
      </c>
    </row>
    <row r="83" spans="1:12" ht="15">
      <c r="A83" s="97" t="s">
        <v>2199</v>
      </c>
      <c r="B83" s="96" t="s">
        <v>2200</v>
      </c>
      <c r="C83" s="96">
        <v>3</v>
      </c>
      <c r="D83" s="118">
        <v>0.001780276437247856</v>
      </c>
      <c r="E83" s="118">
        <v>2.9954889428763822</v>
      </c>
      <c r="F83" s="96" t="s">
        <v>2335</v>
      </c>
      <c r="G83" s="96" t="b">
        <v>0</v>
      </c>
      <c r="H83" s="96" t="b">
        <v>0</v>
      </c>
      <c r="I83" s="96" t="b">
        <v>0</v>
      </c>
      <c r="J83" s="96" t="b">
        <v>0</v>
      </c>
      <c r="K83" s="96" t="b">
        <v>0</v>
      </c>
      <c r="L83" s="96" t="b">
        <v>0</v>
      </c>
    </row>
    <row r="84" spans="1:12" ht="15">
      <c r="A84" s="97" t="s">
        <v>2200</v>
      </c>
      <c r="B84" s="96" t="s">
        <v>2201</v>
      </c>
      <c r="C84" s="96">
        <v>3</v>
      </c>
      <c r="D84" s="118">
        <v>0.001780276437247856</v>
      </c>
      <c r="E84" s="118">
        <v>2.9954889428763822</v>
      </c>
      <c r="F84" s="96" t="s">
        <v>2335</v>
      </c>
      <c r="G84" s="96" t="b">
        <v>0</v>
      </c>
      <c r="H84" s="96" t="b">
        <v>0</v>
      </c>
      <c r="I84" s="96" t="b">
        <v>0</v>
      </c>
      <c r="J84" s="96" t="b">
        <v>0</v>
      </c>
      <c r="K84" s="96" t="b">
        <v>0</v>
      </c>
      <c r="L84" s="96" t="b">
        <v>0</v>
      </c>
    </row>
    <row r="85" spans="1:12" ht="15">
      <c r="A85" s="97" t="s">
        <v>2201</v>
      </c>
      <c r="B85" s="96" t="s">
        <v>2181</v>
      </c>
      <c r="C85" s="96">
        <v>3</v>
      </c>
      <c r="D85" s="118">
        <v>0.001780276437247856</v>
      </c>
      <c r="E85" s="118">
        <v>2.694458947212401</v>
      </c>
      <c r="F85" s="96" t="s">
        <v>2335</v>
      </c>
      <c r="G85" s="96" t="b">
        <v>0</v>
      </c>
      <c r="H85" s="96" t="b">
        <v>0</v>
      </c>
      <c r="I85" s="96" t="b">
        <v>0</v>
      </c>
      <c r="J85" s="96" t="b">
        <v>0</v>
      </c>
      <c r="K85" s="96" t="b">
        <v>0</v>
      </c>
      <c r="L85" s="96" t="b">
        <v>0</v>
      </c>
    </row>
    <row r="86" spans="1:12" ht="15">
      <c r="A86" s="97" t="s">
        <v>2181</v>
      </c>
      <c r="B86" s="96" t="s">
        <v>2202</v>
      </c>
      <c r="C86" s="96">
        <v>3</v>
      </c>
      <c r="D86" s="118">
        <v>0.001780276437247856</v>
      </c>
      <c r="E86" s="118">
        <v>2.694458947212401</v>
      </c>
      <c r="F86" s="96" t="s">
        <v>2335</v>
      </c>
      <c r="G86" s="96" t="b">
        <v>0</v>
      </c>
      <c r="H86" s="96" t="b">
        <v>0</v>
      </c>
      <c r="I86" s="96" t="b">
        <v>0</v>
      </c>
      <c r="J86" s="96" t="b">
        <v>0</v>
      </c>
      <c r="K86" s="96" t="b">
        <v>0</v>
      </c>
      <c r="L86" s="96" t="b">
        <v>0</v>
      </c>
    </row>
    <row r="87" spans="1:12" ht="15">
      <c r="A87" s="97" t="s">
        <v>2202</v>
      </c>
      <c r="B87" s="96" t="s">
        <v>2203</v>
      </c>
      <c r="C87" s="96">
        <v>3</v>
      </c>
      <c r="D87" s="118">
        <v>0.001780276437247856</v>
      </c>
      <c r="E87" s="118">
        <v>2.9954889428763822</v>
      </c>
      <c r="F87" s="96" t="s">
        <v>2335</v>
      </c>
      <c r="G87" s="96" t="b">
        <v>0</v>
      </c>
      <c r="H87" s="96" t="b">
        <v>0</v>
      </c>
      <c r="I87" s="96" t="b">
        <v>0</v>
      </c>
      <c r="J87" s="96" t="b">
        <v>0</v>
      </c>
      <c r="K87" s="96" t="b">
        <v>0</v>
      </c>
      <c r="L87" s="96" t="b">
        <v>0</v>
      </c>
    </row>
    <row r="88" spans="1:12" ht="15">
      <c r="A88" s="97" t="s">
        <v>2203</v>
      </c>
      <c r="B88" s="96" t="s">
        <v>2204</v>
      </c>
      <c r="C88" s="96">
        <v>3</v>
      </c>
      <c r="D88" s="118">
        <v>0.001780276437247856</v>
      </c>
      <c r="E88" s="118">
        <v>2.9954889428763822</v>
      </c>
      <c r="F88" s="96" t="s">
        <v>2335</v>
      </c>
      <c r="G88" s="96" t="b">
        <v>0</v>
      </c>
      <c r="H88" s="96" t="b">
        <v>0</v>
      </c>
      <c r="I88" s="96" t="b">
        <v>0</v>
      </c>
      <c r="J88" s="96" t="b">
        <v>0</v>
      </c>
      <c r="K88" s="96" t="b">
        <v>0</v>
      </c>
      <c r="L88" s="96" t="b">
        <v>0</v>
      </c>
    </row>
    <row r="89" spans="1:12" ht="15">
      <c r="A89" s="97" t="s">
        <v>2204</v>
      </c>
      <c r="B89" s="96" t="s">
        <v>2205</v>
      </c>
      <c r="C89" s="96">
        <v>3</v>
      </c>
      <c r="D89" s="118">
        <v>0.001780276437247856</v>
      </c>
      <c r="E89" s="118">
        <v>2.9954889428763822</v>
      </c>
      <c r="F89" s="96" t="s">
        <v>2335</v>
      </c>
      <c r="G89" s="96" t="b">
        <v>0</v>
      </c>
      <c r="H89" s="96" t="b">
        <v>0</v>
      </c>
      <c r="I89" s="96" t="b">
        <v>0</v>
      </c>
      <c r="J89" s="96" t="b">
        <v>0</v>
      </c>
      <c r="K89" s="96" t="b">
        <v>0</v>
      </c>
      <c r="L89" s="96" t="b">
        <v>0</v>
      </c>
    </row>
    <row r="90" spans="1:12" ht="15">
      <c r="A90" s="97" t="s">
        <v>2205</v>
      </c>
      <c r="B90" s="96" t="s">
        <v>2206</v>
      </c>
      <c r="C90" s="96">
        <v>3</v>
      </c>
      <c r="D90" s="118">
        <v>0.001780276437247856</v>
      </c>
      <c r="E90" s="118">
        <v>2.9954889428763822</v>
      </c>
      <c r="F90" s="96" t="s">
        <v>2335</v>
      </c>
      <c r="G90" s="96" t="b">
        <v>0</v>
      </c>
      <c r="H90" s="96" t="b">
        <v>0</v>
      </c>
      <c r="I90" s="96" t="b">
        <v>0</v>
      </c>
      <c r="J90" s="96" t="b">
        <v>0</v>
      </c>
      <c r="K90" s="96" t="b">
        <v>0</v>
      </c>
      <c r="L90" s="96" t="b">
        <v>0</v>
      </c>
    </row>
    <row r="91" spans="1:12" ht="15">
      <c r="A91" s="97" t="s">
        <v>2206</v>
      </c>
      <c r="B91" s="96" t="s">
        <v>2183</v>
      </c>
      <c r="C91" s="96">
        <v>3</v>
      </c>
      <c r="D91" s="118">
        <v>0.001780276437247856</v>
      </c>
      <c r="E91" s="118">
        <v>2.9954889428763822</v>
      </c>
      <c r="F91" s="96" t="s">
        <v>2335</v>
      </c>
      <c r="G91" s="96" t="b">
        <v>0</v>
      </c>
      <c r="H91" s="96" t="b">
        <v>0</v>
      </c>
      <c r="I91" s="96" t="b">
        <v>0</v>
      </c>
      <c r="J91" s="96" t="b">
        <v>0</v>
      </c>
      <c r="K91" s="96" t="b">
        <v>0</v>
      </c>
      <c r="L91" s="96" t="b">
        <v>0</v>
      </c>
    </row>
    <row r="92" spans="1:12" ht="15">
      <c r="A92" s="97" t="s">
        <v>2183</v>
      </c>
      <c r="B92" s="96" t="s">
        <v>2207</v>
      </c>
      <c r="C92" s="96">
        <v>3</v>
      </c>
      <c r="D92" s="118">
        <v>0.001780276437247856</v>
      </c>
      <c r="E92" s="118">
        <v>2.7736401932600256</v>
      </c>
      <c r="F92" s="96" t="s">
        <v>2335</v>
      </c>
      <c r="G92" s="96" t="b">
        <v>0</v>
      </c>
      <c r="H92" s="96" t="b">
        <v>0</v>
      </c>
      <c r="I92" s="96" t="b">
        <v>0</v>
      </c>
      <c r="J92" s="96" t="b">
        <v>0</v>
      </c>
      <c r="K92" s="96" t="b">
        <v>0</v>
      </c>
      <c r="L92" s="96" t="b">
        <v>0</v>
      </c>
    </row>
    <row r="93" spans="1:12" ht="15">
      <c r="A93" s="97" t="s">
        <v>2207</v>
      </c>
      <c r="B93" s="96" t="s">
        <v>2208</v>
      </c>
      <c r="C93" s="96">
        <v>3</v>
      </c>
      <c r="D93" s="118">
        <v>0.001780276437247856</v>
      </c>
      <c r="E93" s="118">
        <v>2.9954889428763822</v>
      </c>
      <c r="F93" s="96" t="s">
        <v>2335</v>
      </c>
      <c r="G93" s="96" t="b">
        <v>0</v>
      </c>
      <c r="H93" s="96" t="b">
        <v>0</v>
      </c>
      <c r="I93" s="96" t="b">
        <v>0</v>
      </c>
      <c r="J93" s="96" t="b">
        <v>0</v>
      </c>
      <c r="K93" s="96" t="b">
        <v>0</v>
      </c>
      <c r="L93" s="96" t="b">
        <v>0</v>
      </c>
    </row>
    <row r="94" spans="1:12" ht="15">
      <c r="A94" s="97" t="s">
        <v>2209</v>
      </c>
      <c r="B94" s="96" t="s">
        <v>2210</v>
      </c>
      <c r="C94" s="96">
        <v>3</v>
      </c>
      <c r="D94" s="118">
        <v>0.001780276437247856</v>
      </c>
      <c r="E94" s="118">
        <v>2.9954889428763822</v>
      </c>
      <c r="F94" s="96" t="s">
        <v>2335</v>
      </c>
      <c r="G94" s="96" t="b">
        <v>0</v>
      </c>
      <c r="H94" s="96" t="b">
        <v>0</v>
      </c>
      <c r="I94" s="96" t="b">
        <v>0</v>
      </c>
      <c r="J94" s="96" t="b">
        <v>0</v>
      </c>
      <c r="K94" s="96" t="b">
        <v>0</v>
      </c>
      <c r="L94" s="96" t="b">
        <v>0</v>
      </c>
    </row>
    <row r="95" spans="1:12" ht="15">
      <c r="A95" s="97" t="s">
        <v>2107</v>
      </c>
      <c r="B95" s="96" t="s">
        <v>2213</v>
      </c>
      <c r="C95" s="96">
        <v>3</v>
      </c>
      <c r="D95" s="118">
        <v>0.001780276437247856</v>
      </c>
      <c r="E95" s="118">
        <v>1.3052928628478684</v>
      </c>
      <c r="F95" s="96" t="s">
        <v>2335</v>
      </c>
      <c r="G95" s="96" t="b">
        <v>0</v>
      </c>
      <c r="H95" s="96" t="b">
        <v>0</v>
      </c>
      <c r="I95" s="96" t="b">
        <v>0</v>
      </c>
      <c r="J95" s="96" t="b">
        <v>0</v>
      </c>
      <c r="K95" s="96" t="b">
        <v>0</v>
      </c>
      <c r="L95" s="96" t="b">
        <v>0</v>
      </c>
    </row>
    <row r="96" spans="1:12" ht="15">
      <c r="A96" s="97" t="s">
        <v>2213</v>
      </c>
      <c r="B96" s="96" t="s">
        <v>2182</v>
      </c>
      <c r="C96" s="96">
        <v>3</v>
      </c>
      <c r="D96" s="118">
        <v>0.001780276437247856</v>
      </c>
      <c r="E96" s="118">
        <v>2.694458947212401</v>
      </c>
      <c r="F96" s="96" t="s">
        <v>2335</v>
      </c>
      <c r="G96" s="96" t="b">
        <v>0</v>
      </c>
      <c r="H96" s="96" t="b">
        <v>0</v>
      </c>
      <c r="I96" s="96" t="b">
        <v>0</v>
      </c>
      <c r="J96" s="96" t="b">
        <v>0</v>
      </c>
      <c r="K96" s="96" t="b">
        <v>0</v>
      </c>
      <c r="L96" s="96" t="b">
        <v>0</v>
      </c>
    </row>
    <row r="97" spans="1:12" ht="15">
      <c r="A97" s="97" t="s">
        <v>2182</v>
      </c>
      <c r="B97" s="96" t="s">
        <v>2111</v>
      </c>
      <c r="C97" s="96">
        <v>3</v>
      </c>
      <c r="D97" s="118">
        <v>0.001780276437247856</v>
      </c>
      <c r="E97" s="118">
        <v>1.8161925439454896</v>
      </c>
      <c r="F97" s="96" t="s">
        <v>2335</v>
      </c>
      <c r="G97" s="96" t="b">
        <v>0</v>
      </c>
      <c r="H97" s="96" t="b">
        <v>0</v>
      </c>
      <c r="I97" s="96" t="b">
        <v>0</v>
      </c>
      <c r="J97" s="96" t="b">
        <v>0</v>
      </c>
      <c r="K97" s="96" t="b">
        <v>0</v>
      </c>
      <c r="L97" s="96" t="b">
        <v>0</v>
      </c>
    </row>
    <row r="98" spans="1:12" ht="15">
      <c r="A98" s="97" t="s">
        <v>2111</v>
      </c>
      <c r="B98" s="96" t="s">
        <v>2187</v>
      </c>
      <c r="C98" s="96">
        <v>3</v>
      </c>
      <c r="D98" s="118">
        <v>0.001780276437247856</v>
      </c>
      <c r="E98" s="118">
        <v>1.8161925439454896</v>
      </c>
      <c r="F98" s="96" t="s">
        <v>2335</v>
      </c>
      <c r="G98" s="96" t="b">
        <v>0</v>
      </c>
      <c r="H98" s="96" t="b">
        <v>0</v>
      </c>
      <c r="I98" s="96" t="b">
        <v>0</v>
      </c>
      <c r="J98" s="96" t="b">
        <v>0</v>
      </c>
      <c r="K98" s="96" t="b">
        <v>0</v>
      </c>
      <c r="L98" s="96" t="b">
        <v>0</v>
      </c>
    </row>
    <row r="99" spans="1:12" ht="15">
      <c r="A99" s="97" t="s">
        <v>2187</v>
      </c>
      <c r="B99" s="96" t="s">
        <v>2188</v>
      </c>
      <c r="C99" s="96">
        <v>3</v>
      </c>
      <c r="D99" s="118">
        <v>0.001780276437247856</v>
      </c>
      <c r="E99" s="118">
        <v>2.7456114696597824</v>
      </c>
      <c r="F99" s="96" t="s">
        <v>2335</v>
      </c>
      <c r="G99" s="96" t="b">
        <v>0</v>
      </c>
      <c r="H99" s="96" t="b">
        <v>0</v>
      </c>
      <c r="I99" s="96" t="b">
        <v>0</v>
      </c>
      <c r="J99" s="96" t="b">
        <v>0</v>
      </c>
      <c r="K99" s="96" t="b">
        <v>0</v>
      </c>
      <c r="L99" s="96" t="b">
        <v>0</v>
      </c>
    </row>
    <row r="100" spans="1:12" ht="15">
      <c r="A100" s="97" t="s">
        <v>384</v>
      </c>
      <c r="B100" s="96" t="s">
        <v>2218</v>
      </c>
      <c r="C100" s="96">
        <v>3</v>
      </c>
      <c r="D100" s="118">
        <v>0.001780276437247856</v>
      </c>
      <c r="E100" s="118">
        <v>2.3934289515484197</v>
      </c>
      <c r="F100" s="96" t="s">
        <v>2335</v>
      </c>
      <c r="G100" s="96" t="b">
        <v>0</v>
      </c>
      <c r="H100" s="96" t="b">
        <v>0</v>
      </c>
      <c r="I100" s="96" t="b">
        <v>0</v>
      </c>
      <c r="J100" s="96" t="b">
        <v>0</v>
      </c>
      <c r="K100" s="96" t="b">
        <v>0</v>
      </c>
      <c r="L100" s="96" t="b">
        <v>0</v>
      </c>
    </row>
    <row r="101" spans="1:12" ht="15">
      <c r="A101" s="97" t="s">
        <v>2218</v>
      </c>
      <c r="B101" s="96" t="s">
        <v>2219</v>
      </c>
      <c r="C101" s="96">
        <v>3</v>
      </c>
      <c r="D101" s="118">
        <v>0.001780276437247856</v>
      </c>
      <c r="E101" s="118">
        <v>2.9954889428763822</v>
      </c>
      <c r="F101" s="96" t="s">
        <v>2335</v>
      </c>
      <c r="G101" s="96" t="b">
        <v>0</v>
      </c>
      <c r="H101" s="96" t="b">
        <v>0</v>
      </c>
      <c r="I101" s="96" t="b">
        <v>0</v>
      </c>
      <c r="J101" s="96" t="b">
        <v>0</v>
      </c>
      <c r="K101" s="96" t="b">
        <v>0</v>
      </c>
      <c r="L101" s="96" t="b">
        <v>0</v>
      </c>
    </row>
    <row r="102" spans="1:12" ht="15">
      <c r="A102" s="97" t="s">
        <v>2219</v>
      </c>
      <c r="B102" s="96" t="s">
        <v>2220</v>
      </c>
      <c r="C102" s="96">
        <v>3</v>
      </c>
      <c r="D102" s="118">
        <v>0.001780276437247856</v>
      </c>
      <c r="E102" s="118">
        <v>2.9954889428763822</v>
      </c>
      <c r="F102" s="96" t="s">
        <v>2335</v>
      </c>
      <c r="G102" s="96" t="b">
        <v>0</v>
      </c>
      <c r="H102" s="96" t="b">
        <v>0</v>
      </c>
      <c r="I102" s="96" t="b">
        <v>0</v>
      </c>
      <c r="J102" s="96" t="b">
        <v>0</v>
      </c>
      <c r="K102" s="96" t="b">
        <v>0</v>
      </c>
      <c r="L102" s="96" t="b">
        <v>0</v>
      </c>
    </row>
    <row r="103" spans="1:12" ht="15">
      <c r="A103" s="97" t="s">
        <v>2220</v>
      </c>
      <c r="B103" s="96" t="s">
        <v>2221</v>
      </c>
      <c r="C103" s="96">
        <v>3</v>
      </c>
      <c r="D103" s="118">
        <v>0.001780276437247856</v>
      </c>
      <c r="E103" s="118">
        <v>2.9954889428763822</v>
      </c>
      <c r="F103" s="96" t="s">
        <v>2335</v>
      </c>
      <c r="G103" s="96" t="b">
        <v>0</v>
      </c>
      <c r="H103" s="96" t="b">
        <v>0</v>
      </c>
      <c r="I103" s="96" t="b">
        <v>0</v>
      </c>
      <c r="J103" s="96" t="b">
        <v>0</v>
      </c>
      <c r="K103" s="96" t="b">
        <v>0</v>
      </c>
      <c r="L103" s="96" t="b">
        <v>0</v>
      </c>
    </row>
    <row r="104" spans="1:12" ht="15">
      <c r="A104" s="97" t="s">
        <v>2221</v>
      </c>
      <c r="B104" s="96" t="s">
        <v>2181</v>
      </c>
      <c r="C104" s="96">
        <v>3</v>
      </c>
      <c r="D104" s="118">
        <v>0.001780276437247856</v>
      </c>
      <c r="E104" s="118">
        <v>2.694458947212401</v>
      </c>
      <c r="F104" s="96" t="s">
        <v>2335</v>
      </c>
      <c r="G104" s="96" t="b">
        <v>0</v>
      </c>
      <c r="H104" s="96" t="b">
        <v>0</v>
      </c>
      <c r="I104" s="96" t="b">
        <v>0</v>
      </c>
      <c r="J104" s="96" t="b">
        <v>0</v>
      </c>
      <c r="K104" s="96" t="b">
        <v>0</v>
      </c>
      <c r="L104" s="96" t="b">
        <v>0</v>
      </c>
    </row>
    <row r="105" spans="1:12" ht="15">
      <c r="A105" s="97" t="s">
        <v>2181</v>
      </c>
      <c r="B105" s="96" t="s">
        <v>2222</v>
      </c>
      <c r="C105" s="96">
        <v>3</v>
      </c>
      <c r="D105" s="118">
        <v>0.001780276437247856</v>
      </c>
      <c r="E105" s="118">
        <v>2.694458947212401</v>
      </c>
      <c r="F105" s="96" t="s">
        <v>2335</v>
      </c>
      <c r="G105" s="96" t="b">
        <v>0</v>
      </c>
      <c r="H105" s="96" t="b">
        <v>0</v>
      </c>
      <c r="I105" s="96" t="b">
        <v>0</v>
      </c>
      <c r="J105" s="96" t="b">
        <v>0</v>
      </c>
      <c r="K105" s="96" t="b">
        <v>0</v>
      </c>
      <c r="L105" s="96" t="b">
        <v>0</v>
      </c>
    </row>
    <row r="106" spans="1:12" ht="15">
      <c r="A106" s="97" t="s">
        <v>2222</v>
      </c>
      <c r="B106" s="96" t="s">
        <v>2223</v>
      </c>
      <c r="C106" s="96">
        <v>3</v>
      </c>
      <c r="D106" s="118">
        <v>0.001780276437247856</v>
      </c>
      <c r="E106" s="118">
        <v>2.9954889428763822</v>
      </c>
      <c r="F106" s="96" t="s">
        <v>2335</v>
      </c>
      <c r="G106" s="96" t="b">
        <v>0</v>
      </c>
      <c r="H106" s="96" t="b">
        <v>0</v>
      </c>
      <c r="I106" s="96" t="b">
        <v>0</v>
      </c>
      <c r="J106" s="96" t="b">
        <v>0</v>
      </c>
      <c r="K106" s="96" t="b">
        <v>0</v>
      </c>
      <c r="L106" s="96" t="b">
        <v>0</v>
      </c>
    </row>
    <row r="107" spans="1:12" ht="15">
      <c r="A107" s="97" t="s">
        <v>2223</v>
      </c>
      <c r="B107" s="96" t="s">
        <v>2224</v>
      </c>
      <c r="C107" s="96">
        <v>3</v>
      </c>
      <c r="D107" s="118">
        <v>0.001780276437247856</v>
      </c>
      <c r="E107" s="118">
        <v>2.9954889428763822</v>
      </c>
      <c r="F107" s="96" t="s">
        <v>2335</v>
      </c>
      <c r="G107" s="96" t="b">
        <v>0</v>
      </c>
      <c r="H107" s="96" t="b">
        <v>0</v>
      </c>
      <c r="I107" s="96" t="b">
        <v>0</v>
      </c>
      <c r="J107" s="96" t="b">
        <v>0</v>
      </c>
      <c r="K107" s="96" t="b">
        <v>0</v>
      </c>
      <c r="L107" s="96" t="b">
        <v>0</v>
      </c>
    </row>
    <row r="108" spans="1:12" ht="15">
      <c r="A108" s="97" t="s">
        <v>2224</v>
      </c>
      <c r="B108" s="96" t="s">
        <v>2108</v>
      </c>
      <c r="C108" s="96">
        <v>3</v>
      </c>
      <c r="D108" s="118">
        <v>0.001780276437247856</v>
      </c>
      <c r="E108" s="118">
        <v>2.2421612762177707</v>
      </c>
      <c r="F108" s="96" t="s">
        <v>2335</v>
      </c>
      <c r="G108" s="96" t="b">
        <v>0</v>
      </c>
      <c r="H108" s="96" t="b">
        <v>0</v>
      </c>
      <c r="I108" s="96" t="b">
        <v>0</v>
      </c>
      <c r="J108" s="96" t="b">
        <v>0</v>
      </c>
      <c r="K108" s="96" t="b">
        <v>0</v>
      </c>
      <c r="L108" s="96" t="b">
        <v>0</v>
      </c>
    </row>
    <row r="109" spans="1:12" ht="15">
      <c r="A109" s="97" t="s">
        <v>2108</v>
      </c>
      <c r="B109" s="96" t="s">
        <v>2225</v>
      </c>
      <c r="C109" s="96">
        <v>3</v>
      </c>
      <c r="D109" s="118">
        <v>0.001780276437247856</v>
      </c>
      <c r="E109" s="118">
        <v>1.740216437773076</v>
      </c>
      <c r="F109" s="96" t="s">
        <v>2335</v>
      </c>
      <c r="G109" s="96" t="b">
        <v>0</v>
      </c>
      <c r="H109" s="96" t="b">
        <v>0</v>
      </c>
      <c r="I109" s="96" t="b">
        <v>0</v>
      </c>
      <c r="J109" s="96" t="b">
        <v>0</v>
      </c>
      <c r="K109" s="96" t="b">
        <v>0</v>
      </c>
      <c r="L109" s="96" t="b">
        <v>0</v>
      </c>
    </row>
    <row r="110" spans="1:12" ht="15">
      <c r="A110" s="97" t="s">
        <v>2225</v>
      </c>
      <c r="B110" s="96" t="s">
        <v>2226</v>
      </c>
      <c r="C110" s="96">
        <v>3</v>
      </c>
      <c r="D110" s="118">
        <v>0.001780276437247856</v>
      </c>
      <c r="E110" s="118">
        <v>2.9954889428763822</v>
      </c>
      <c r="F110" s="96" t="s">
        <v>2335</v>
      </c>
      <c r="G110" s="96" t="b">
        <v>0</v>
      </c>
      <c r="H110" s="96" t="b">
        <v>0</v>
      </c>
      <c r="I110" s="96" t="b">
        <v>0</v>
      </c>
      <c r="J110" s="96" t="b">
        <v>0</v>
      </c>
      <c r="K110" s="96" t="b">
        <v>0</v>
      </c>
      <c r="L110" s="96" t="b">
        <v>0</v>
      </c>
    </row>
    <row r="111" spans="1:12" ht="15">
      <c r="A111" s="97" t="s">
        <v>2226</v>
      </c>
      <c r="B111" s="96" t="s">
        <v>2227</v>
      </c>
      <c r="C111" s="96">
        <v>3</v>
      </c>
      <c r="D111" s="118">
        <v>0.001780276437247856</v>
      </c>
      <c r="E111" s="118">
        <v>2.9954889428763822</v>
      </c>
      <c r="F111" s="96" t="s">
        <v>2335</v>
      </c>
      <c r="G111" s="96" t="b">
        <v>0</v>
      </c>
      <c r="H111" s="96" t="b">
        <v>0</v>
      </c>
      <c r="I111" s="96" t="b">
        <v>0</v>
      </c>
      <c r="J111" s="96" t="b">
        <v>0</v>
      </c>
      <c r="K111" s="96" t="b">
        <v>0</v>
      </c>
      <c r="L111" s="96" t="b">
        <v>0</v>
      </c>
    </row>
    <row r="112" spans="1:12" ht="15">
      <c r="A112" s="97" t="s">
        <v>2227</v>
      </c>
      <c r="B112" s="96" t="s">
        <v>2228</v>
      </c>
      <c r="C112" s="96">
        <v>3</v>
      </c>
      <c r="D112" s="118">
        <v>0.001780276437247856</v>
      </c>
      <c r="E112" s="118">
        <v>2.9954889428763822</v>
      </c>
      <c r="F112" s="96" t="s">
        <v>2335</v>
      </c>
      <c r="G112" s="96" t="b">
        <v>0</v>
      </c>
      <c r="H112" s="96" t="b">
        <v>0</v>
      </c>
      <c r="I112" s="96" t="b">
        <v>0</v>
      </c>
      <c r="J112" s="96" t="b">
        <v>0</v>
      </c>
      <c r="K112" s="96" t="b">
        <v>0</v>
      </c>
      <c r="L112" s="96" t="b">
        <v>0</v>
      </c>
    </row>
    <row r="113" spans="1:12" ht="15">
      <c r="A113" s="97" t="s">
        <v>2228</v>
      </c>
      <c r="B113" s="96" t="s">
        <v>2229</v>
      </c>
      <c r="C113" s="96">
        <v>3</v>
      </c>
      <c r="D113" s="118">
        <v>0.001780276437247856</v>
      </c>
      <c r="E113" s="118">
        <v>2.9954889428763822</v>
      </c>
      <c r="F113" s="96" t="s">
        <v>2335</v>
      </c>
      <c r="G113" s="96" t="b">
        <v>0</v>
      </c>
      <c r="H113" s="96" t="b">
        <v>0</v>
      </c>
      <c r="I113" s="96" t="b">
        <v>0</v>
      </c>
      <c r="J113" s="96" t="b">
        <v>0</v>
      </c>
      <c r="K113" s="96" t="b">
        <v>0</v>
      </c>
      <c r="L113" s="96" t="b">
        <v>0</v>
      </c>
    </row>
    <row r="114" spans="1:12" ht="15">
      <c r="A114" s="97" t="s">
        <v>2229</v>
      </c>
      <c r="B114" s="96" t="s">
        <v>2230</v>
      </c>
      <c r="C114" s="96">
        <v>3</v>
      </c>
      <c r="D114" s="118">
        <v>0.001780276437247856</v>
      </c>
      <c r="E114" s="118">
        <v>2.9954889428763822</v>
      </c>
      <c r="F114" s="96" t="s">
        <v>2335</v>
      </c>
      <c r="G114" s="96" t="b">
        <v>0</v>
      </c>
      <c r="H114" s="96" t="b">
        <v>0</v>
      </c>
      <c r="I114" s="96" t="b">
        <v>0</v>
      </c>
      <c r="J114" s="96" t="b">
        <v>0</v>
      </c>
      <c r="K114" s="96" t="b">
        <v>0</v>
      </c>
      <c r="L114" s="96" t="b">
        <v>0</v>
      </c>
    </row>
    <row r="115" spans="1:12" ht="15">
      <c r="A115" s="97" t="s">
        <v>2230</v>
      </c>
      <c r="B115" s="96" t="s">
        <v>2231</v>
      </c>
      <c r="C115" s="96">
        <v>3</v>
      </c>
      <c r="D115" s="118">
        <v>0.001780276437247856</v>
      </c>
      <c r="E115" s="118">
        <v>2.9954889428763822</v>
      </c>
      <c r="F115" s="96" t="s">
        <v>2335</v>
      </c>
      <c r="G115" s="96" t="b">
        <v>0</v>
      </c>
      <c r="H115" s="96" t="b">
        <v>0</v>
      </c>
      <c r="I115" s="96" t="b">
        <v>0</v>
      </c>
      <c r="J115" s="96" t="b">
        <v>0</v>
      </c>
      <c r="K115" s="96" t="b">
        <v>0</v>
      </c>
      <c r="L115" s="96" t="b">
        <v>0</v>
      </c>
    </row>
    <row r="116" spans="1:12" ht="15">
      <c r="A116" s="97" t="s">
        <v>2231</v>
      </c>
      <c r="B116" s="96" t="s">
        <v>2232</v>
      </c>
      <c r="C116" s="96">
        <v>3</v>
      </c>
      <c r="D116" s="118">
        <v>0.001780276437247856</v>
      </c>
      <c r="E116" s="118">
        <v>2.9954889428763822</v>
      </c>
      <c r="F116" s="96" t="s">
        <v>2335</v>
      </c>
      <c r="G116" s="96" t="b">
        <v>0</v>
      </c>
      <c r="H116" s="96" t="b">
        <v>0</v>
      </c>
      <c r="I116" s="96" t="b">
        <v>0</v>
      </c>
      <c r="J116" s="96" t="b">
        <v>0</v>
      </c>
      <c r="K116" s="96" t="b">
        <v>0</v>
      </c>
      <c r="L116" s="96" t="b">
        <v>0</v>
      </c>
    </row>
    <row r="117" spans="1:12" ht="15">
      <c r="A117" s="97" t="s">
        <v>2232</v>
      </c>
      <c r="B117" s="96" t="s">
        <v>2233</v>
      </c>
      <c r="C117" s="96">
        <v>3</v>
      </c>
      <c r="D117" s="118">
        <v>0.001780276437247856</v>
      </c>
      <c r="E117" s="118">
        <v>2.9954889428763822</v>
      </c>
      <c r="F117" s="96" t="s">
        <v>2335</v>
      </c>
      <c r="G117" s="96" t="b">
        <v>0</v>
      </c>
      <c r="H117" s="96" t="b">
        <v>0</v>
      </c>
      <c r="I117" s="96" t="b">
        <v>0</v>
      </c>
      <c r="J117" s="96" t="b">
        <v>0</v>
      </c>
      <c r="K117" s="96" t="b">
        <v>0</v>
      </c>
      <c r="L117" s="96" t="b">
        <v>0</v>
      </c>
    </row>
    <row r="118" spans="1:12" ht="15">
      <c r="A118" s="97" t="s">
        <v>2233</v>
      </c>
      <c r="B118" s="96" t="s">
        <v>2234</v>
      </c>
      <c r="C118" s="96">
        <v>3</v>
      </c>
      <c r="D118" s="118">
        <v>0.001780276437247856</v>
      </c>
      <c r="E118" s="118">
        <v>2.9954889428763822</v>
      </c>
      <c r="F118" s="96" t="s">
        <v>2335</v>
      </c>
      <c r="G118" s="96" t="b">
        <v>0</v>
      </c>
      <c r="H118" s="96" t="b">
        <v>0</v>
      </c>
      <c r="I118" s="96" t="b">
        <v>0</v>
      </c>
      <c r="J118" s="96" t="b">
        <v>0</v>
      </c>
      <c r="K118" s="96" t="b">
        <v>0</v>
      </c>
      <c r="L118" s="96" t="b">
        <v>0</v>
      </c>
    </row>
    <row r="119" spans="1:12" ht="15">
      <c r="A119" s="97" t="s">
        <v>2234</v>
      </c>
      <c r="B119" s="96" t="s">
        <v>2235</v>
      </c>
      <c r="C119" s="96">
        <v>3</v>
      </c>
      <c r="D119" s="118">
        <v>0.001780276437247856</v>
      </c>
      <c r="E119" s="118">
        <v>2.9954889428763822</v>
      </c>
      <c r="F119" s="96" t="s">
        <v>2335</v>
      </c>
      <c r="G119" s="96" t="b">
        <v>0</v>
      </c>
      <c r="H119" s="96" t="b">
        <v>0</v>
      </c>
      <c r="I119" s="96" t="b">
        <v>0</v>
      </c>
      <c r="J119" s="96" t="b">
        <v>0</v>
      </c>
      <c r="K119" s="96" t="b">
        <v>0</v>
      </c>
      <c r="L119" s="96" t="b">
        <v>0</v>
      </c>
    </row>
    <row r="120" spans="1:12" ht="15">
      <c r="A120" s="97" t="s">
        <v>2235</v>
      </c>
      <c r="B120" s="96" t="s">
        <v>2236</v>
      </c>
      <c r="C120" s="96">
        <v>3</v>
      </c>
      <c r="D120" s="118">
        <v>0.001780276437247856</v>
      </c>
      <c r="E120" s="118">
        <v>2.9954889428763822</v>
      </c>
      <c r="F120" s="96" t="s">
        <v>2335</v>
      </c>
      <c r="G120" s="96" t="b">
        <v>0</v>
      </c>
      <c r="H120" s="96" t="b">
        <v>0</v>
      </c>
      <c r="I120" s="96" t="b">
        <v>0</v>
      </c>
      <c r="J120" s="96" t="b">
        <v>0</v>
      </c>
      <c r="K120" s="96" t="b">
        <v>0</v>
      </c>
      <c r="L120" s="96" t="b">
        <v>0</v>
      </c>
    </row>
    <row r="121" spans="1:12" ht="15">
      <c r="A121" s="97" t="s">
        <v>423</v>
      </c>
      <c r="B121" s="96" t="s">
        <v>2106</v>
      </c>
      <c r="C121" s="96">
        <v>3</v>
      </c>
      <c r="D121" s="118">
        <v>0.001780276437247856</v>
      </c>
      <c r="E121" s="118">
        <v>1.694458947212401</v>
      </c>
      <c r="F121" s="96" t="s">
        <v>2335</v>
      </c>
      <c r="G121" s="96" t="b">
        <v>0</v>
      </c>
      <c r="H121" s="96" t="b">
        <v>0</v>
      </c>
      <c r="I121" s="96" t="b">
        <v>0</v>
      </c>
      <c r="J121" s="96" t="b">
        <v>0</v>
      </c>
      <c r="K121" s="96" t="b">
        <v>0</v>
      </c>
      <c r="L121" s="96" t="b">
        <v>0</v>
      </c>
    </row>
    <row r="122" spans="1:12" ht="15">
      <c r="A122" s="97" t="s">
        <v>2183</v>
      </c>
      <c r="B122" s="96" t="s">
        <v>2106</v>
      </c>
      <c r="C122" s="96">
        <v>2</v>
      </c>
      <c r="D122" s="118">
        <v>0.001296565138262235</v>
      </c>
      <c r="E122" s="118">
        <v>1.2965189385403635</v>
      </c>
      <c r="F122" s="96" t="s">
        <v>2335</v>
      </c>
      <c r="G122" s="96" t="b">
        <v>0</v>
      </c>
      <c r="H122" s="96" t="b">
        <v>0</v>
      </c>
      <c r="I122" s="96" t="b">
        <v>0</v>
      </c>
      <c r="J122" s="96" t="b">
        <v>0</v>
      </c>
      <c r="K122" s="96" t="b">
        <v>0</v>
      </c>
      <c r="L122" s="96" t="b">
        <v>0</v>
      </c>
    </row>
    <row r="123" spans="1:12" ht="15">
      <c r="A123" s="97" t="s">
        <v>346</v>
      </c>
      <c r="B123" s="96" t="s">
        <v>2106</v>
      </c>
      <c r="C123" s="96">
        <v>2</v>
      </c>
      <c r="D123" s="118">
        <v>0.001296565138262235</v>
      </c>
      <c r="E123" s="118">
        <v>1.1503909028621253</v>
      </c>
      <c r="F123" s="96" t="s">
        <v>2335</v>
      </c>
      <c r="G123" s="96" t="b">
        <v>0</v>
      </c>
      <c r="H123" s="96" t="b">
        <v>0</v>
      </c>
      <c r="I123" s="96" t="b">
        <v>0</v>
      </c>
      <c r="J123" s="96" t="b">
        <v>0</v>
      </c>
      <c r="K123" s="96" t="b">
        <v>0</v>
      </c>
      <c r="L123" s="96" t="b">
        <v>0</v>
      </c>
    </row>
    <row r="124" spans="1:12" ht="15">
      <c r="A124" s="97" t="s">
        <v>2107</v>
      </c>
      <c r="B124" s="96" t="s">
        <v>2190</v>
      </c>
      <c r="C124" s="96">
        <v>2</v>
      </c>
      <c r="D124" s="118">
        <v>0.001296565138262235</v>
      </c>
      <c r="E124" s="118">
        <v>1.1292016037921873</v>
      </c>
      <c r="F124" s="96" t="s">
        <v>2335</v>
      </c>
      <c r="G124" s="96" t="b">
        <v>0</v>
      </c>
      <c r="H124" s="96" t="b">
        <v>0</v>
      </c>
      <c r="I124" s="96" t="b">
        <v>0</v>
      </c>
      <c r="J124" s="96" t="b">
        <v>0</v>
      </c>
      <c r="K124" s="96" t="b">
        <v>0</v>
      </c>
      <c r="L124" s="96" t="b">
        <v>0</v>
      </c>
    </row>
    <row r="125" spans="1:12" ht="15">
      <c r="A125" s="97" t="s">
        <v>2190</v>
      </c>
      <c r="B125" s="96" t="s">
        <v>2239</v>
      </c>
      <c r="C125" s="96">
        <v>2</v>
      </c>
      <c r="D125" s="118">
        <v>0.001296565138262235</v>
      </c>
      <c r="E125" s="118">
        <v>2.9954889428763822</v>
      </c>
      <c r="F125" s="96" t="s">
        <v>2335</v>
      </c>
      <c r="G125" s="96" t="b">
        <v>0</v>
      </c>
      <c r="H125" s="96" t="b">
        <v>0</v>
      </c>
      <c r="I125" s="96" t="b">
        <v>0</v>
      </c>
      <c r="J125" s="96" t="b">
        <v>0</v>
      </c>
      <c r="K125" s="96" t="b">
        <v>0</v>
      </c>
      <c r="L125" s="96" t="b">
        <v>0</v>
      </c>
    </row>
    <row r="126" spans="1:12" ht="15">
      <c r="A126" s="97" t="s">
        <v>2239</v>
      </c>
      <c r="B126" s="96" t="s">
        <v>2240</v>
      </c>
      <c r="C126" s="96">
        <v>2</v>
      </c>
      <c r="D126" s="118">
        <v>0.001296565138262235</v>
      </c>
      <c r="E126" s="118">
        <v>3.1715802019320636</v>
      </c>
      <c r="F126" s="96" t="s">
        <v>2335</v>
      </c>
      <c r="G126" s="96" t="b">
        <v>0</v>
      </c>
      <c r="H126" s="96" t="b">
        <v>0</v>
      </c>
      <c r="I126" s="96" t="b">
        <v>0</v>
      </c>
      <c r="J126" s="96" t="b">
        <v>0</v>
      </c>
      <c r="K126" s="96" t="b">
        <v>0</v>
      </c>
      <c r="L126" s="96" t="b">
        <v>0</v>
      </c>
    </row>
    <row r="127" spans="1:12" ht="15">
      <c r="A127" s="97" t="s">
        <v>2240</v>
      </c>
      <c r="B127" s="96" t="s">
        <v>2241</v>
      </c>
      <c r="C127" s="96">
        <v>2</v>
      </c>
      <c r="D127" s="118">
        <v>0.001296565138262235</v>
      </c>
      <c r="E127" s="118">
        <v>3.1715802019320636</v>
      </c>
      <c r="F127" s="96" t="s">
        <v>2335</v>
      </c>
      <c r="G127" s="96" t="b">
        <v>0</v>
      </c>
      <c r="H127" s="96" t="b">
        <v>0</v>
      </c>
      <c r="I127" s="96" t="b">
        <v>0</v>
      </c>
      <c r="J127" s="96" t="b">
        <v>0</v>
      </c>
      <c r="K127" s="96" t="b">
        <v>0</v>
      </c>
      <c r="L127" s="96" t="b">
        <v>0</v>
      </c>
    </row>
    <row r="128" spans="1:12" ht="15">
      <c r="A128" s="97" t="s">
        <v>2241</v>
      </c>
      <c r="B128" s="96" t="s">
        <v>2242</v>
      </c>
      <c r="C128" s="96">
        <v>2</v>
      </c>
      <c r="D128" s="118">
        <v>0.001296565138262235</v>
      </c>
      <c r="E128" s="118">
        <v>3.1715802019320636</v>
      </c>
      <c r="F128" s="96" t="s">
        <v>2335</v>
      </c>
      <c r="G128" s="96" t="b">
        <v>0</v>
      </c>
      <c r="H128" s="96" t="b">
        <v>0</v>
      </c>
      <c r="I128" s="96" t="b">
        <v>0</v>
      </c>
      <c r="J128" s="96" t="b">
        <v>0</v>
      </c>
      <c r="K128" s="96" t="b">
        <v>0</v>
      </c>
      <c r="L128" s="96" t="b">
        <v>0</v>
      </c>
    </row>
    <row r="129" spans="1:12" ht="15">
      <c r="A129" s="97" t="s">
        <v>2242</v>
      </c>
      <c r="B129" s="96" t="s">
        <v>2243</v>
      </c>
      <c r="C129" s="96">
        <v>2</v>
      </c>
      <c r="D129" s="118">
        <v>0.001296565138262235</v>
      </c>
      <c r="E129" s="118">
        <v>3.1715802019320636</v>
      </c>
      <c r="F129" s="96" t="s">
        <v>2335</v>
      </c>
      <c r="G129" s="96" t="b">
        <v>0</v>
      </c>
      <c r="H129" s="96" t="b">
        <v>0</v>
      </c>
      <c r="I129" s="96" t="b">
        <v>0</v>
      </c>
      <c r="J129" s="96" t="b">
        <v>0</v>
      </c>
      <c r="K129" s="96" t="b">
        <v>0</v>
      </c>
      <c r="L129" s="96" t="b">
        <v>0</v>
      </c>
    </row>
    <row r="130" spans="1:12" ht="15">
      <c r="A130" s="97" t="s">
        <v>2243</v>
      </c>
      <c r="B130" s="96" t="s">
        <v>2244</v>
      </c>
      <c r="C130" s="96">
        <v>2</v>
      </c>
      <c r="D130" s="118">
        <v>0.001296565138262235</v>
      </c>
      <c r="E130" s="118">
        <v>3.1715802019320636</v>
      </c>
      <c r="F130" s="96" t="s">
        <v>2335</v>
      </c>
      <c r="G130" s="96" t="b">
        <v>0</v>
      </c>
      <c r="H130" s="96" t="b">
        <v>0</v>
      </c>
      <c r="I130" s="96" t="b">
        <v>0</v>
      </c>
      <c r="J130" s="96" t="b">
        <v>0</v>
      </c>
      <c r="K130" s="96" t="b">
        <v>0</v>
      </c>
      <c r="L130" s="96" t="b">
        <v>0</v>
      </c>
    </row>
    <row r="131" spans="1:12" ht="15">
      <c r="A131" s="97" t="s">
        <v>2124</v>
      </c>
      <c r="B131" s="96" t="s">
        <v>2245</v>
      </c>
      <c r="C131" s="96">
        <v>2</v>
      </c>
      <c r="D131" s="118">
        <v>0.001296565138262235</v>
      </c>
      <c r="E131" s="118">
        <v>1.9674602192761388</v>
      </c>
      <c r="F131" s="96" t="s">
        <v>2335</v>
      </c>
      <c r="G131" s="96" t="b">
        <v>0</v>
      </c>
      <c r="H131" s="96" t="b">
        <v>0</v>
      </c>
      <c r="I131" s="96" t="b">
        <v>0</v>
      </c>
      <c r="J131" s="96" t="b">
        <v>0</v>
      </c>
      <c r="K131" s="96" t="b">
        <v>0</v>
      </c>
      <c r="L131" s="96" t="b">
        <v>0</v>
      </c>
    </row>
    <row r="132" spans="1:12" ht="15">
      <c r="A132" s="97" t="s">
        <v>2245</v>
      </c>
      <c r="B132" s="96" t="s">
        <v>2132</v>
      </c>
      <c r="C132" s="96">
        <v>2</v>
      </c>
      <c r="D132" s="118">
        <v>0.001296565138262235</v>
      </c>
      <c r="E132" s="118">
        <v>1.981248503761772</v>
      </c>
      <c r="F132" s="96" t="s">
        <v>2335</v>
      </c>
      <c r="G132" s="96" t="b">
        <v>0</v>
      </c>
      <c r="H132" s="96" t="b">
        <v>0</v>
      </c>
      <c r="I132" s="96" t="b">
        <v>0</v>
      </c>
      <c r="J132" s="96" t="b">
        <v>0</v>
      </c>
      <c r="K132" s="96" t="b">
        <v>0</v>
      </c>
      <c r="L132" s="96" t="b">
        <v>0</v>
      </c>
    </row>
    <row r="133" spans="1:12" ht="15">
      <c r="A133" s="97" t="s">
        <v>2132</v>
      </c>
      <c r="B133" s="96" t="s">
        <v>2246</v>
      </c>
      <c r="C133" s="96">
        <v>2</v>
      </c>
      <c r="D133" s="118">
        <v>0.001296565138262235</v>
      </c>
      <c r="E133" s="118">
        <v>1.981248503761772</v>
      </c>
      <c r="F133" s="96" t="s">
        <v>2335</v>
      </c>
      <c r="G133" s="96" t="b">
        <v>0</v>
      </c>
      <c r="H133" s="96" t="b">
        <v>0</v>
      </c>
      <c r="I133" s="96" t="b">
        <v>0</v>
      </c>
      <c r="J133" s="96" t="b">
        <v>0</v>
      </c>
      <c r="K133" s="96" t="b">
        <v>0</v>
      </c>
      <c r="L133" s="96" t="b">
        <v>0</v>
      </c>
    </row>
    <row r="134" spans="1:12" ht="15">
      <c r="A134" s="97" t="s">
        <v>2246</v>
      </c>
      <c r="B134" s="96" t="s">
        <v>2106</v>
      </c>
      <c r="C134" s="96">
        <v>2</v>
      </c>
      <c r="D134" s="118">
        <v>0.001296565138262235</v>
      </c>
      <c r="E134" s="118">
        <v>1.694458947212401</v>
      </c>
      <c r="F134" s="96" t="s">
        <v>2335</v>
      </c>
      <c r="G134" s="96" t="b">
        <v>0</v>
      </c>
      <c r="H134" s="96" t="b">
        <v>0</v>
      </c>
      <c r="I134" s="96" t="b">
        <v>0</v>
      </c>
      <c r="J134" s="96" t="b">
        <v>0</v>
      </c>
      <c r="K134" s="96" t="b">
        <v>0</v>
      </c>
      <c r="L134" s="96" t="b">
        <v>0</v>
      </c>
    </row>
    <row r="135" spans="1:12" ht="15">
      <c r="A135" s="97" t="s">
        <v>2107</v>
      </c>
      <c r="B135" s="96" t="s">
        <v>2247</v>
      </c>
      <c r="C135" s="96">
        <v>2</v>
      </c>
      <c r="D135" s="118">
        <v>0.001296565138262235</v>
      </c>
      <c r="E135" s="118">
        <v>1.3052928628478686</v>
      </c>
      <c r="F135" s="96" t="s">
        <v>2335</v>
      </c>
      <c r="G135" s="96" t="b">
        <v>0</v>
      </c>
      <c r="H135" s="96" t="b">
        <v>0</v>
      </c>
      <c r="I135" s="96" t="b">
        <v>0</v>
      </c>
      <c r="J135" s="96" t="b">
        <v>0</v>
      </c>
      <c r="K135" s="96" t="b">
        <v>0</v>
      </c>
      <c r="L135" s="96" t="b">
        <v>0</v>
      </c>
    </row>
    <row r="136" spans="1:12" ht="15">
      <c r="A136" s="97" t="s">
        <v>2247</v>
      </c>
      <c r="B136" s="96" t="s">
        <v>2157</v>
      </c>
      <c r="C136" s="96">
        <v>2</v>
      </c>
      <c r="D136" s="118">
        <v>0.001296565138262235</v>
      </c>
      <c r="E136" s="118">
        <v>2.3934289515484197</v>
      </c>
      <c r="F136" s="96" t="s">
        <v>2335</v>
      </c>
      <c r="G136" s="96" t="b">
        <v>0</v>
      </c>
      <c r="H136" s="96" t="b">
        <v>0</v>
      </c>
      <c r="I136" s="96" t="b">
        <v>0</v>
      </c>
      <c r="J136" s="96" t="b">
        <v>0</v>
      </c>
      <c r="K136" s="96" t="b">
        <v>0</v>
      </c>
      <c r="L136" s="96" t="b">
        <v>0</v>
      </c>
    </row>
    <row r="137" spans="1:12" ht="15">
      <c r="A137" s="97" t="s">
        <v>2157</v>
      </c>
      <c r="B137" s="96" t="s">
        <v>2180</v>
      </c>
      <c r="C137" s="96">
        <v>2</v>
      </c>
      <c r="D137" s="118">
        <v>0.001296565138262235</v>
      </c>
      <c r="E137" s="118">
        <v>1.9163076968287573</v>
      </c>
      <c r="F137" s="96" t="s">
        <v>2335</v>
      </c>
      <c r="G137" s="96" t="b">
        <v>0</v>
      </c>
      <c r="H137" s="96" t="b">
        <v>0</v>
      </c>
      <c r="I137" s="96" t="b">
        <v>0</v>
      </c>
      <c r="J137" s="96" t="b">
        <v>0</v>
      </c>
      <c r="K137" s="96" t="b">
        <v>0</v>
      </c>
      <c r="L137" s="96" t="b">
        <v>0</v>
      </c>
    </row>
    <row r="138" spans="1:12" ht="15">
      <c r="A138" s="97" t="s">
        <v>2180</v>
      </c>
      <c r="B138" s="96" t="s">
        <v>2248</v>
      </c>
      <c r="C138" s="96">
        <v>2</v>
      </c>
      <c r="D138" s="118">
        <v>0.001296565138262235</v>
      </c>
      <c r="E138" s="118">
        <v>2.694458947212401</v>
      </c>
      <c r="F138" s="96" t="s">
        <v>2335</v>
      </c>
      <c r="G138" s="96" t="b">
        <v>0</v>
      </c>
      <c r="H138" s="96" t="b">
        <v>0</v>
      </c>
      <c r="I138" s="96" t="b">
        <v>0</v>
      </c>
      <c r="J138" s="96" t="b">
        <v>0</v>
      </c>
      <c r="K138" s="96" t="b">
        <v>0</v>
      </c>
      <c r="L138" s="96" t="b">
        <v>0</v>
      </c>
    </row>
    <row r="139" spans="1:12" ht="15">
      <c r="A139" s="97" t="s">
        <v>2248</v>
      </c>
      <c r="B139" s="96" t="s">
        <v>2249</v>
      </c>
      <c r="C139" s="96">
        <v>2</v>
      </c>
      <c r="D139" s="118">
        <v>0.001296565138262235</v>
      </c>
      <c r="E139" s="118">
        <v>3.1715802019320636</v>
      </c>
      <c r="F139" s="96" t="s">
        <v>2335</v>
      </c>
      <c r="G139" s="96" t="b">
        <v>0</v>
      </c>
      <c r="H139" s="96" t="b">
        <v>0</v>
      </c>
      <c r="I139" s="96" t="b">
        <v>0</v>
      </c>
      <c r="J139" s="96" t="b">
        <v>0</v>
      </c>
      <c r="K139" s="96" t="b">
        <v>0</v>
      </c>
      <c r="L139" s="96" t="b">
        <v>0</v>
      </c>
    </row>
    <row r="140" spans="1:12" ht="15">
      <c r="A140" s="97" t="s">
        <v>2249</v>
      </c>
      <c r="B140" s="96" t="s">
        <v>2133</v>
      </c>
      <c r="C140" s="96">
        <v>2</v>
      </c>
      <c r="D140" s="118">
        <v>0.001296565138262235</v>
      </c>
      <c r="E140" s="118">
        <v>1.981248503761772</v>
      </c>
      <c r="F140" s="96" t="s">
        <v>2335</v>
      </c>
      <c r="G140" s="96" t="b">
        <v>0</v>
      </c>
      <c r="H140" s="96" t="b">
        <v>0</v>
      </c>
      <c r="I140" s="96" t="b">
        <v>0</v>
      </c>
      <c r="J140" s="96" t="b">
        <v>0</v>
      </c>
      <c r="K140" s="96" t="b">
        <v>0</v>
      </c>
      <c r="L140" s="96" t="b">
        <v>0</v>
      </c>
    </row>
    <row r="141" spans="1:12" ht="15">
      <c r="A141" s="97" t="s">
        <v>2137</v>
      </c>
      <c r="B141" s="96" t="s">
        <v>2191</v>
      </c>
      <c r="C141" s="96">
        <v>2</v>
      </c>
      <c r="D141" s="118">
        <v>0.001296565138262235</v>
      </c>
      <c r="E141" s="118">
        <v>1.8051572447060906</v>
      </c>
      <c r="F141" s="96" t="s">
        <v>2335</v>
      </c>
      <c r="G141" s="96" t="b">
        <v>0</v>
      </c>
      <c r="H141" s="96" t="b">
        <v>0</v>
      </c>
      <c r="I141" s="96" t="b">
        <v>0</v>
      </c>
      <c r="J141" s="96" t="b">
        <v>0</v>
      </c>
      <c r="K141" s="96" t="b">
        <v>0</v>
      </c>
      <c r="L141" s="96" t="b">
        <v>0</v>
      </c>
    </row>
    <row r="142" spans="1:12" ht="15">
      <c r="A142" s="97" t="s">
        <v>2191</v>
      </c>
      <c r="B142" s="96" t="s">
        <v>2250</v>
      </c>
      <c r="C142" s="96">
        <v>2</v>
      </c>
      <c r="D142" s="118">
        <v>0.001296565138262235</v>
      </c>
      <c r="E142" s="118">
        <v>2.9954889428763822</v>
      </c>
      <c r="F142" s="96" t="s">
        <v>2335</v>
      </c>
      <c r="G142" s="96" t="b">
        <v>0</v>
      </c>
      <c r="H142" s="96" t="b">
        <v>0</v>
      </c>
      <c r="I142" s="96" t="b">
        <v>0</v>
      </c>
      <c r="J142" s="96" t="b">
        <v>0</v>
      </c>
      <c r="K142" s="96" t="b">
        <v>0</v>
      </c>
      <c r="L142" s="96" t="b">
        <v>0</v>
      </c>
    </row>
    <row r="143" spans="1:12" ht="15">
      <c r="A143" s="97" t="s">
        <v>2250</v>
      </c>
      <c r="B143" s="96" t="s">
        <v>2192</v>
      </c>
      <c r="C143" s="96">
        <v>2</v>
      </c>
      <c r="D143" s="118">
        <v>0.001296565138262235</v>
      </c>
      <c r="E143" s="118">
        <v>2.9954889428763822</v>
      </c>
      <c r="F143" s="96" t="s">
        <v>2335</v>
      </c>
      <c r="G143" s="96" t="b">
        <v>0</v>
      </c>
      <c r="H143" s="96" t="b">
        <v>0</v>
      </c>
      <c r="I143" s="96" t="b">
        <v>0</v>
      </c>
      <c r="J143" s="96" t="b">
        <v>0</v>
      </c>
      <c r="K143" s="96" t="b">
        <v>0</v>
      </c>
      <c r="L143" s="96" t="b">
        <v>0</v>
      </c>
    </row>
    <row r="144" spans="1:12" ht="15">
      <c r="A144" s="97" t="s">
        <v>2192</v>
      </c>
      <c r="B144" s="96" t="s">
        <v>2251</v>
      </c>
      <c r="C144" s="96">
        <v>2</v>
      </c>
      <c r="D144" s="118">
        <v>0.001296565138262235</v>
      </c>
      <c r="E144" s="118">
        <v>2.9954889428763822</v>
      </c>
      <c r="F144" s="96" t="s">
        <v>2335</v>
      </c>
      <c r="G144" s="96" t="b">
        <v>0</v>
      </c>
      <c r="H144" s="96" t="b">
        <v>0</v>
      </c>
      <c r="I144" s="96" t="b">
        <v>0</v>
      </c>
      <c r="J144" s="96" t="b">
        <v>0</v>
      </c>
      <c r="K144" s="96" t="b">
        <v>0</v>
      </c>
      <c r="L144" s="96" t="b">
        <v>0</v>
      </c>
    </row>
    <row r="145" spans="1:12" ht="15">
      <c r="A145" s="97" t="s">
        <v>2251</v>
      </c>
      <c r="B145" s="96" t="s">
        <v>2252</v>
      </c>
      <c r="C145" s="96">
        <v>2</v>
      </c>
      <c r="D145" s="118">
        <v>0.001296565138262235</v>
      </c>
      <c r="E145" s="118">
        <v>3.1715802019320636</v>
      </c>
      <c r="F145" s="96" t="s">
        <v>2335</v>
      </c>
      <c r="G145" s="96" t="b">
        <v>0</v>
      </c>
      <c r="H145" s="96" t="b">
        <v>0</v>
      </c>
      <c r="I145" s="96" t="b">
        <v>0</v>
      </c>
      <c r="J145" s="96" t="b">
        <v>0</v>
      </c>
      <c r="K145" s="96" t="b">
        <v>0</v>
      </c>
      <c r="L145" s="96" t="b">
        <v>0</v>
      </c>
    </row>
    <row r="146" spans="1:12" ht="15">
      <c r="A146" s="97" t="s">
        <v>2252</v>
      </c>
      <c r="B146" s="96" t="s">
        <v>2253</v>
      </c>
      <c r="C146" s="96">
        <v>2</v>
      </c>
      <c r="D146" s="118">
        <v>0.001296565138262235</v>
      </c>
      <c r="E146" s="118">
        <v>3.1715802019320636</v>
      </c>
      <c r="F146" s="96" t="s">
        <v>2335</v>
      </c>
      <c r="G146" s="96" t="b">
        <v>0</v>
      </c>
      <c r="H146" s="96" t="b">
        <v>0</v>
      </c>
      <c r="I146" s="96" t="b">
        <v>0</v>
      </c>
      <c r="J146" s="96" t="b">
        <v>0</v>
      </c>
      <c r="K146" s="96" t="b">
        <v>0</v>
      </c>
      <c r="L146" s="96" t="b">
        <v>0</v>
      </c>
    </row>
    <row r="147" spans="1:12" ht="15">
      <c r="A147" s="97" t="s">
        <v>2107</v>
      </c>
      <c r="B147" s="96" t="s">
        <v>2254</v>
      </c>
      <c r="C147" s="96">
        <v>2</v>
      </c>
      <c r="D147" s="118">
        <v>0.001296565138262235</v>
      </c>
      <c r="E147" s="118">
        <v>1.3052928628478686</v>
      </c>
      <c r="F147" s="96" t="s">
        <v>2335</v>
      </c>
      <c r="G147" s="96" t="b">
        <v>0</v>
      </c>
      <c r="H147" s="96" t="b">
        <v>0</v>
      </c>
      <c r="I147" s="96" t="b">
        <v>0</v>
      </c>
      <c r="J147" s="96" t="b">
        <v>0</v>
      </c>
      <c r="K147" s="96" t="b">
        <v>0</v>
      </c>
      <c r="L147" s="96" t="b">
        <v>0</v>
      </c>
    </row>
    <row r="148" spans="1:12" ht="15">
      <c r="A148" s="97" t="s">
        <v>2254</v>
      </c>
      <c r="B148" s="96" t="s">
        <v>2184</v>
      </c>
      <c r="C148" s="96">
        <v>2</v>
      </c>
      <c r="D148" s="118">
        <v>0.001296565138262235</v>
      </c>
      <c r="E148" s="118">
        <v>2.8705502062680823</v>
      </c>
      <c r="F148" s="96" t="s">
        <v>2335</v>
      </c>
      <c r="G148" s="96" t="b">
        <v>0</v>
      </c>
      <c r="H148" s="96" t="b">
        <v>0</v>
      </c>
      <c r="I148" s="96" t="b">
        <v>0</v>
      </c>
      <c r="J148" s="96" t="b">
        <v>0</v>
      </c>
      <c r="K148" s="96" t="b">
        <v>0</v>
      </c>
      <c r="L148" s="96" t="b">
        <v>0</v>
      </c>
    </row>
    <row r="149" spans="1:12" ht="15">
      <c r="A149" s="97" t="s">
        <v>2184</v>
      </c>
      <c r="B149" s="96" t="s">
        <v>2255</v>
      </c>
      <c r="C149" s="96">
        <v>2</v>
      </c>
      <c r="D149" s="118">
        <v>0.001296565138262235</v>
      </c>
      <c r="E149" s="118">
        <v>2.9954889428763822</v>
      </c>
      <c r="F149" s="96" t="s">
        <v>2335</v>
      </c>
      <c r="G149" s="96" t="b">
        <v>0</v>
      </c>
      <c r="H149" s="96" t="b">
        <v>0</v>
      </c>
      <c r="I149" s="96" t="b">
        <v>0</v>
      </c>
      <c r="J149" s="96" t="b">
        <v>0</v>
      </c>
      <c r="K149" s="96" t="b">
        <v>0</v>
      </c>
      <c r="L149" s="96" t="b">
        <v>0</v>
      </c>
    </row>
    <row r="150" spans="1:12" ht="15">
      <c r="A150" s="97" t="s">
        <v>2255</v>
      </c>
      <c r="B150" s="96" t="s">
        <v>2256</v>
      </c>
      <c r="C150" s="96">
        <v>2</v>
      </c>
      <c r="D150" s="118">
        <v>0.001296565138262235</v>
      </c>
      <c r="E150" s="118">
        <v>3.1715802019320636</v>
      </c>
      <c r="F150" s="96" t="s">
        <v>2335</v>
      </c>
      <c r="G150" s="96" t="b">
        <v>0</v>
      </c>
      <c r="H150" s="96" t="b">
        <v>0</v>
      </c>
      <c r="I150" s="96" t="b">
        <v>0</v>
      </c>
      <c r="J150" s="96" t="b">
        <v>0</v>
      </c>
      <c r="K150" s="96" t="b">
        <v>0</v>
      </c>
      <c r="L150" s="96" t="b">
        <v>0</v>
      </c>
    </row>
    <row r="151" spans="1:12" ht="15">
      <c r="A151" s="97" t="s">
        <v>2256</v>
      </c>
      <c r="B151" s="96" t="s">
        <v>2180</v>
      </c>
      <c r="C151" s="96">
        <v>2</v>
      </c>
      <c r="D151" s="118">
        <v>0.001296565138262235</v>
      </c>
      <c r="E151" s="118">
        <v>2.694458947212401</v>
      </c>
      <c r="F151" s="96" t="s">
        <v>2335</v>
      </c>
      <c r="G151" s="96" t="b">
        <v>0</v>
      </c>
      <c r="H151" s="96" t="b">
        <v>0</v>
      </c>
      <c r="I151" s="96" t="b">
        <v>0</v>
      </c>
      <c r="J151" s="96" t="b">
        <v>0</v>
      </c>
      <c r="K151" s="96" t="b">
        <v>0</v>
      </c>
      <c r="L151" s="96" t="b">
        <v>0</v>
      </c>
    </row>
    <row r="152" spans="1:12" ht="15">
      <c r="A152" s="97" t="s">
        <v>2180</v>
      </c>
      <c r="B152" s="96" t="s">
        <v>2257</v>
      </c>
      <c r="C152" s="96">
        <v>2</v>
      </c>
      <c r="D152" s="118">
        <v>0.001296565138262235</v>
      </c>
      <c r="E152" s="118">
        <v>2.694458947212401</v>
      </c>
      <c r="F152" s="96" t="s">
        <v>2335</v>
      </c>
      <c r="G152" s="96" t="b">
        <v>0</v>
      </c>
      <c r="H152" s="96" t="b">
        <v>0</v>
      </c>
      <c r="I152" s="96" t="b">
        <v>0</v>
      </c>
      <c r="J152" s="96" t="b">
        <v>0</v>
      </c>
      <c r="K152" s="96" t="b">
        <v>0</v>
      </c>
      <c r="L152" s="96" t="b">
        <v>0</v>
      </c>
    </row>
    <row r="153" spans="1:12" ht="15">
      <c r="A153" s="97" t="s">
        <v>441</v>
      </c>
      <c r="B153" s="96" t="s">
        <v>2268</v>
      </c>
      <c r="C153" s="96">
        <v>2</v>
      </c>
      <c r="D153" s="118">
        <v>0.001296565138262235</v>
      </c>
      <c r="E153" s="118">
        <v>3.1715802019320636</v>
      </c>
      <c r="F153" s="96" t="s">
        <v>2335</v>
      </c>
      <c r="G153" s="96" t="b">
        <v>0</v>
      </c>
      <c r="H153" s="96" t="b">
        <v>0</v>
      </c>
      <c r="I153" s="96" t="b">
        <v>0</v>
      </c>
      <c r="J153" s="96" t="b">
        <v>0</v>
      </c>
      <c r="K153" s="96" t="b">
        <v>0</v>
      </c>
      <c r="L153" s="96" t="b">
        <v>0</v>
      </c>
    </row>
    <row r="154" spans="1:12" ht="15">
      <c r="A154" s="97" t="s">
        <v>2268</v>
      </c>
      <c r="B154" s="96" t="s">
        <v>2269</v>
      </c>
      <c r="C154" s="96">
        <v>2</v>
      </c>
      <c r="D154" s="118">
        <v>0.001296565138262235</v>
      </c>
      <c r="E154" s="118">
        <v>3.1715802019320636</v>
      </c>
      <c r="F154" s="96" t="s">
        <v>2335</v>
      </c>
      <c r="G154" s="96" t="b">
        <v>0</v>
      </c>
      <c r="H154" s="96" t="b">
        <v>0</v>
      </c>
      <c r="I154" s="96" t="b">
        <v>0</v>
      </c>
      <c r="J154" s="96" t="b">
        <v>0</v>
      </c>
      <c r="K154" s="96" t="b">
        <v>0</v>
      </c>
      <c r="L154" s="96" t="b">
        <v>0</v>
      </c>
    </row>
    <row r="155" spans="1:12" ht="15">
      <c r="A155" s="97" t="s">
        <v>2269</v>
      </c>
      <c r="B155" s="96" t="s">
        <v>2270</v>
      </c>
      <c r="C155" s="96">
        <v>2</v>
      </c>
      <c r="D155" s="118">
        <v>0.001296565138262235</v>
      </c>
      <c r="E155" s="118">
        <v>3.1715802019320636</v>
      </c>
      <c r="F155" s="96" t="s">
        <v>2335</v>
      </c>
      <c r="G155" s="96" t="b">
        <v>0</v>
      </c>
      <c r="H155" s="96" t="b">
        <v>0</v>
      </c>
      <c r="I155" s="96" t="b">
        <v>0</v>
      </c>
      <c r="J155" s="96" t="b">
        <v>0</v>
      </c>
      <c r="K155" s="96" t="b">
        <v>0</v>
      </c>
      <c r="L155" s="96" t="b">
        <v>0</v>
      </c>
    </row>
    <row r="156" spans="1:12" ht="15">
      <c r="A156" s="97" t="s">
        <v>2270</v>
      </c>
      <c r="B156" s="96" t="s">
        <v>2271</v>
      </c>
      <c r="C156" s="96">
        <v>2</v>
      </c>
      <c r="D156" s="118">
        <v>0.001296565138262235</v>
      </c>
      <c r="E156" s="118">
        <v>3.1715802019320636</v>
      </c>
      <c r="F156" s="96" t="s">
        <v>2335</v>
      </c>
      <c r="G156" s="96" t="b">
        <v>0</v>
      </c>
      <c r="H156" s="96" t="b">
        <v>0</v>
      </c>
      <c r="I156" s="96" t="b">
        <v>0</v>
      </c>
      <c r="J156" s="96" t="b">
        <v>0</v>
      </c>
      <c r="K156" s="96" t="b">
        <v>0</v>
      </c>
      <c r="L156" s="96" t="b">
        <v>0</v>
      </c>
    </row>
    <row r="157" spans="1:12" ht="15">
      <c r="A157" s="97" t="s">
        <v>2271</v>
      </c>
      <c r="B157" s="96" t="s">
        <v>2272</v>
      </c>
      <c r="C157" s="96">
        <v>2</v>
      </c>
      <c r="D157" s="118">
        <v>0.001296565138262235</v>
      </c>
      <c r="E157" s="118">
        <v>3.1715802019320636</v>
      </c>
      <c r="F157" s="96" t="s">
        <v>2335</v>
      </c>
      <c r="G157" s="96" t="b">
        <v>0</v>
      </c>
      <c r="H157" s="96" t="b">
        <v>0</v>
      </c>
      <c r="I157" s="96" t="b">
        <v>0</v>
      </c>
      <c r="J157" s="96" t="b">
        <v>0</v>
      </c>
      <c r="K157" s="96" t="b">
        <v>0</v>
      </c>
      <c r="L157" s="96" t="b">
        <v>0</v>
      </c>
    </row>
    <row r="158" spans="1:12" ht="15">
      <c r="A158" s="97" t="s">
        <v>2272</v>
      </c>
      <c r="B158" s="96" t="s">
        <v>2209</v>
      </c>
      <c r="C158" s="96">
        <v>2</v>
      </c>
      <c r="D158" s="118">
        <v>0.001296565138262235</v>
      </c>
      <c r="E158" s="118">
        <v>2.9954889428763822</v>
      </c>
      <c r="F158" s="96" t="s">
        <v>2335</v>
      </c>
      <c r="G158" s="96" t="b">
        <v>0</v>
      </c>
      <c r="H158" s="96" t="b">
        <v>0</v>
      </c>
      <c r="I158" s="96" t="b">
        <v>0</v>
      </c>
      <c r="J158" s="96" t="b">
        <v>0</v>
      </c>
      <c r="K158" s="96" t="b">
        <v>0</v>
      </c>
      <c r="L158" s="96" t="b">
        <v>0</v>
      </c>
    </row>
    <row r="159" spans="1:12" ht="15">
      <c r="A159" s="97" t="s">
        <v>2210</v>
      </c>
      <c r="B159" s="96" t="s">
        <v>2273</v>
      </c>
      <c r="C159" s="96">
        <v>2</v>
      </c>
      <c r="D159" s="118">
        <v>0.001296565138262235</v>
      </c>
      <c r="E159" s="118">
        <v>2.9954889428763822</v>
      </c>
      <c r="F159" s="96" t="s">
        <v>2335</v>
      </c>
      <c r="G159" s="96" t="b">
        <v>0</v>
      </c>
      <c r="H159" s="96" t="b">
        <v>0</v>
      </c>
      <c r="I159" s="96" t="b">
        <v>0</v>
      </c>
      <c r="J159" s="96" t="b">
        <v>0</v>
      </c>
      <c r="K159" s="96" t="b">
        <v>0</v>
      </c>
      <c r="L159" s="96" t="b">
        <v>0</v>
      </c>
    </row>
    <row r="160" spans="1:12" ht="15">
      <c r="A160" s="97" t="s">
        <v>2273</v>
      </c>
      <c r="B160" s="96" t="s">
        <v>2274</v>
      </c>
      <c r="C160" s="96">
        <v>2</v>
      </c>
      <c r="D160" s="118">
        <v>0.001296565138262235</v>
      </c>
      <c r="E160" s="118">
        <v>3.1715802019320636</v>
      </c>
      <c r="F160" s="96" t="s">
        <v>2335</v>
      </c>
      <c r="G160" s="96" t="b">
        <v>0</v>
      </c>
      <c r="H160" s="96" t="b">
        <v>0</v>
      </c>
      <c r="I160" s="96" t="b">
        <v>0</v>
      </c>
      <c r="J160" s="96" t="b">
        <v>0</v>
      </c>
      <c r="K160" s="96" t="b">
        <v>0</v>
      </c>
      <c r="L160" s="96" t="b">
        <v>0</v>
      </c>
    </row>
    <row r="161" spans="1:12" ht="15">
      <c r="A161" s="97" t="s">
        <v>2274</v>
      </c>
      <c r="B161" s="96" t="s">
        <v>2106</v>
      </c>
      <c r="C161" s="96">
        <v>2</v>
      </c>
      <c r="D161" s="118">
        <v>0.001296565138262235</v>
      </c>
      <c r="E161" s="118">
        <v>1.694458947212401</v>
      </c>
      <c r="F161" s="96" t="s">
        <v>2335</v>
      </c>
      <c r="G161" s="96" t="b">
        <v>0</v>
      </c>
      <c r="H161" s="96" t="b">
        <v>0</v>
      </c>
      <c r="I161" s="96" t="b">
        <v>0</v>
      </c>
      <c r="J161" s="96" t="b">
        <v>0</v>
      </c>
      <c r="K161" s="96" t="b">
        <v>0</v>
      </c>
      <c r="L161" s="96" t="b">
        <v>0</v>
      </c>
    </row>
    <row r="162" spans="1:12" ht="15">
      <c r="A162" s="97" t="s">
        <v>2275</v>
      </c>
      <c r="B162" s="96" t="s">
        <v>2276</v>
      </c>
      <c r="C162" s="96">
        <v>2</v>
      </c>
      <c r="D162" s="118">
        <v>0.001296565138262235</v>
      </c>
      <c r="E162" s="118">
        <v>3.1715802019320636</v>
      </c>
      <c r="F162" s="96" t="s">
        <v>2335</v>
      </c>
      <c r="G162" s="96" t="b">
        <v>0</v>
      </c>
      <c r="H162" s="96" t="b">
        <v>0</v>
      </c>
      <c r="I162" s="96" t="b">
        <v>0</v>
      </c>
      <c r="J162" s="96" t="b">
        <v>0</v>
      </c>
      <c r="K162" s="96" t="b">
        <v>0</v>
      </c>
      <c r="L162" s="96" t="b">
        <v>0</v>
      </c>
    </row>
    <row r="163" spans="1:12" ht="15">
      <c r="A163" s="97" t="s">
        <v>2276</v>
      </c>
      <c r="B163" s="96" t="s">
        <v>2108</v>
      </c>
      <c r="C163" s="96">
        <v>2</v>
      </c>
      <c r="D163" s="118">
        <v>0.001296565138262235</v>
      </c>
      <c r="E163" s="118">
        <v>2.2421612762177707</v>
      </c>
      <c r="F163" s="96" t="s">
        <v>2335</v>
      </c>
      <c r="G163" s="96" t="b">
        <v>0</v>
      </c>
      <c r="H163" s="96" t="b">
        <v>0</v>
      </c>
      <c r="I163" s="96" t="b">
        <v>0</v>
      </c>
      <c r="J163" s="96" t="b">
        <v>0</v>
      </c>
      <c r="K163" s="96" t="b">
        <v>0</v>
      </c>
      <c r="L163" s="96" t="b">
        <v>0</v>
      </c>
    </row>
    <row r="164" spans="1:12" ht="15">
      <c r="A164" s="97" t="s">
        <v>2108</v>
      </c>
      <c r="B164" s="96" t="s">
        <v>2277</v>
      </c>
      <c r="C164" s="96">
        <v>2</v>
      </c>
      <c r="D164" s="118">
        <v>0.001296565138262235</v>
      </c>
      <c r="E164" s="118">
        <v>1.740216437773076</v>
      </c>
      <c r="F164" s="96" t="s">
        <v>2335</v>
      </c>
      <c r="G164" s="96" t="b">
        <v>0</v>
      </c>
      <c r="H164" s="96" t="b">
        <v>0</v>
      </c>
      <c r="I164" s="96" t="b">
        <v>0</v>
      </c>
      <c r="J164" s="96" t="b">
        <v>0</v>
      </c>
      <c r="K164" s="96" t="b">
        <v>0</v>
      </c>
      <c r="L164" s="96" t="b">
        <v>0</v>
      </c>
    </row>
    <row r="165" spans="1:12" ht="15">
      <c r="A165" s="97" t="s">
        <v>2277</v>
      </c>
      <c r="B165" s="96" t="s">
        <v>2278</v>
      </c>
      <c r="C165" s="96">
        <v>2</v>
      </c>
      <c r="D165" s="118">
        <v>0.001296565138262235</v>
      </c>
      <c r="E165" s="118">
        <v>3.1715802019320636</v>
      </c>
      <c r="F165" s="96" t="s">
        <v>2335</v>
      </c>
      <c r="G165" s="96" t="b">
        <v>0</v>
      </c>
      <c r="H165" s="96" t="b">
        <v>0</v>
      </c>
      <c r="I165" s="96" t="b">
        <v>0</v>
      </c>
      <c r="J165" s="96" t="b">
        <v>0</v>
      </c>
      <c r="K165" s="96" t="b">
        <v>0</v>
      </c>
      <c r="L165" s="96" t="b">
        <v>0</v>
      </c>
    </row>
    <row r="166" spans="1:12" ht="15">
      <c r="A166" s="97" t="s">
        <v>2278</v>
      </c>
      <c r="B166" s="96" t="s">
        <v>2279</v>
      </c>
      <c r="C166" s="96">
        <v>2</v>
      </c>
      <c r="D166" s="118">
        <v>0.001296565138262235</v>
      </c>
      <c r="E166" s="118">
        <v>3.1715802019320636</v>
      </c>
      <c r="F166" s="96" t="s">
        <v>2335</v>
      </c>
      <c r="G166" s="96" t="b">
        <v>0</v>
      </c>
      <c r="H166" s="96" t="b">
        <v>0</v>
      </c>
      <c r="I166" s="96" t="b">
        <v>0</v>
      </c>
      <c r="J166" s="96" t="b">
        <v>0</v>
      </c>
      <c r="K166" s="96" t="b">
        <v>0</v>
      </c>
      <c r="L166" s="96" t="b">
        <v>0</v>
      </c>
    </row>
    <row r="167" spans="1:12" ht="15">
      <c r="A167" s="97" t="s">
        <v>2279</v>
      </c>
      <c r="B167" s="96" t="s">
        <v>2280</v>
      </c>
      <c r="C167" s="96">
        <v>2</v>
      </c>
      <c r="D167" s="118">
        <v>0.001296565138262235</v>
      </c>
      <c r="E167" s="118">
        <v>3.1715802019320636</v>
      </c>
      <c r="F167" s="96" t="s">
        <v>2335</v>
      </c>
      <c r="G167" s="96" t="b">
        <v>0</v>
      </c>
      <c r="H167" s="96" t="b">
        <v>0</v>
      </c>
      <c r="I167" s="96" t="b">
        <v>0</v>
      </c>
      <c r="J167" s="96" t="b">
        <v>0</v>
      </c>
      <c r="K167" s="96" t="b">
        <v>0</v>
      </c>
      <c r="L167" s="96" t="b">
        <v>0</v>
      </c>
    </row>
    <row r="168" spans="1:12" ht="15">
      <c r="A168" s="97" t="s">
        <v>434</v>
      </c>
      <c r="B168" s="96" t="s">
        <v>416</v>
      </c>
      <c r="C168" s="96">
        <v>2</v>
      </c>
      <c r="D168" s="118">
        <v>0.001296565138262235</v>
      </c>
      <c r="E168" s="118">
        <v>1.9347911025227704</v>
      </c>
      <c r="F168" s="96" t="s">
        <v>2335</v>
      </c>
      <c r="G168" s="96" t="b">
        <v>0</v>
      </c>
      <c r="H168" s="96" t="b">
        <v>0</v>
      </c>
      <c r="I168" s="96" t="b">
        <v>0</v>
      </c>
      <c r="J168" s="96" t="b">
        <v>0</v>
      </c>
      <c r="K168" s="96" t="b">
        <v>0</v>
      </c>
      <c r="L168" s="96" t="b">
        <v>0</v>
      </c>
    </row>
    <row r="169" spans="1:12" ht="15">
      <c r="A169" s="97" t="s">
        <v>2295</v>
      </c>
      <c r="B169" s="96" t="s">
        <v>2296</v>
      </c>
      <c r="C169" s="96">
        <v>2</v>
      </c>
      <c r="D169" s="118">
        <v>0.001296565138262235</v>
      </c>
      <c r="E169" s="118">
        <v>3.1715802019320636</v>
      </c>
      <c r="F169" s="96" t="s">
        <v>2335</v>
      </c>
      <c r="G169" s="96" t="b">
        <v>0</v>
      </c>
      <c r="H169" s="96" t="b">
        <v>0</v>
      </c>
      <c r="I169" s="96" t="b">
        <v>0</v>
      </c>
      <c r="J169" s="96" t="b">
        <v>0</v>
      </c>
      <c r="K169" s="96" t="b">
        <v>0</v>
      </c>
      <c r="L169" s="96" t="b">
        <v>0</v>
      </c>
    </row>
    <row r="170" spans="1:12" ht="15">
      <c r="A170" s="97" t="s">
        <v>2296</v>
      </c>
      <c r="B170" s="96" t="s">
        <v>2297</v>
      </c>
      <c r="C170" s="96">
        <v>2</v>
      </c>
      <c r="D170" s="118">
        <v>0.001296565138262235</v>
      </c>
      <c r="E170" s="118">
        <v>3.1715802019320636</v>
      </c>
      <c r="F170" s="96" t="s">
        <v>2335</v>
      </c>
      <c r="G170" s="96" t="b">
        <v>0</v>
      </c>
      <c r="H170" s="96" t="b">
        <v>0</v>
      </c>
      <c r="I170" s="96" t="b">
        <v>0</v>
      </c>
      <c r="J170" s="96" t="b">
        <v>0</v>
      </c>
      <c r="K170" s="96" t="b">
        <v>0</v>
      </c>
      <c r="L170" s="96" t="b">
        <v>0</v>
      </c>
    </row>
    <row r="171" spans="1:12" ht="15">
      <c r="A171" s="97" t="s">
        <v>2107</v>
      </c>
      <c r="B171" s="96" t="s">
        <v>2298</v>
      </c>
      <c r="C171" s="96">
        <v>2</v>
      </c>
      <c r="D171" s="118">
        <v>0.001296565138262235</v>
      </c>
      <c r="E171" s="118">
        <v>1.3052928628478686</v>
      </c>
      <c r="F171" s="96" t="s">
        <v>2335</v>
      </c>
      <c r="G171" s="96" t="b">
        <v>0</v>
      </c>
      <c r="H171" s="96" t="b">
        <v>0</v>
      </c>
      <c r="I171" s="96" t="b">
        <v>0</v>
      </c>
      <c r="J171" s="96" t="b">
        <v>0</v>
      </c>
      <c r="K171" s="96" t="b">
        <v>0</v>
      </c>
      <c r="L171" s="96" t="b">
        <v>0</v>
      </c>
    </row>
    <row r="172" spans="1:12" ht="15">
      <c r="A172" s="97" t="s">
        <v>2298</v>
      </c>
      <c r="B172" s="96" t="s">
        <v>2186</v>
      </c>
      <c r="C172" s="96">
        <v>2</v>
      </c>
      <c r="D172" s="118">
        <v>0.001296565138262235</v>
      </c>
      <c r="E172" s="118">
        <v>2.8705502062680823</v>
      </c>
      <c r="F172" s="96" t="s">
        <v>2335</v>
      </c>
      <c r="G172" s="96" t="b">
        <v>0</v>
      </c>
      <c r="H172" s="96" t="b">
        <v>0</v>
      </c>
      <c r="I172" s="96" t="b">
        <v>0</v>
      </c>
      <c r="J172" s="96" t="b">
        <v>0</v>
      </c>
      <c r="K172" s="96" t="b">
        <v>0</v>
      </c>
      <c r="L172" s="96" t="b">
        <v>0</v>
      </c>
    </row>
    <row r="173" spans="1:12" ht="15">
      <c r="A173" s="97" t="s">
        <v>2186</v>
      </c>
      <c r="B173" s="96" t="s">
        <v>2299</v>
      </c>
      <c r="C173" s="96">
        <v>2</v>
      </c>
      <c r="D173" s="118">
        <v>0.001296565138262235</v>
      </c>
      <c r="E173" s="118">
        <v>2.8705502062680823</v>
      </c>
      <c r="F173" s="96" t="s">
        <v>2335</v>
      </c>
      <c r="G173" s="96" t="b">
        <v>0</v>
      </c>
      <c r="H173" s="96" t="b">
        <v>0</v>
      </c>
      <c r="I173" s="96" t="b">
        <v>0</v>
      </c>
      <c r="J173" s="96" t="b">
        <v>0</v>
      </c>
      <c r="K173" s="96" t="b">
        <v>0</v>
      </c>
      <c r="L173" s="96" t="b">
        <v>0</v>
      </c>
    </row>
    <row r="174" spans="1:12" ht="15">
      <c r="A174" s="97" t="s">
        <v>2299</v>
      </c>
      <c r="B174" s="96" t="s">
        <v>2185</v>
      </c>
      <c r="C174" s="96">
        <v>2</v>
      </c>
      <c r="D174" s="118">
        <v>0.001296565138262235</v>
      </c>
      <c r="E174" s="118">
        <v>2.8705502062680823</v>
      </c>
      <c r="F174" s="96" t="s">
        <v>2335</v>
      </c>
      <c r="G174" s="96" t="b">
        <v>0</v>
      </c>
      <c r="H174" s="96" t="b">
        <v>0</v>
      </c>
      <c r="I174" s="96" t="b">
        <v>0</v>
      </c>
      <c r="J174" s="96" t="b">
        <v>0</v>
      </c>
      <c r="K174" s="96" t="b">
        <v>0</v>
      </c>
      <c r="L174" s="96" t="b">
        <v>0</v>
      </c>
    </row>
    <row r="175" spans="1:12" ht="15">
      <c r="A175" s="97" t="s">
        <v>2185</v>
      </c>
      <c r="B175" s="96" t="s">
        <v>2300</v>
      </c>
      <c r="C175" s="96">
        <v>2</v>
      </c>
      <c r="D175" s="118">
        <v>0.001296565138262235</v>
      </c>
      <c r="E175" s="118">
        <v>2.8705502062680823</v>
      </c>
      <c r="F175" s="96" t="s">
        <v>2335</v>
      </c>
      <c r="G175" s="96" t="b">
        <v>0</v>
      </c>
      <c r="H175" s="96" t="b">
        <v>0</v>
      </c>
      <c r="I175" s="96" t="b">
        <v>0</v>
      </c>
      <c r="J175" s="96" t="b">
        <v>0</v>
      </c>
      <c r="K175" s="96" t="b">
        <v>0</v>
      </c>
      <c r="L175" s="96" t="b">
        <v>0</v>
      </c>
    </row>
    <row r="176" spans="1:12" ht="15">
      <c r="A176" s="97" t="s">
        <v>2300</v>
      </c>
      <c r="B176" s="96" t="s">
        <v>2301</v>
      </c>
      <c r="C176" s="96">
        <v>2</v>
      </c>
      <c r="D176" s="118">
        <v>0.001296565138262235</v>
      </c>
      <c r="E176" s="118">
        <v>3.1715802019320636</v>
      </c>
      <c r="F176" s="96" t="s">
        <v>2335</v>
      </c>
      <c r="G176" s="96" t="b">
        <v>0</v>
      </c>
      <c r="H176" s="96" t="b">
        <v>0</v>
      </c>
      <c r="I176" s="96" t="b">
        <v>0</v>
      </c>
      <c r="J176" s="96" t="b">
        <v>0</v>
      </c>
      <c r="K176" s="96" t="b">
        <v>0</v>
      </c>
      <c r="L176" s="96" t="b">
        <v>0</v>
      </c>
    </row>
    <row r="177" spans="1:12" ht="15">
      <c r="A177" s="97" t="s">
        <v>2107</v>
      </c>
      <c r="B177" s="96" t="s">
        <v>2212</v>
      </c>
      <c r="C177" s="96">
        <v>2</v>
      </c>
      <c r="D177" s="118">
        <v>0.001296565138262235</v>
      </c>
      <c r="E177" s="118">
        <v>1.1292016037921873</v>
      </c>
      <c r="F177" s="96" t="s">
        <v>2335</v>
      </c>
      <c r="G177" s="96" t="b">
        <v>0</v>
      </c>
      <c r="H177" s="96" t="b">
        <v>0</v>
      </c>
      <c r="I177" s="96" t="b">
        <v>0</v>
      </c>
      <c r="J177" s="96" t="b">
        <v>0</v>
      </c>
      <c r="K177" s="96" t="b">
        <v>0</v>
      </c>
      <c r="L177" s="96" t="b">
        <v>0</v>
      </c>
    </row>
    <row r="178" spans="1:12" ht="15">
      <c r="A178" s="97" t="s">
        <v>346</v>
      </c>
      <c r="B178" s="96" t="s">
        <v>416</v>
      </c>
      <c r="C178" s="96">
        <v>2</v>
      </c>
      <c r="D178" s="118">
        <v>0.001296565138262235</v>
      </c>
      <c r="E178" s="118">
        <v>1.566814317228176</v>
      </c>
      <c r="F178" s="96" t="s">
        <v>2335</v>
      </c>
      <c r="G178" s="96" t="b">
        <v>0</v>
      </c>
      <c r="H178" s="96" t="b">
        <v>0</v>
      </c>
      <c r="I178" s="96" t="b">
        <v>0</v>
      </c>
      <c r="J178" s="96" t="b">
        <v>0</v>
      </c>
      <c r="K178" s="96" t="b">
        <v>0</v>
      </c>
      <c r="L178" s="96" t="b">
        <v>0</v>
      </c>
    </row>
    <row r="179" spans="1:12" ht="15">
      <c r="A179" s="97" t="s">
        <v>265</v>
      </c>
      <c r="B179" s="96" t="s">
        <v>416</v>
      </c>
      <c r="C179" s="96">
        <v>2</v>
      </c>
      <c r="D179" s="118">
        <v>0.001296565138262235</v>
      </c>
      <c r="E179" s="118">
        <v>2.1108823615784518</v>
      </c>
      <c r="F179" s="96" t="s">
        <v>2335</v>
      </c>
      <c r="G179" s="96" t="b">
        <v>0</v>
      </c>
      <c r="H179" s="96" t="b">
        <v>0</v>
      </c>
      <c r="I179" s="96" t="b">
        <v>0</v>
      </c>
      <c r="J179" s="96" t="b">
        <v>0</v>
      </c>
      <c r="K179" s="96" t="b">
        <v>0</v>
      </c>
      <c r="L179" s="96" t="b">
        <v>0</v>
      </c>
    </row>
    <row r="180" spans="1:12" ht="15">
      <c r="A180" s="97" t="s">
        <v>2238</v>
      </c>
      <c r="B180" s="96" t="s">
        <v>2320</v>
      </c>
      <c r="C180" s="96">
        <v>2</v>
      </c>
      <c r="D180" s="118">
        <v>0.001296565138262235</v>
      </c>
      <c r="E180" s="118">
        <v>2.9954889428763822</v>
      </c>
      <c r="F180" s="96" t="s">
        <v>2335</v>
      </c>
      <c r="G180" s="96" t="b">
        <v>0</v>
      </c>
      <c r="H180" s="96" t="b">
        <v>0</v>
      </c>
      <c r="I180" s="96" t="b">
        <v>0</v>
      </c>
      <c r="J180" s="96" t="b">
        <v>0</v>
      </c>
      <c r="K180" s="96" t="b">
        <v>0</v>
      </c>
      <c r="L180" s="96" t="b">
        <v>0</v>
      </c>
    </row>
    <row r="181" spans="1:12" ht="15">
      <c r="A181" s="97" t="s">
        <v>384</v>
      </c>
      <c r="B181" s="96" t="s">
        <v>2324</v>
      </c>
      <c r="C181" s="96">
        <v>2</v>
      </c>
      <c r="D181" s="118">
        <v>0.001296565138262235</v>
      </c>
      <c r="E181" s="118">
        <v>2.3934289515484197</v>
      </c>
      <c r="F181" s="96" t="s">
        <v>2335</v>
      </c>
      <c r="G181" s="96" t="b">
        <v>0</v>
      </c>
      <c r="H181" s="96" t="b">
        <v>0</v>
      </c>
      <c r="I181" s="96" t="b">
        <v>0</v>
      </c>
      <c r="J181" s="96" t="b">
        <v>0</v>
      </c>
      <c r="K181" s="96" t="b">
        <v>0</v>
      </c>
      <c r="L181" s="96" t="b">
        <v>0</v>
      </c>
    </row>
    <row r="182" spans="1:12" ht="15">
      <c r="A182" s="97" t="s">
        <v>2324</v>
      </c>
      <c r="B182" s="96" t="s">
        <v>2325</v>
      </c>
      <c r="C182" s="96">
        <v>2</v>
      </c>
      <c r="D182" s="118">
        <v>0.001296565138262235</v>
      </c>
      <c r="E182" s="118">
        <v>3.1715802019320636</v>
      </c>
      <c r="F182" s="96" t="s">
        <v>2335</v>
      </c>
      <c r="G182" s="96" t="b">
        <v>0</v>
      </c>
      <c r="H182" s="96" t="b">
        <v>0</v>
      </c>
      <c r="I182" s="96" t="b">
        <v>0</v>
      </c>
      <c r="J182" s="96" t="b">
        <v>0</v>
      </c>
      <c r="K182" s="96" t="b">
        <v>0</v>
      </c>
      <c r="L182" s="96" t="b">
        <v>0</v>
      </c>
    </row>
    <row r="183" spans="1:12" ht="15">
      <c r="A183" s="97" t="s">
        <v>2325</v>
      </c>
      <c r="B183" s="96" t="s">
        <v>2326</v>
      </c>
      <c r="C183" s="96">
        <v>2</v>
      </c>
      <c r="D183" s="118">
        <v>0.001296565138262235</v>
      </c>
      <c r="E183" s="118">
        <v>3.1715802019320636</v>
      </c>
      <c r="F183" s="96" t="s">
        <v>2335</v>
      </c>
      <c r="G183" s="96" t="b">
        <v>0</v>
      </c>
      <c r="H183" s="96" t="b">
        <v>0</v>
      </c>
      <c r="I183" s="96" t="b">
        <v>0</v>
      </c>
      <c r="J183" s="96" t="b">
        <v>0</v>
      </c>
      <c r="K183" s="96" t="b">
        <v>0</v>
      </c>
      <c r="L183" s="96" t="b">
        <v>0</v>
      </c>
    </row>
    <row r="184" spans="1:12" ht="15">
      <c r="A184" s="97" t="s">
        <v>2326</v>
      </c>
      <c r="B184" s="96" t="s">
        <v>2327</v>
      </c>
      <c r="C184" s="96">
        <v>2</v>
      </c>
      <c r="D184" s="118">
        <v>0.001296565138262235</v>
      </c>
      <c r="E184" s="118">
        <v>3.1715802019320636</v>
      </c>
      <c r="F184" s="96" t="s">
        <v>2335</v>
      </c>
      <c r="G184" s="96" t="b">
        <v>0</v>
      </c>
      <c r="H184" s="96" t="b">
        <v>0</v>
      </c>
      <c r="I184" s="96" t="b">
        <v>0</v>
      </c>
      <c r="J184" s="96" t="b">
        <v>0</v>
      </c>
      <c r="K184" s="96" t="b">
        <v>0</v>
      </c>
      <c r="L184" s="96" t="b">
        <v>0</v>
      </c>
    </row>
    <row r="185" spans="1:12" ht="15">
      <c r="A185" s="97" t="s">
        <v>2327</v>
      </c>
      <c r="B185" s="96" t="s">
        <v>2108</v>
      </c>
      <c r="C185" s="96">
        <v>2</v>
      </c>
      <c r="D185" s="118">
        <v>0.001296565138262235</v>
      </c>
      <c r="E185" s="118">
        <v>2.2421612762177707</v>
      </c>
      <c r="F185" s="96" t="s">
        <v>2335</v>
      </c>
      <c r="G185" s="96" t="b">
        <v>0</v>
      </c>
      <c r="H185" s="96" t="b">
        <v>0</v>
      </c>
      <c r="I185" s="96" t="b">
        <v>0</v>
      </c>
      <c r="J185" s="96" t="b">
        <v>0</v>
      </c>
      <c r="K185" s="96" t="b">
        <v>0</v>
      </c>
      <c r="L185" s="96" t="b">
        <v>0</v>
      </c>
    </row>
    <row r="186" spans="1:12" ht="15">
      <c r="A186" s="97" t="s">
        <v>2108</v>
      </c>
      <c r="B186" s="96" t="s">
        <v>420</v>
      </c>
      <c r="C186" s="96">
        <v>2</v>
      </c>
      <c r="D186" s="118">
        <v>0.001296565138262235</v>
      </c>
      <c r="E186" s="118">
        <v>1.5641251787173949</v>
      </c>
      <c r="F186" s="96" t="s">
        <v>2335</v>
      </c>
      <c r="G186" s="96" t="b">
        <v>0</v>
      </c>
      <c r="H186" s="96" t="b">
        <v>0</v>
      </c>
      <c r="I186" s="96" t="b">
        <v>0</v>
      </c>
      <c r="J186" s="96" t="b">
        <v>0</v>
      </c>
      <c r="K186" s="96" t="b">
        <v>0</v>
      </c>
      <c r="L186" s="96" t="b">
        <v>0</v>
      </c>
    </row>
    <row r="187" spans="1:12" ht="15">
      <c r="A187" s="97" t="s">
        <v>2328</v>
      </c>
      <c r="B187" s="96" t="s">
        <v>2329</v>
      </c>
      <c r="C187" s="96">
        <v>2</v>
      </c>
      <c r="D187" s="118">
        <v>0.0014841227679594196</v>
      </c>
      <c r="E187" s="118">
        <v>3.1715802019320636</v>
      </c>
      <c r="F187" s="96" t="s">
        <v>2335</v>
      </c>
      <c r="G187" s="96" t="b">
        <v>0</v>
      </c>
      <c r="H187" s="96" t="b">
        <v>0</v>
      </c>
      <c r="I187" s="96" t="b">
        <v>0</v>
      </c>
      <c r="J187" s="96" t="b">
        <v>0</v>
      </c>
      <c r="K187" s="96" t="b">
        <v>0</v>
      </c>
      <c r="L187" s="96" t="b">
        <v>0</v>
      </c>
    </row>
    <row r="188" spans="1:12" ht="15">
      <c r="A188" s="97" t="s">
        <v>2106</v>
      </c>
      <c r="B188" s="96" t="s">
        <v>2107</v>
      </c>
      <c r="C188" s="96">
        <v>45</v>
      </c>
      <c r="D188" s="118">
        <v>0.0029406245232415974</v>
      </c>
      <c r="E188" s="118">
        <v>0.7306028522050876</v>
      </c>
      <c r="F188" s="96" t="s">
        <v>2061</v>
      </c>
      <c r="G188" s="96" t="b">
        <v>0</v>
      </c>
      <c r="H188" s="96" t="b">
        <v>0</v>
      </c>
      <c r="I188" s="96" t="b">
        <v>0</v>
      </c>
      <c r="J188" s="96" t="b">
        <v>0</v>
      </c>
      <c r="K188" s="96" t="b">
        <v>0</v>
      </c>
      <c r="L188" s="96" t="b">
        <v>0</v>
      </c>
    </row>
    <row r="189" spans="1:12" ht="15">
      <c r="A189" s="97" t="s">
        <v>2107</v>
      </c>
      <c r="B189" s="96" t="s">
        <v>2112</v>
      </c>
      <c r="C189" s="96">
        <v>28</v>
      </c>
      <c r="D189" s="118">
        <v>0.021793478009058655</v>
      </c>
      <c r="E189" s="118">
        <v>0.7403626894942439</v>
      </c>
      <c r="F189" s="96" t="s">
        <v>2061</v>
      </c>
      <c r="G189" s="96" t="b">
        <v>0</v>
      </c>
      <c r="H189" s="96" t="b">
        <v>0</v>
      </c>
      <c r="I189" s="96" t="b">
        <v>0</v>
      </c>
      <c r="J189" s="96" t="b">
        <v>0</v>
      </c>
      <c r="K189" s="96" t="b">
        <v>0</v>
      </c>
      <c r="L189" s="96" t="b">
        <v>0</v>
      </c>
    </row>
    <row r="190" spans="1:12" ht="15">
      <c r="A190" s="97" t="s">
        <v>2112</v>
      </c>
      <c r="B190" s="96" t="s">
        <v>2113</v>
      </c>
      <c r="C190" s="96">
        <v>28</v>
      </c>
      <c r="D190" s="118">
        <v>0.021793478009058655</v>
      </c>
      <c r="E190" s="118">
        <v>0.936657334638212</v>
      </c>
      <c r="F190" s="96" t="s">
        <v>2061</v>
      </c>
      <c r="G190" s="96" t="b">
        <v>0</v>
      </c>
      <c r="H190" s="96" t="b">
        <v>0</v>
      </c>
      <c r="I190" s="96" t="b">
        <v>0</v>
      </c>
      <c r="J190" s="96" t="b">
        <v>0</v>
      </c>
      <c r="K190" s="96" t="b">
        <v>0</v>
      </c>
      <c r="L190" s="96" t="b">
        <v>0</v>
      </c>
    </row>
    <row r="191" spans="1:12" ht="15">
      <c r="A191" s="97" t="s">
        <v>2107</v>
      </c>
      <c r="B191" s="96" t="s">
        <v>2150</v>
      </c>
      <c r="C191" s="96">
        <v>16</v>
      </c>
      <c r="D191" s="118">
        <v>0.025908809704071566</v>
      </c>
      <c r="E191" s="118">
        <v>0.7403626894942439</v>
      </c>
      <c r="F191" s="96" t="s">
        <v>2061</v>
      </c>
      <c r="G191" s="96" t="b">
        <v>0</v>
      </c>
      <c r="H191" s="96" t="b">
        <v>0</v>
      </c>
      <c r="I191" s="96" t="b">
        <v>0</v>
      </c>
      <c r="J191" s="96" t="b">
        <v>0</v>
      </c>
      <c r="K191" s="96" t="b">
        <v>0</v>
      </c>
      <c r="L191" s="96" t="b">
        <v>0</v>
      </c>
    </row>
    <row r="192" spans="1:12" ht="15">
      <c r="A192" s="97" t="s">
        <v>2150</v>
      </c>
      <c r="B192" s="96" t="s">
        <v>2151</v>
      </c>
      <c r="C192" s="96">
        <v>16</v>
      </c>
      <c r="D192" s="118">
        <v>0.025908809704071566</v>
      </c>
      <c r="E192" s="118">
        <v>1.1796953833245065</v>
      </c>
      <c r="F192" s="96" t="s">
        <v>2061</v>
      </c>
      <c r="G192" s="96" t="b">
        <v>0</v>
      </c>
      <c r="H192" s="96" t="b">
        <v>0</v>
      </c>
      <c r="I192" s="96" t="b">
        <v>0</v>
      </c>
      <c r="J192" s="96" t="b">
        <v>0</v>
      </c>
      <c r="K192" s="96" t="b">
        <v>0</v>
      </c>
      <c r="L192" s="96" t="b">
        <v>0</v>
      </c>
    </row>
    <row r="193" spans="1:12" ht="15">
      <c r="A193" s="97" t="s">
        <v>2151</v>
      </c>
      <c r="B193" s="96" t="s">
        <v>2152</v>
      </c>
      <c r="C193" s="96">
        <v>16</v>
      </c>
      <c r="D193" s="118">
        <v>0.025908809704071566</v>
      </c>
      <c r="E193" s="118">
        <v>1.1796953833245065</v>
      </c>
      <c r="F193" s="96" t="s">
        <v>2061</v>
      </c>
      <c r="G193" s="96" t="b">
        <v>0</v>
      </c>
      <c r="H193" s="96" t="b">
        <v>0</v>
      </c>
      <c r="I193" s="96" t="b">
        <v>0</v>
      </c>
      <c r="J193" s="96" t="b">
        <v>0</v>
      </c>
      <c r="K193" s="96" t="b">
        <v>0</v>
      </c>
      <c r="L193" s="96" t="b">
        <v>0</v>
      </c>
    </row>
    <row r="194" spans="1:12" ht="15">
      <c r="A194" s="97" t="s">
        <v>2152</v>
      </c>
      <c r="B194" s="96" t="s">
        <v>2149</v>
      </c>
      <c r="C194" s="96">
        <v>16</v>
      </c>
      <c r="D194" s="118">
        <v>0.025908809704071566</v>
      </c>
      <c r="E194" s="118">
        <v>1.1796953833245065</v>
      </c>
      <c r="F194" s="96" t="s">
        <v>2061</v>
      </c>
      <c r="G194" s="96" t="b">
        <v>0</v>
      </c>
      <c r="H194" s="96" t="b">
        <v>0</v>
      </c>
      <c r="I194" s="96" t="b">
        <v>0</v>
      </c>
      <c r="J194" s="96" t="b">
        <v>0</v>
      </c>
      <c r="K194" s="96" t="b">
        <v>0</v>
      </c>
      <c r="L194" s="96" t="b">
        <v>0</v>
      </c>
    </row>
    <row r="195" spans="1:12" ht="15">
      <c r="A195" s="97" t="s">
        <v>2149</v>
      </c>
      <c r="B195" s="96" t="s">
        <v>2153</v>
      </c>
      <c r="C195" s="96">
        <v>16</v>
      </c>
      <c r="D195" s="118">
        <v>0.025908809704071566</v>
      </c>
      <c r="E195" s="118">
        <v>1.1796953833245065</v>
      </c>
      <c r="F195" s="96" t="s">
        <v>2061</v>
      </c>
      <c r="G195" s="96" t="b">
        <v>0</v>
      </c>
      <c r="H195" s="96" t="b">
        <v>0</v>
      </c>
      <c r="I195" s="96" t="b">
        <v>0</v>
      </c>
      <c r="J195" s="96" t="b">
        <v>0</v>
      </c>
      <c r="K195" s="96" t="b">
        <v>0</v>
      </c>
      <c r="L195" s="96" t="b">
        <v>0</v>
      </c>
    </row>
    <row r="196" spans="1:12" ht="15">
      <c r="A196" s="97" t="s">
        <v>2153</v>
      </c>
      <c r="B196" s="96" t="s">
        <v>2148</v>
      </c>
      <c r="C196" s="96">
        <v>16</v>
      </c>
      <c r="D196" s="118">
        <v>0.025908809704071566</v>
      </c>
      <c r="E196" s="118">
        <v>1.1796953833245065</v>
      </c>
      <c r="F196" s="96" t="s">
        <v>2061</v>
      </c>
      <c r="G196" s="96" t="b">
        <v>0</v>
      </c>
      <c r="H196" s="96" t="b">
        <v>0</v>
      </c>
      <c r="I196" s="96" t="b">
        <v>0</v>
      </c>
      <c r="J196" s="96" t="b">
        <v>0</v>
      </c>
      <c r="K196" s="96" t="b">
        <v>0</v>
      </c>
      <c r="L196" s="96" t="b">
        <v>0</v>
      </c>
    </row>
    <row r="197" spans="1:12" ht="15">
      <c r="A197" s="97" t="s">
        <v>2148</v>
      </c>
      <c r="B197" s="96" t="s">
        <v>2154</v>
      </c>
      <c r="C197" s="96">
        <v>16</v>
      </c>
      <c r="D197" s="118">
        <v>0.025908809704071566</v>
      </c>
      <c r="E197" s="118">
        <v>1.1796953833245065</v>
      </c>
      <c r="F197" s="96" t="s">
        <v>2061</v>
      </c>
      <c r="G197" s="96" t="b">
        <v>0</v>
      </c>
      <c r="H197" s="96" t="b">
        <v>0</v>
      </c>
      <c r="I197" s="96" t="b">
        <v>0</v>
      </c>
      <c r="J197" s="96" t="b">
        <v>0</v>
      </c>
      <c r="K197" s="96" t="b">
        <v>0</v>
      </c>
      <c r="L197" s="96" t="b">
        <v>0</v>
      </c>
    </row>
    <row r="198" spans="1:12" ht="15">
      <c r="A198" s="97" t="s">
        <v>2154</v>
      </c>
      <c r="B198" s="96" t="s">
        <v>2155</v>
      </c>
      <c r="C198" s="96">
        <v>16</v>
      </c>
      <c r="D198" s="118">
        <v>0.025908809704071566</v>
      </c>
      <c r="E198" s="118">
        <v>1.1796953833245065</v>
      </c>
      <c r="F198" s="96" t="s">
        <v>2061</v>
      </c>
      <c r="G198" s="96" t="b">
        <v>0</v>
      </c>
      <c r="H198" s="96" t="b">
        <v>0</v>
      </c>
      <c r="I198" s="96" t="b">
        <v>0</v>
      </c>
      <c r="J198" s="96" t="b">
        <v>0</v>
      </c>
      <c r="K198" s="96" t="b">
        <v>0</v>
      </c>
      <c r="L198" s="96" t="b">
        <v>0</v>
      </c>
    </row>
    <row r="199" spans="1:12" ht="15">
      <c r="A199" s="97" t="s">
        <v>2275</v>
      </c>
      <c r="B199" s="96" t="s">
        <v>2276</v>
      </c>
      <c r="C199" s="96">
        <v>2</v>
      </c>
      <c r="D199" s="118">
        <v>0.009488358908454923</v>
      </c>
      <c r="E199" s="118">
        <v>2.08278537031645</v>
      </c>
      <c r="F199" s="96" t="s">
        <v>2061</v>
      </c>
      <c r="G199" s="96" t="b">
        <v>0</v>
      </c>
      <c r="H199" s="96" t="b">
        <v>0</v>
      </c>
      <c r="I199" s="96" t="b">
        <v>0</v>
      </c>
      <c r="J199" s="96" t="b">
        <v>0</v>
      </c>
      <c r="K199" s="96" t="b">
        <v>0</v>
      </c>
      <c r="L199" s="96" t="b">
        <v>0</v>
      </c>
    </row>
    <row r="200" spans="1:12" ht="15">
      <c r="A200" s="97" t="s">
        <v>2276</v>
      </c>
      <c r="B200" s="96" t="s">
        <v>2108</v>
      </c>
      <c r="C200" s="96">
        <v>2</v>
      </c>
      <c r="D200" s="118">
        <v>0.009488358908454923</v>
      </c>
      <c r="E200" s="118">
        <v>2.08278537031645</v>
      </c>
      <c r="F200" s="96" t="s">
        <v>2061</v>
      </c>
      <c r="G200" s="96" t="b">
        <v>0</v>
      </c>
      <c r="H200" s="96" t="b">
        <v>0</v>
      </c>
      <c r="I200" s="96" t="b">
        <v>0</v>
      </c>
      <c r="J200" s="96" t="b">
        <v>0</v>
      </c>
      <c r="K200" s="96" t="b">
        <v>0</v>
      </c>
      <c r="L200" s="96" t="b">
        <v>0</v>
      </c>
    </row>
    <row r="201" spans="1:12" ht="15">
      <c r="A201" s="97" t="s">
        <v>2108</v>
      </c>
      <c r="B201" s="96" t="s">
        <v>2277</v>
      </c>
      <c r="C201" s="96">
        <v>2</v>
      </c>
      <c r="D201" s="118">
        <v>0.009488358908454923</v>
      </c>
      <c r="E201" s="118">
        <v>2.08278537031645</v>
      </c>
      <c r="F201" s="96" t="s">
        <v>2061</v>
      </c>
      <c r="G201" s="96" t="b">
        <v>0</v>
      </c>
      <c r="H201" s="96" t="b">
        <v>0</v>
      </c>
      <c r="I201" s="96" t="b">
        <v>0</v>
      </c>
      <c r="J201" s="96" t="b">
        <v>0</v>
      </c>
      <c r="K201" s="96" t="b">
        <v>0</v>
      </c>
      <c r="L201" s="96" t="b">
        <v>0</v>
      </c>
    </row>
    <row r="202" spans="1:12" ht="15">
      <c r="A202" s="97" t="s">
        <v>2277</v>
      </c>
      <c r="B202" s="96" t="s">
        <v>2278</v>
      </c>
      <c r="C202" s="96">
        <v>2</v>
      </c>
      <c r="D202" s="118">
        <v>0.009488358908454923</v>
      </c>
      <c r="E202" s="118">
        <v>2.08278537031645</v>
      </c>
      <c r="F202" s="96" t="s">
        <v>2061</v>
      </c>
      <c r="G202" s="96" t="b">
        <v>0</v>
      </c>
      <c r="H202" s="96" t="b">
        <v>0</v>
      </c>
      <c r="I202" s="96" t="b">
        <v>0</v>
      </c>
      <c r="J202" s="96" t="b">
        <v>0</v>
      </c>
      <c r="K202" s="96" t="b">
        <v>0</v>
      </c>
      <c r="L202" s="96" t="b">
        <v>0</v>
      </c>
    </row>
    <row r="203" spans="1:12" ht="15">
      <c r="A203" s="97" t="s">
        <v>2278</v>
      </c>
      <c r="B203" s="96" t="s">
        <v>2279</v>
      </c>
      <c r="C203" s="96">
        <v>2</v>
      </c>
      <c r="D203" s="118">
        <v>0.009488358908454923</v>
      </c>
      <c r="E203" s="118">
        <v>2.08278537031645</v>
      </c>
      <c r="F203" s="96" t="s">
        <v>2061</v>
      </c>
      <c r="G203" s="96" t="b">
        <v>0</v>
      </c>
      <c r="H203" s="96" t="b">
        <v>0</v>
      </c>
      <c r="I203" s="96" t="b">
        <v>0</v>
      </c>
      <c r="J203" s="96" t="b">
        <v>0</v>
      </c>
      <c r="K203" s="96" t="b">
        <v>0</v>
      </c>
      <c r="L203" s="96" t="b">
        <v>0</v>
      </c>
    </row>
    <row r="204" spans="1:12" ht="15">
      <c r="A204" s="97" t="s">
        <v>2279</v>
      </c>
      <c r="B204" s="96" t="s">
        <v>2280</v>
      </c>
      <c r="C204" s="96">
        <v>2</v>
      </c>
      <c r="D204" s="118">
        <v>0.009488358908454923</v>
      </c>
      <c r="E204" s="118">
        <v>2.08278537031645</v>
      </c>
      <c r="F204" s="96" t="s">
        <v>2061</v>
      </c>
      <c r="G204" s="96" t="b">
        <v>0</v>
      </c>
      <c r="H204" s="96" t="b">
        <v>0</v>
      </c>
      <c r="I204" s="96" t="b">
        <v>0</v>
      </c>
      <c r="J204" s="96" t="b">
        <v>0</v>
      </c>
      <c r="K204" s="96" t="b">
        <v>0</v>
      </c>
      <c r="L204" s="96" t="b">
        <v>0</v>
      </c>
    </row>
    <row r="205" spans="1:12" ht="15">
      <c r="A205" s="97" t="s">
        <v>2106</v>
      </c>
      <c r="B205" s="96" t="s">
        <v>2107</v>
      </c>
      <c r="C205" s="96">
        <v>34</v>
      </c>
      <c r="D205" s="118">
        <v>0.005076143761458266</v>
      </c>
      <c r="E205" s="118">
        <v>1.2921475293935076</v>
      </c>
      <c r="F205" s="96" t="s">
        <v>2062</v>
      </c>
      <c r="G205" s="96" t="b">
        <v>0</v>
      </c>
      <c r="H205" s="96" t="b">
        <v>0</v>
      </c>
      <c r="I205" s="96" t="b">
        <v>0</v>
      </c>
      <c r="J205" s="96" t="b">
        <v>0</v>
      </c>
      <c r="K205" s="96" t="b">
        <v>0</v>
      </c>
      <c r="L205" s="96" t="b">
        <v>0</v>
      </c>
    </row>
    <row r="206" spans="1:12" ht="15">
      <c r="A206" s="97" t="s">
        <v>2107</v>
      </c>
      <c r="B206" s="96" t="s">
        <v>2109</v>
      </c>
      <c r="C206" s="96">
        <v>26</v>
      </c>
      <c r="D206" s="118">
        <v>0.00792061672186614</v>
      </c>
      <c r="E206" s="118">
        <v>1.313900344985747</v>
      </c>
      <c r="F206" s="96" t="s">
        <v>2062</v>
      </c>
      <c r="G206" s="96" t="b">
        <v>0</v>
      </c>
      <c r="H206" s="96" t="b">
        <v>0</v>
      </c>
      <c r="I206" s="96" t="b">
        <v>0</v>
      </c>
      <c r="J206" s="96" t="b">
        <v>0</v>
      </c>
      <c r="K206" s="96" t="b">
        <v>0</v>
      </c>
      <c r="L206" s="96" t="b">
        <v>0</v>
      </c>
    </row>
    <row r="207" spans="1:12" ht="15">
      <c r="A207" s="97" t="s">
        <v>2109</v>
      </c>
      <c r="B207" s="96" t="s">
        <v>2110</v>
      </c>
      <c r="C207" s="96">
        <v>26</v>
      </c>
      <c r="D207" s="118">
        <v>0.00792061672186614</v>
      </c>
      <c r="E207" s="118">
        <v>1.4174409368928165</v>
      </c>
      <c r="F207" s="96" t="s">
        <v>2062</v>
      </c>
      <c r="G207" s="96" t="b">
        <v>0</v>
      </c>
      <c r="H207" s="96" t="b">
        <v>0</v>
      </c>
      <c r="I207" s="96" t="b">
        <v>0</v>
      </c>
      <c r="J207" s="96" t="b">
        <v>0</v>
      </c>
      <c r="K207" s="96" t="b">
        <v>0</v>
      </c>
      <c r="L207" s="96" t="b">
        <v>0</v>
      </c>
    </row>
    <row r="208" spans="1:12" ht="15">
      <c r="A208" s="97" t="s">
        <v>2110</v>
      </c>
      <c r="B208" s="96" t="s">
        <v>2125</v>
      </c>
      <c r="C208" s="96">
        <v>26</v>
      </c>
      <c r="D208" s="118">
        <v>0.00792061672186614</v>
      </c>
      <c r="E208" s="118">
        <v>1.4338313530809859</v>
      </c>
      <c r="F208" s="96" t="s">
        <v>2062</v>
      </c>
      <c r="G208" s="96" t="b">
        <v>0</v>
      </c>
      <c r="H208" s="96" t="b">
        <v>0</v>
      </c>
      <c r="I208" s="96" t="b">
        <v>0</v>
      </c>
      <c r="J208" s="96" t="b">
        <v>0</v>
      </c>
      <c r="K208" s="96" t="b">
        <v>0</v>
      </c>
      <c r="L208" s="96" t="b">
        <v>0</v>
      </c>
    </row>
    <row r="209" spans="1:12" ht="15">
      <c r="A209" s="97" t="s">
        <v>2125</v>
      </c>
      <c r="B209" s="96" t="s">
        <v>2126</v>
      </c>
      <c r="C209" s="96">
        <v>26</v>
      </c>
      <c r="D209" s="118">
        <v>0.00792061672186614</v>
      </c>
      <c r="E209" s="118">
        <v>1.4338313530809859</v>
      </c>
      <c r="F209" s="96" t="s">
        <v>2062</v>
      </c>
      <c r="G209" s="96" t="b">
        <v>0</v>
      </c>
      <c r="H209" s="96" t="b">
        <v>0</v>
      </c>
      <c r="I209" s="96" t="b">
        <v>0</v>
      </c>
      <c r="J209" s="96" t="b">
        <v>0</v>
      </c>
      <c r="K209" s="96" t="b">
        <v>0</v>
      </c>
      <c r="L209" s="96" t="b">
        <v>0</v>
      </c>
    </row>
    <row r="210" spans="1:12" ht="15">
      <c r="A210" s="97" t="s">
        <v>2126</v>
      </c>
      <c r="B210" s="96" t="s">
        <v>2127</v>
      </c>
      <c r="C210" s="96">
        <v>26</v>
      </c>
      <c r="D210" s="118">
        <v>0.00792061672186614</v>
      </c>
      <c r="E210" s="118">
        <v>1.4338313530809859</v>
      </c>
      <c r="F210" s="96" t="s">
        <v>2062</v>
      </c>
      <c r="G210" s="96" t="b">
        <v>0</v>
      </c>
      <c r="H210" s="96" t="b">
        <v>0</v>
      </c>
      <c r="I210" s="96" t="b">
        <v>0</v>
      </c>
      <c r="J210" s="96" t="b">
        <v>0</v>
      </c>
      <c r="K210" s="96" t="b">
        <v>0</v>
      </c>
      <c r="L210" s="96" t="b">
        <v>0</v>
      </c>
    </row>
    <row r="211" spans="1:12" ht="15">
      <c r="A211" s="97" t="s">
        <v>2127</v>
      </c>
      <c r="B211" s="96" t="s">
        <v>2128</v>
      </c>
      <c r="C211" s="96">
        <v>26</v>
      </c>
      <c r="D211" s="118">
        <v>0.00792061672186614</v>
      </c>
      <c r="E211" s="118">
        <v>1.4338313530809859</v>
      </c>
      <c r="F211" s="96" t="s">
        <v>2062</v>
      </c>
      <c r="G211" s="96" t="b">
        <v>0</v>
      </c>
      <c r="H211" s="96" t="b">
        <v>0</v>
      </c>
      <c r="I211" s="96" t="b">
        <v>0</v>
      </c>
      <c r="J211" s="96" t="b">
        <v>0</v>
      </c>
      <c r="K211" s="96" t="b">
        <v>0</v>
      </c>
      <c r="L211" s="96" t="b">
        <v>0</v>
      </c>
    </row>
    <row r="212" spans="1:12" ht="15">
      <c r="A212" s="97" t="s">
        <v>2128</v>
      </c>
      <c r="B212" s="96" t="s">
        <v>2115</v>
      </c>
      <c r="C212" s="96">
        <v>26</v>
      </c>
      <c r="D212" s="118">
        <v>0.00792061672186614</v>
      </c>
      <c r="E212" s="118">
        <v>1.4338313530809859</v>
      </c>
      <c r="F212" s="96" t="s">
        <v>2062</v>
      </c>
      <c r="G212" s="96" t="b">
        <v>0</v>
      </c>
      <c r="H212" s="96" t="b">
        <v>0</v>
      </c>
      <c r="I212" s="96" t="b">
        <v>0</v>
      </c>
      <c r="J212" s="96" t="b">
        <v>0</v>
      </c>
      <c r="K212" s="96" t="b">
        <v>0</v>
      </c>
      <c r="L212" s="96" t="b">
        <v>0</v>
      </c>
    </row>
    <row r="213" spans="1:12" ht="15">
      <c r="A213" s="97" t="s">
        <v>2115</v>
      </c>
      <c r="B213" s="96" t="s">
        <v>2116</v>
      </c>
      <c r="C213" s="96">
        <v>26</v>
      </c>
      <c r="D213" s="118">
        <v>0.00792061672186614</v>
      </c>
      <c r="E213" s="118">
        <v>1.4338313530809859</v>
      </c>
      <c r="F213" s="96" t="s">
        <v>2062</v>
      </c>
      <c r="G213" s="96" t="b">
        <v>0</v>
      </c>
      <c r="H213" s="96" t="b">
        <v>0</v>
      </c>
      <c r="I213" s="96" t="b">
        <v>0</v>
      </c>
      <c r="J213" s="96" t="b">
        <v>0</v>
      </c>
      <c r="K213" s="96" t="b">
        <v>0</v>
      </c>
      <c r="L213" s="96" t="b">
        <v>0</v>
      </c>
    </row>
    <row r="214" spans="1:12" ht="15">
      <c r="A214" s="97" t="s">
        <v>2116</v>
      </c>
      <c r="B214" s="96" t="s">
        <v>2117</v>
      </c>
      <c r="C214" s="96">
        <v>26</v>
      </c>
      <c r="D214" s="118">
        <v>0.00792061672186614</v>
      </c>
      <c r="E214" s="118">
        <v>1.4338313530809859</v>
      </c>
      <c r="F214" s="96" t="s">
        <v>2062</v>
      </c>
      <c r="G214" s="96" t="b">
        <v>0</v>
      </c>
      <c r="H214" s="96" t="b">
        <v>0</v>
      </c>
      <c r="I214" s="96" t="b">
        <v>0</v>
      </c>
      <c r="J214" s="96" t="b">
        <v>0</v>
      </c>
      <c r="K214" s="96" t="b">
        <v>0</v>
      </c>
      <c r="L214" s="96" t="b">
        <v>0</v>
      </c>
    </row>
    <row r="215" spans="1:12" ht="15">
      <c r="A215" s="97" t="s">
        <v>2117</v>
      </c>
      <c r="B215" s="96" t="s">
        <v>2118</v>
      </c>
      <c r="C215" s="96">
        <v>26</v>
      </c>
      <c r="D215" s="118">
        <v>0.00792061672186614</v>
      </c>
      <c r="E215" s="118">
        <v>1.4338313530809859</v>
      </c>
      <c r="F215" s="96" t="s">
        <v>2062</v>
      </c>
      <c r="G215" s="96" t="b">
        <v>0</v>
      </c>
      <c r="H215" s="96" t="b">
        <v>0</v>
      </c>
      <c r="I215" s="96" t="b">
        <v>0</v>
      </c>
      <c r="J215" s="96" t="b">
        <v>0</v>
      </c>
      <c r="K215" s="96" t="b">
        <v>0</v>
      </c>
      <c r="L215" s="96" t="b">
        <v>0</v>
      </c>
    </row>
    <row r="216" spans="1:12" ht="15">
      <c r="A216" s="97" t="s">
        <v>2118</v>
      </c>
      <c r="B216" s="96" t="s">
        <v>2119</v>
      </c>
      <c r="C216" s="96">
        <v>26</v>
      </c>
      <c r="D216" s="118">
        <v>0.00792061672186614</v>
      </c>
      <c r="E216" s="118">
        <v>1.4338313530809859</v>
      </c>
      <c r="F216" s="96" t="s">
        <v>2062</v>
      </c>
      <c r="G216" s="96" t="b">
        <v>0</v>
      </c>
      <c r="H216" s="96" t="b">
        <v>0</v>
      </c>
      <c r="I216" s="96" t="b">
        <v>0</v>
      </c>
      <c r="J216" s="96" t="b">
        <v>0</v>
      </c>
      <c r="K216" s="96" t="b">
        <v>0</v>
      </c>
      <c r="L216" s="96" t="b">
        <v>0</v>
      </c>
    </row>
    <row r="217" spans="1:12" ht="15">
      <c r="A217" s="97" t="s">
        <v>2119</v>
      </c>
      <c r="B217" s="96" t="s">
        <v>2129</v>
      </c>
      <c r="C217" s="96">
        <v>26</v>
      </c>
      <c r="D217" s="118">
        <v>0.00792061672186614</v>
      </c>
      <c r="E217" s="118">
        <v>1.4338313530809859</v>
      </c>
      <c r="F217" s="96" t="s">
        <v>2062</v>
      </c>
      <c r="G217" s="96" t="b">
        <v>0</v>
      </c>
      <c r="H217" s="96" t="b">
        <v>0</v>
      </c>
      <c r="I217" s="96" t="b">
        <v>0</v>
      </c>
      <c r="J217" s="96" t="b">
        <v>0</v>
      </c>
      <c r="K217" s="96" t="b">
        <v>0</v>
      </c>
      <c r="L217" s="96" t="b">
        <v>0</v>
      </c>
    </row>
    <row r="218" spans="1:12" ht="15">
      <c r="A218" s="97" t="s">
        <v>2129</v>
      </c>
      <c r="B218" s="96" t="s">
        <v>2120</v>
      </c>
      <c r="C218" s="96">
        <v>26</v>
      </c>
      <c r="D218" s="118">
        <v>0.00792061672186614</v>
      </c>
      <c r="E218" s="118">
        <v>1.4338313530809859</v>
      </c>
      <c r="F218" s="96" t="s">
        <v>2062</v>
      </c>
      <c r="G218" s="96" t="b">
        <v>0</v>
      </c>
      <c r="H218" s="96" t="b">
        <v>0</v>
      </c>
      <c r="I218" s="96" t="b">
        <v>0</v>
      </c>
      <c r="J218" s="96" t="b">
        <v>0</v>
      </c>
      <c r="K218" s="96" t="b">
        <v>0</v>
      </c>
      <c r="L218" s="96" t="b">
        <v>0</v>
      </c>
    </row>
    <row r="219" spans="1:12" ht="15">
      <c r="A219" s="97" t="s">
        <v>2120</v>
      </c>
      <c r="B219" s="96" t="s">
        <v>2121</v>
      </c>
      <c r="C219" s="96">
        <v>26</v>
      </c>
      <c r="D219" s="118">
        <v>0.00792061672186614</v>
      </c>
      <c r="E219" s="118">
        <v>1.4338313530809859</v>
      </c>
      <c r="F219" s="96" t="s">
        <v>2062</v>
      </c>
      <c r="G219" s="96" t="b">
        <v>0</v>
      </c>
      <c r="H219" s="96" t="b">
        <v>0</v>
      </c>
      <c r="I219" s="96" t="b">
        <v>0</v>
      </c>
      <c r="J219" s="96" t="b">
        <v>0</v>
      </c>
      <c r="K219" s="96" t="b">
        <v>0</v>
      </c>
      <c r="L219" s="96" t="b">
        <v>0</v>
      </c>
    </row>
    <row r="220" spans="1:12" ht="15">
      <c r="A220" s="97" t="s">
        <v>2121</v>
      </c>
      <c r="B220" s="96" t="s">
        <v>2122</v>
      </c>
      <c r="C220" s="96">
        <v>26</v>
      </c>
      <c r="D220" s="118">
        <v>0.00792061672186614</v>
      </c>
      <c r="E220" s="118">
        <v>1.4338313530809859</v>
      </c>
      <c r="F220" s="96" t="s">
        <v>2062</v>
      </c>
      <c r="G220" s="96" t="b">
        <v>0</v>
      </c>
      <c r="H220" s="96" t="b">
        <v>0</v>
      </c>
      <c r="I220" s="96" t="b">
        <v>0</v>
      </c>
      <c r="J220" s="96" t="b">
        <v>0</v>
      </c>
      <c r="K220" s="96" t="b">
        <v>0</v>
      </c>
      <c r="L220" s="96" t="b">
        <v>0</v>
      </c>
    </row>
    <row r="221" spans="1:12" ht="15">
      <c r="A221" s="97" t="s">
        <v>2122</v>
      </c>
      <c r="B221" s="96" t="s">
        <v>2130</v>
      </c>
      <c r="C221" s="96">
        <v>26</v>
      </c>
      <c r="D221" s="118">
        <v>0.00792061672186614</v>
      </c>
      <c r="E221" s="118">
        <v>1.4338313530809859</v>
      </c>
      <c r="F221" s="96" t="s">
        <v>2062</v>
      </c>
      <c r="G221" s="96" t="b">
        <v>0</v>
      </c>
      <c r="H221" s="96" t="b">
        <v>0</v>
      </c>
      <c r="I221" s="96" t="b">
        <v>0</v>
      </c>
      <c r="J221" s="96" t="b">
        <v>0</v>
      </c>
      <c r="K221" s="96" t="b">
        <v>0</v>
      </c>
      <c r="L221" s="96" t="b">
        <v>0</v>
      </c>
    </row>
    <row r="222" spans="1:12" ht="15">
      <c r="A222" s="97" t="s">
        <v>2130</v>
      </c>
      <c r="B222" s="96" t="s">
        <v>2131</v>
      </c>
      <c r="C222" s="96">
        <v>26</v>
      </c>
      <c r="D222" s="118">
        <v>0.00792061672186614</v>
      </c>
      <c r="E222" s="118">
        <v>1.4338313530809859</v>
      </c>
      <c r="F222" s="96" t="s">
        <v>2062</v>
      </c>
      <c r="G222" s="96" t="b">
        <v>0</v>
      </c>
      <c r="H222" s="96" t="b">
        <v>0</v>
      </c>
      <c r="I222" s="96" t="b">
        <v>0</v>
      </c>
      <c r="J222" s="96" t="b">
        <v>0</v>
      </c>
      <c r="K222" s="96" t="b">
        <v>0</v>
      </c>
      <c r="L222" s="96" t="b">
        <v>0</v>
      </c>
    </row>
    <row r="223" spans="1:12" ht="15">
      <c r="A223" s="97" t="s">
        <v>2131</v>
      </c>
      <c r="B223" s="96" t="s">
        <v>2123</v>
      </c>
      <c r="C223" s="96">
        <v>26</v>
      </c>
      <c r="D223" s="118">
        <v>0.00792061672186614</v>
      </c>
      <c r="E223" s="118">
        <v>1.4338313530809859</v>
      </c>
      <c r="F223" s="96" t="s">
        <v>2062</v>
      </c>
      <c r="G223" s="96" t="b">
        <v>0</v>
      </c>
      <c r="H223" s="96" t="b">
        <v>0</v>
      </c>
      <c r="I223" s="96" t="b">
        <v>0</v>
      </c>
      <c r="J223" s="96" t="b">
        <v>0</v>
      </c>
      <c r="K223" s="96" t="b">
        <v>0</v>
      </c>
      <c r="L223" s="96" t="b">
        <v>0</v>
      </c>
    </row>
    <row r="224" spans="1:12" ht="15">
      <c r="A224" s="97" t="s">
        <v>2123</v>
      </c>
      <c r="B224" s="96" t="s">
        <v>2114</v>
      </c>
      <c r="C224" s="96">
        <v>26</v>
      </c>
      <c r="D224" s="118">
        <v>0.00792061672186614</v>
      </c>
      <c r="E224" s="118">
        <v>1.4338313530809859</v>
      </c>
      <c r="F224" s="96" t="s">
        <v>2062</v>
      </c>
      <c r="G224" s="96" t="b">
        <v>0</v>
      </c>
      <c r="H224" s="96" t="b">
        <v>0</v>
      </c>
      <c r="I224" s="96" t="b">
        <v>0</v>
      </c>
      <c r="J224" s="96" t="b">
        <v>0</v>
      </c>
      <c r="K224" s="96" t="b">
        <v>0</v>
      </c>
      <c r="L224" s="96" t="b">
        <v>0</v>
      </c>
    </row>
    <row r="225" spans="1:12" ht="15">
      <c r="A225" s="97" t="s">
        <v>384</v>
      </c>
      <c r="B225" s="96" t="s">
        <v>2218</v>
      </c>
      <c r="C225" s="96">
        <v>3</v>
      </c>
      <c r="D225" s="118">
        <v>0.0046653256870661</v>
      </c>
      <c r="E225" s="118">
        <v>1.8488047010518038</v>
      </c>
      <c r="F225" s="96" t="s">
        <v>2062</v>
      </c>
      <c r="G225" s="96" t="b">
        <v>0</v>
      </c>
      <c r="H225" s="96" t="b">
        <v>0</v>
      </c>
      <c r="I225" s="96" t="b">
        <v>0</v>
      </c>
      <c r="J225" s="96" t="b">
        <v>0</v>
      </c>
      <c r="K225" s="96" t="b">
        <v>0</v>
      </c>
      <c r="L225" s="96" t="b">
        <v>0</v>
      </c>
    </row>
    <row r="226" spans="1:12" ht="15">
      <c r="A226" s="97" t="s">
        <v>2218</v>
      </c>
      <c r="B226" s="96" t="s">
        <v>2219</v>
      </c>
      <c r="C226" s="96">
        <v>3</v>
      </c>
      <c r="D226" s="118">
        <v>0.0046653256870661</v>
      </c>
      <c r="E226" s="118">
        <v>2.3716834463321415</v>
      </c>
      <c r="F226" s="96" t="s">
        <v>2062</v>
      </c>
      <c r="G226" s="96" t="b">
        <v>0</v>
      </c>
      <c r="H226" s="96" t="b">
        <v>0</v>
      </c>
      <c r="I226" s="96" t="b">
        <v>0</v>
      </c>
      <c r="J226" s="96" t="b">
        <v>0</v>
      </c>
      <c r="K226" s="96" t="b">
        <v>0</v>
      </c>
      <c r="L226" s="96" t="b">
        <v>0</v>
      </c>
    </row>
    <row r="227" spans="1:12" ht="15">
      <c r="A227" s="97" t="s">
        <v>2219</v>
      </c>
      <c r="B227" s="96" t="s">
        <v>2220</v>
      </c>
      <c r="C227" s="96">
        <v>3</v>
      </c>
      <c r="D227" s="118">
        <v>0.0046653256870661</v>
      </c>
      <c r="E227" s="118">
        <v>2.3716834463321415</v>
      </c>
      <c r="F227" s="96" t="s">
        <v>2062</v>
      </c>
      <c r="G227" s="96" t="b">
        <v>0</v>
      </c>
      <c r="H227" s="96" t="b">
        <v>0</v>
      </c>
      <c r="I227" s="96" t="b">
        <v>0</v>
      </c>
      <c r="J227" s="96" t="b">
        <v>0</v>
      </c>
      <c r="K227" s="96" t="b">
        <v>0</v>
      </c>
      <c r="L227" s="96" t="b">
        <v>0</v>
      </c>
    </row>
    <row r="228" spans="1:12" ht="15">
      <c r="A228" s="97" t="s">
        <v>2220</v>
      </c>
      <c r="B228" s="96" t="s">
        <v>2221</v>
      </c>
      <c r="C228" s="96">
        <v>3</v>
      </c>
      <c r="D228" s="118">
        <v>0.0046653256870661</v>
      </c>
      <c r="E228" s="118">
        <v>2.3716834463321415</v>
      </c>
      <c r="F228" s="96" t="s">
        <v>2062</v>
      </c>
      <c r="G228" s="96" t="b">
        <v>0</v>
      </c>
      <c r="H228" s="96" t="b">
        <v>0</v>
      </c>
      <c r="I228" s="96" t="b">
        <v>0</v>
      </c>
      <c r="J228" s="96" t="b">
        <v>0</v>
      </c>
      <c r="K228" s="96" t="b">
        <v>0</v>
      </c>
      <c r="L228" s="96" t="b">
        <v>0</v>
      </c>
    </row>
    <row r="229" spans="1:12" ht="15">
      <c r="A229" s="97" t="s">
        <v>2221</v>
      </c>
      <c r="B229" s="96" t="s">
        <v>2181</v>
      </c>
      <c r="C229" s="96">
        <v>3</v>
      </c>
      <c r="D229" s="118">
        <v>0.0046653256870661</v>
      </c>
      <c r="E229" s="118">
        <v>2.3716834463321415</v>
      </c>
      <c r="F229" s="96" t="s">
        <v>2062</v>
      </c>
      <c r="G229" s="96" t="b">
        <v>0</v>
      </c>
      <c r="H229" s="96" t="b">
        <v>0</v>
      </c>
      <c r="I229" s="96" t="b">
        <v>0</v>
      </c>
      <c r="J229" s="96" t="b">
        <v>0</v>
      </c>
      <c r="K229" s="96" t="b">
        <v>0</v>
      </c>
      <c r="L229" s="96" t="b">
        <v>0</v>
      </c>
    </row>
    <row r="230" spans="1:12" ht="15">
      <c r="A230" s="97" t="s">
        <v>2181</v>
      </c>
      <c r="B230" s="96" t="s">
        <v>2222</v>
      </c>
      <c r="C230" s="96">
        <v>3</v>
      </c>
      <c r="D230" s="118">
        <v>0.0046653256870661</v>
      </c>
      <c r="E230" s="118">
        <v>2.3716834463321415</v>
      </c>
      <c r="F230" s="96" t="s">
        <v>2062</v>
      </c>
      <c r="G230" s="96" t="b">
        <v>0</v>
      </c>
      <c r="H230" s="96" t="b">
        <v>0</v>
      </c>
      <c r="I230" s="96" t="b">
        <v>0</v>
      </c>
      <c r="J230" s="96" t="b">
        <v>0</v>
      </c>
      <c r="K230" s="96" t="b">
        <v>0</v>
      </c>
      <c r="L230" s="96" t="b">
        <v>0</v>
      </c>
    </row>
    <row r="231" spans="1:12" ht="15">
      <c r="A231" s="97" t="s">
        <v>2222</v>
      </c>
      <c r="B231" s="96" t="s">
        <v>2223</v>
      </c>
      <c r="C231" s="96">
        <v>3</v>
      </c>
      <c r="D231" s="118">
        <v>0.0046653256870661</v>
      </c>
      <c r="E231" s="118">
        <v>2.3716834463321415</v>
      </c>
      <c r="F231" s="96" t="s">
        <v>2062</v>
      </c>
      <c r="G231" s="96" t="b">
        <v>0</v>
      </c>
      <c r="H231" s="96" t="b">
        <v>0</v>
      </c>
      <c r="I231" s="96" t="b">
        <v>0</v>
      </c>
      <c r="J231" s="96" t="b">
        <v>0</v>
      </c>
      <c r="K231" s="96" t="b">
        <v>0</v>
      </c>
      <c r="L231" s="96" t="b">
        <v>0</v>
      </c>
    </row>
    <row r="232" spans="1:12" ht="15">
      <c r="A232" s="97" t="s">
        <v>2223</v>
      </c>
      <c r="B232" s="96" t="s">
        <v>2224</v>
      </c>
      <c r="C232" s="96">
        <v>3</v>
      </c>
      <c r="D232" s="118">
        <v>0.0046653256870661</v>
      </c>
      <c r="E232" s="118">
        <v>2.3716834463321415</v>
      </c>
      <c r="F232" s="96" t="s">
        <v>2062</v>
      </c>
      <c r="G232" s="96" t="b">
        <v>0</v>
      </c>
      <c r="H232" s="96" t="b">
        <v>0</v>
      </c>
      <c r="I232" s="96" t="b">
        <v>0</v>
      </c>
      <c r="J232" s="96" t="b">
        <v>0</v>
      </c>
      <c r="K232" s="96" t="b">
        <v>0</v>
      </c>
      <c r="L232" s="96" t="b">
        <v>0</v>
      </c>
    </row>
    <row r="233" spans="1:12" ht="15">
      <c r="A233" s="97" t="s">
        <v>2224</v>
      </c>
      <c r="B233" s="96" t="s">
        <v>2108</v>
      </c>
      <c r="C233" s="96">
        <v>3</v>
      </c>
      <c r="D233" s="118">
        <v>0.0046653256870661</v>
      </c>
      <c r="E233" s="118">
        <v>1.94571471405986</v>
      </c>
      <c r="F233" s="96" t="s">
        <v>2062</v>
      </c>
      <c r="G233" s="96" t="b">
        <v>0</v>
      </c>
      <c r="H233" s="96" t="b">
        <v>0</v>
      </c>
      <c r="I233" s="96" t="b">
        <v>0</v>
      </c>
      <c r="J233" s="96" t="b">
        <v>0</v>
      </c>
      <c r="K233" s="96" t="b">
        <v>0</v>
      </c>
      <c r="L233" s="96" t="b">
        <v>0</v>
      </c>
    </row>
    <row r="234" spans="1:12" ht="15">
      <c r="A234" s="97" t="s">
        <v>2108</v>
      </c>
      <c r="B234" s="96" t="s">
        <v>2225</v>
      </c>
      <c r="C234" s="96">
        <v>3</v>
      </c>
      <c r="D234" s="118">
        <v>0.0046653256870661</v>
      </c>
      <c r="E234" s="118">
        <v>2.07065345066816</v>
      </c>
      <c r="F234" s="96" t="s">
        <v>2062</v>
      </c>
      <c r="G234" s="96" t="b">
        <v>0</v>
      </c>
      <c r="H234" s="96" t="b">
        <v>0</v>
      </c>
      <c r="I234" s="96" t="b">
        <v>0</v>
      </c>
      <c r="J234" s="96" t="b">
        <v>0</v>
      </c>
      <c r="K234" s="96" t="b">
        <v>0</v>
      </c>
      <c r="L234" s="96" t="b">
        <v>0</v>
      </c>
    </row>
    <row r="235" spans="1:12" ht="15">
      <c r="A235" s="97" t="s">
        <v>2225</v>
      </c>
      <c r="B235" s="96" t="s">
        <v>2226</v>
      </c>
      <c r="C235" s="96">
        <v>3</v>
      </c>
      <c r="D235" s="118">
        <v>0.0046653256870661</v>
      </c>
      <c r="E235" s="118">
        <v>2.3716834463321415</v>
      </c>
      <c r="F235" s="96" t="s">
        <v>2062</v>
      </c>
      <c r="G235" s="96" t="b">
        <v>0</v>
      </c>
      <c r="H235" s="96" t="b">
        <v>0</v>
      </c>
      <c r="I235" s="96" t="b">
        <v>0</v>
      </c>
      <c r="J235" s="96" t="b">
        <v>0</v>
      </c>
      <c r="K235" s="96" t="b">
        <v>0</v>
      </c>
      <c r="L235" s="96" t="b">
        <v>0</v>
      </c>
    </row>
    <row r="236" spans="1:12" ht="15">
      <c r="A236" s="97" t="s">
        <v>2226</v>
      </c>
      <c r="B236" s="96" t="s">
        <v>2227</v>
      </c>
      <c r="C236" s="96">
        <v>3</v>
      </c>
      <c r="D236" s="118">
        <v>0.0046653256870661</v>
      </c>
      <c r="E236" s="118">
        <v>2.3716834463321415</v>
      </c>
      <c r="F236" s="96" t="s">
        <v>2062</v>
      </c>
      <c r="G236" s="96" t="b">
        <v>0</v>
      </c>
      <c r="H236" s="96" t="b">
        <v>0</v>
      </c>
      <c r="I236" s="96" t="b">
        <v>0</v>
      </c>
      <c r="J236" s="96" t="b">
        <v>0</v>
      </c>
      <c r="K236" s="96" t="b">
        <v>0</v>
      </c>
      <c r="L236" s="96" t="b">
        <v>0</v>
      </c>
    </row>
    <row r="237" spans="1:12" ht="15">
      <c r="A237" s="97" t="s">
        <v>2227</v>
      </c>
      <c r="B237" s="96" t="s">
        <v>2228</v>
      </c>
      <c r="C237" s="96">
        <v>3</v>
      </c>
      <c r="D237" s="118">
        <v>0.0046653256870661</v>
      </c>
      <c r="E237" s="118">
        <v>2.3716834463321415</v>
      </c>
      <c r="F237" s="96" t="s">
        <v>2062</v>
      </c>
      <c r="G237" s="96" t="b">
        <v>0</v>
      </c>
      <c r="H237" s="96" t="b">
        <v>0</v>
      </c>
      <c r="I237" s="96" t="b">
        <v>0</v>
      </c>
      <c r="J237" s="96" t="b">
        <v>0</v>
      </c>
      <c r="K237" s="96" t="b">
        <v>0</v>
      </c>
      <c r="L237" s="96" t="b">
        <v>0</v>
      </c>
    </row>
    <row r="238" spans="1:12" ht="15">
      <c r="A238" s="97" t="s">
        <v>2228</v>
      </c>
      <c r="B238" s="96" t="s">
        <v>2229</v>
      </c>
      <c r="C238" s="96">
        <v>3</v>
      </c>
      <c r="D238" s="118">
        <v>0.0046653256870661</v>
      </c>
      <c r="E238" s="118">
        <v>2.3716834463321415</v>
      </c>
      <c r="F238" s="96" t="s">
        <v>2062</v>
      </c>
      <c r="G238" s="96" t="b">
        <v>0</v>
      </c>
      <c r="H238" s="96" t="b">
        <v>0</v>
      </c>
      <c r="I238" s="96" t="b">
        <v>0</v>
      </c>
      <c r="J238" s="96" t="b">
        <v>0</v>
      </c>
      <c r="K238" s="96" t="b">
        <v>0</v>
      </c>
      <c r="L238" s="96" t="b">
        <v>0</v>
      </c>
    </row>
    <row r="239" spans="1:12" ht="15">
      <c r="A239" s="97" t="s">
        <v>2229</v>
      </c>
      <c r="B239" s="96" t="s">
        <v>2230</v>
      </c>
      <c r="C239" s="96">
        <v>3</v>
      </c>
      <c r="D239" s="118">
        <v>0.0046653256870661</v>
      </c>
      <c r="E239" s="118">
        <v>2.3716834463321415</v>
      </c>
      <c r="F239" s="96" t="s">
        <v>2062</v>
      </c>
      <c r="G239" s="96" t="b">
        <v>0</v>
      </c>
      <c r="H239" s="96" t="b">
        <v>0</v>
      </c>
      <c r="I239" s="96" t="b">
        <v>0</v>
      </c>
      <c r="J239" s="96" t="b">
        <v>0</v>
      </c>
      <c r="K239" s="96" t="b">
        <v>0</v>
      </c>
      <c r="L239" s="96" t="b">
        <v>0</v>
      </c>
    </row>
    <row r="240" spans="1:12" ht="15">
      <c r="A240" s="97" t="s">
        <v>2230</v>
      </c>
      <c r="B240" s="96" t="s">
        <v>2231</v>
      </c>
      <c r="C240" s="96">
        <v>3</v>
      </c>
      <c r="D240" s="118">
        <v>0.0046653256870661</v>
      </c>
      <c r="E240" s="118">
        <v>2.3716834463321415</v>
      </c>
      <c r="F240" s="96" t="s">
        <v>2062</v>
      </c>
      <c r="G240" s="96" t="b">
        <v>0</v>
      </c>
      <c r="H240" s="96" t="b">
        <v>0</v>
      </c>
      <c r="I240" s="96" t="b">
        <v>0</v>
      </c>
      <c r="J240" s="96" t="b">
        <v>0</v>
      </c>
      <c r="K240" s="96" t="b">
        <v>0</v>
      </c>
      <c r="L240" s="96" t="b">
        <v>0</v>
      </c>
    </row>
    <row r="241" spans="1:12" ht="15">
      <c r="A241" s="97" t="s">
        <v>2231</v>
      </c>
      <c r="B241" s="96" t="s">
        <v>2232</v>
      </c>
      <c r="C241" s="96">
        <v>3</v>
      </c>
      <c r="D241" s="118">
        <v>0.0046653256870661</v>
      </c>
      <c r="E241" s="118">
        <v>2.3716834463321415</v>
      </c>
      <c r="F241" s="96" t="s">
        <v>2062</v>
      </c>
      <c r="G241" s="96" t="b">
        <v>0</v>
      </c>
      <c r="H241" s="96" t="b">
        <v>0</v>
      </c>
      <c r="I241" s="96" t="b">
        <v>0</v>
      </c>
      <c r="J241" s="96" t="b">
        <v>0</v>
      </c>
      <c r="K241" s="96" t="b">
        <v>0</v>
      </c>
      <c r="L241" s="96" t="b">
        <v>0</v>
      </c>
    </row>
    <row r="242" spans="1:12" ht="15">
      <c r="A242" s="97" t="s">
        <v>2232</v>
      </c>
      <c r="B242" s="96" t="s">
        <v>2233</v>
      </c>
      <c r="C242" s="96">
        <v>3</v>
      </c>
      <c r="D242" s="118">
        <v>0.0046653256870661</v>
      </c>
      <c r="E242" s="118">
        <v>2.3716834463321415</v>
      </c>
      <c r="F242" s="96" t="s">
        <v>2062</v>
      </c>
      <c r="G242" s="96" t="b">
        <v>0</v>
      </c>
      <c r="H242" s="96" t="b">
        <v>0</v>
      </c>
      <c r="I242" s="96" t="b">
        <v>0</v>
      </c>
      <c r="J242" s="96" t="b">
        <v>0</v>
      </c>
      <c r="K242" s="96" t="b">
        <v>0</v>
      </c>
      <c r="L242" s="96" t="b">
        <v>0</v>
      </c>
    </row>
    <row r="243" spans="1:12" ht="15">
      <c r="A243" s="97" t="s">
        <v>2233</v>
      </c>
      <c r="B243" s="96" t="s">
        <v>2234</v>
      </c>
      <c r="C243" s="96">
        <v>3</v>
      </c>
      <c r="D243" s="118">
        <v>0.0046653256870661</v>
      </c>
      <c r="E243" s="118">
        <v>2.3716834463321415</v>
      </c>
      <c r="F243" s="96" t="s">
        <v>2062</v>
      </c>
      <c r="G243" s="96" t="b">
        <v>0</v>
      </c>
      <c r="H243" s="96" t="b">
        <v>0</v>
      </c>
      <c r="I243" s="96" t="b">
        <v>0</v>
      </c>
      <c r="J243" s="96" t="b">
        <v>0</v>
      </c>
      <c r="K243" s="96" t="b">
        <v>0</v>
      </c>
      <c r="L243" s="96" t="b">
        <v>0</v>
      </c>
    </row>
    <row r="244" spans="1:12" ht="15">
      <c r="A244" s="97" t="s">
        <v>2234</v>
      </c>
      <c r="B244" s="96" t="s">
        <v>2235</v>
      </c>
      <c r="C244" s="96">
        <v>3</v>
      </c>
      <c r="D244" s="118">
        <v>0.0046653256870661</v>
      </c>
      <c r="E244" s="118">
        <v>2.3716834463321415</v>
      </c>
      <c r="F244" s="96" t="s">
        <v>2062</v>
      </c>
      <c r="G244" s="96" t="b">
        <v>0</v>
      </c>
      <c r="H244" s="96" t="b">
        <v>0</v>
      </c>
      <c r="I244" s="96" t="b">
        <v>0</v>
      </c>
      <c r="J244" s="96" t="b">
        <v>0</v>
      </c>
      <c r="K244" s="96" t="b">
        <v>0</v>
      </c>
      <c r="L244" s="96" t="b">
        <v>0</v>
      </c>
    </row>
    <row r="245" spans="1:12" ht="15">
      <c r="A245" s="97" t="s">
        <v>2235</v>
      </c>
      <c r="B245" s="96" t="s">
        <v>2236</v>
      </c>
      <c r="C245" s="96">
        <v>3</v>
      </c>
      <c r="D245" s="118">
        <v>0.0046653256870661</v>
      </c>
      <c r="E245" s="118">
        <v>2.3716834463321415</v>
      </c>
      <c r="F245" s="96" t="s">
        <v>2062</v>
      </c>
      <c r="G245" s="96" t="b">
        <v>0</v>
      </c>
      <c r="H245" s="96" t="b">
        <v>0</v>
      </c>
      <c r="I245" s="96" t="b">
        <v>0</v>
      </c>
      <c r="J245" s="96" t="b">
        <v>0</v>
      </c>
      <c r="K245" s="96" t="b">
        <v>0</v>
      </c>
      <c r="L245" s="96" t="b">
        <v>0</v>
      </c>
    </row>
    <row r="246" spans="1:12" ht="15">
      <c r="A246" s="97" t="s">
        <v>423</v>
      </c>
      <c r="B246" s="96" t="s">
        <v>2106</v>
      </c>
      <c r="C246" s="96">
        <v>3</v>
      </c>
      <c r="D246" s="118">
        <v>0.0046653256870661</v>
      </c>
      <c r="E246" s="118">
        <v>1.94571471405986</v>
      </c>
      <c r="F246" s="96" t="s">
        <v>2062</v>
      </c>
      <c r="G246" s="96" t="b">
        <v>0</v>
      </c>
      <c r="H246" s="96" t="b">
        <v>0</v>
      </c>
      <c r="I246" s="96" t="b">
        <v>0</v>
      </c>
      <c r="J246" s="96" t="b">
        <v>0</v>
      </c>
      <c r="K246" s="96" t="b">
        <v>0</v>
      </c>
      <c r="L246" s="96" t="b">
        <v>0</v>
      </c>
    </row>
    <row r="247" spans="1:12" ht="15">
      <c r="A247" s="97" t="s">
        <v>384</v>
      </c>
      <c r="B247" s="96" t="s">
        <v>2106</v>
      </c>
      <c r="C247" s="96">
        <v>2</v>
      </c>
      <c r="D247" s="118">
        <v>0.003579793815525883</v>
      </c>
      <c r="E247" s="118">
        <v>1.2467447097238413</v>
      </c>
      <c r="F247" s="96" t="s">
        <v>2062</v>
      </c>
      <c r="G247" s="96" t="b">
        <v>0</v>
      </c>
      <c r="H247" s="96" t="b">
        <v>0</v>
      </c>
      <c r="I247" s="96" t="b">
        <v>0</v>
      </c>
      <c r="J247" s="96" t="b">
        <v>0</v>
      </c>
      <c r="K247" s="96" t="b">
        <v>0</v>
      </c>
      <c r="L247" s="96" t="b">
        <v>0</v>
      </c>
    </row>
    <row r="248" spans="1:12" ht="15">
      <c r="A248" s="97" t="s">
        <v>384</v>
      </c>
      <c r="B248" s="96" t="s">
        <v>2324</v>
      </c>
      <c r="C248" s="96">
        <v>2</v>
      </c>
      <c r="D248" s="118">
        <v>0.003579793815525883</v>
      </c>
      <c r="E248" s="118">
        <v>1.8488047010518038</v>
      </c>
      <c r="F248" s="96" t="s">
        <v>2062</v>
      </c>
      <c r="G248" s="96" t="b">
        <v>0</v>
      </c>
      <c r="H248" s="96" t="b">
        <v>0</v>
      </c>
      <c r="I248" s="96" t="b">
        <v>0</v>
      </c>
      <c r="J248" s="96" t="b">
        <v>0</v>
      </c>
      <c r="K248" s="96" t="b">
        <v>0</v>
      </c>
      <c r="L248" s="96" t="b">
        <v>0</v>
      </c>
    </row>
    <row r="249" spans="1:12" ht="15">
      <c r="A249" s="97" t="s">
        <v>2324</v>
      </c>
      <c r="B249" s="96" t="s">
        <v>2325</v>
      </c>
      <c r="C249" s="96">
        <v>2</v>
      </c>
      <c r="D249" s="118">
        <v>0.003579793815525883</v>
      </c>
      <c r="E249" s="118">
        <v>2.5477747053878224</v>
      </c>
      <c r="F249" s="96" t="s">
        <v>2062</v>
      </c>
      <c r="G249" s="96" t="b">
        <v>0</v>
      </c>
      <c r="H249" s="96" t="b">
        <v>0</v>
      </c>
      <c r="I249" s="96" t="b">
        <v>0</v>
      </c>
      <c r="J249" s="96" t="b">
        <v>0</v>
      </c>
      <c r="K249" s="96" t="b">
        <v>0</v>
      </c>
      <c r="L249" s="96" t="b">
        <v>0</v>
      </c>
    </row>
    <row r="250" spans="1:12" ht="15">
      <c r="A250" s="97" t="s">
        <v>2325</v>
      </c>
      <c r="B250" s="96" t="s">
        <v>2326</v>
      </c>
      <c r="C250" s="96">
        <v>2</v>
      </c>
      <c r="D250" s="118">
        <v>0.003579793815525883</v>
      </c>
      <c r="E250" s="118">
        <v>2.5477747053878224</v>
      </c>
      <c r="F250" s="96" t="s">
        <v>2062</v>
      </c>
      <c r="G250" s="96" t="b">
        <v>0</v>
      </c>
      <c r="H250" s="96" t="b">
        <v>0</v>
      </c>
      <c r="I250" s="96" t="b">
        <v>0</v>
      </c>
      <c r="J250" s="96" t="b">
        <v>0</v>
      </c>
      <c r="K250" s="96" t="b">
        <v>0</v>
      </c>
      <c r="L250" s="96" t="b">
        <v>0</v>
      </c>
    </row>
    <row r="251" spans="1:12" ht="15">
      <c r="A251" s="97" t="s">
        <v>2326</v>
      </c>
      <c r="B251" s="96" t="s">
        <v>2327</v>
      </c>
      <c r="C251" s="96">
        <v>2</v>
      </c>
      <c r="D251" s="118">
        <v>0.003579793815525883</v>
      </c>
      <c r="E251" s="118">
        <v>2.5477747053878224</v>
      </c>
      <c r="F251" s="96" t="s">
        <v>2062</v>
      </c>
      <c r="G251" s="96" t="b">
        <v>0</v>
      </c>
      <c r="H251" s="96" t="b">
        <v>0</v>
      </c>
      <c r="I251" s="96" t="b">
        <v>0</v>
      </c>
      <c r="J251" s="96" t="b">
        <v>0</v>
      </c>
      <c r="K251" s="96" t="b">
        <v>0</v>
      </c>
      <c r="L251" s="96" t="b">
        <v>0</v>
      </c>
    </row>
    <row r="252" spans="1:12" ht="15">
      <c r="A252" s="97" t="s">
        <v>2327</v>
      </c>
      <c r="B252" s="96" t="s">
        <v>2108</v>
      </c>
      <c r="C252" s="96">
        <v>2</v>
      </c>
      <c r="D252" s="118">
        <v>0.003579793815525883</v>
      </c>
      <c r="E252" s="118">
        <v>1.94571471405986</v>
      </c>
      <c r="F252" s="96" t="s">
        <v>2062</v>
      </c>
      <c r="G252" s="96" t="b">
        <v>0</v>
      </c>
      <c r="H252" s="96" t="b">
        <v>0</v>
      </c>
      <c r="I252" s="96" t="b">
        <v>0</v>
      </c>
      <c r="J252" s="96" t="b">
        <v>0</v>
      </c>
      <c r="K252" s="96" t="b">
        <v>0</v>
      </c>
      <c r="L252" s="96" t="b">
        <v>0</v>
      </c>
    </row>
    <row r="253" spans="1:12" ht="15">
      <c r="A253" s="97" t="s">
        <v>2108</v>
      </c>
      <c r="B253" s="96" t="s">
        <v>420</v>
      </c>
      <c r="C253" s="96">
        <v>2</v>
      </c>
      <c r="D253" s="118">
        <v>0.003579793815525883</v>
      </c>
      <c r="E253" s="118">
        <v>1.8945621916124789</v>
      </c>
      <c r="F253" s="96" t="s">
        <v>2062</v>
      </c>
      <c r="G253" s="96" t="b">
        <v>0</v>
      </c>
      <c r="H253" s="96" t="b">
        <v>0</v>
      </c>
      <c r="I253" s="96" t="b">
        <v>0</v>
      </c>
      <c r="J253" s="96" t="b">
        <v>0</v>
      </c>
      <c r="K253" s="96" t="b">
        <v>0</v>
      </c>
      <c r="L253" s="96" t="b">
        <v>0</v>
      </c>
    </row>
    <row r="254" spans="1:12" ht="15">
      <c r="A254" s="97" t="s">
        <v>2328</v>
      </c>
      <c r="B254" s="96" t="s">
        <v>2329</v>
      </c>
      <c r="C254" s="96">
        <v>2</v>
      </c>
      <c r="D254" s="118">
        <v>0.004382540470629833</v>
      </c>
      <c r="E254" s="118">
        <v>2.5477747053878224</v>
      </c>
      <c r="F254" s="96" t="s">
        <v>2062</v>
      </c>
      <c r="G254" s="96" t="b">
        <v>0</v>
      </c>
      <c r="H254" s="96" t="b">
        <v>0</v>
      </c>
      <c r="I254" s="96" t="b">
        <v>0</v>
      </c>
      <c r="J254" s="96" t="b">
        <v>0</v>
      </c>
      <c r="K254" s="96" t="b">
        <v>0</v>
      </c>
      <c r="L254" s="96" t="b">
        <v>0</v>
      </c>
    </row>
    <row r="255" spans="1:12" ht="15">
      <c r="A255" s="97" t="s">
        <v>2106</v>
      </c>
      <c r="B255" s="96" t="s">
        <v>2107</v>
      </c>
      <c r="C255" s="96">
        <v>4</v>
      </c>
      <c r="D255" s="118">
        <v>0.009603386818343827</v>
      </c>
      <c r="E255" s="118">
        <v>1.2675069615203178</v>
      </c>
      <c r="F255" s="96" t="s">
        <v>2063</v>
      </c>
      <c r="G255" s="96" t="b">
        <v>0</v>
      </c>
      <c r="H255" s="96" t="b">
        <v>0</v>
      </c>
      <c r="I255" s="96" t="b">
        <v>0</v>
      </c>
      <c r="J255" s="96" t="b">
        <v>0</v>
      </c>
      <c r="K255" s="96" t="b">
        <v>0</v>
      </c>
      <c r="L255" s="96" t="b">
        <v>0</v>
      </c>
    </row>
    <row r="256" spans="1:12" ht="15">
      <c r="A256" s="97" t="s">
        <v>434</v>
      </c>
      <c r="B256" s="96" t="s">
        <v>416</v>
      </c>
      <c r="C256" s="96">
        <v>2</v>
      </c>
      <c r="D256" s="118">
        <v>0.006512091111808171</v>
      </c>
      <c r="E256" s="118">
        <v>1.188325715472693</v>
      </c>
      <c r="F256" s="96" t="s">
        <v>2063</v>
      </c>
      <c r="G256" s="96" t="b">
        <v>0</v>
      </c>
      <c r="H256" s="96" t="b">
        <v>0</v>
      </c>
      <c r="I256" s="96" t="b">
        <v>0</v>
      </c>
      <c r="J256" s="96" t="b">
        <v>0</v>
      </c>
      <c r="K256" s="96" t="b">
        <v>0</v>
      </c>
      <c r="L256" s="96" t="b">
        <v>0</v>
      </c>
    </row>
    <row r="257" spans="1:12" ht="15">
      <c r="A257" s="97" t="s">
        <v>265</v>
      </c>
      <c r="B257" s="96" t="s">
        <v>416</v>
      </c>
      <c r="C257" s="96">
        <v>2</v>
      </c>
      <c r="D257" s="118">
        <v>0.006512091111808171</v>
      </c>
      <c r="E257" s="118">
        <v>1.364416974528374</v>
      </c>
      <c r="F257" s="96" t="s">
        <v>2063</v>
      </c>
      <c r="G257" s="96" t="b">
        <v>0</v>
      </c>
      <c r="H257" s="96" t="b">
        <v>0</v>
      </c>
      <c r="I257" s="96" t="b">
        <v>0</v>
      </c>
      <c r="J257" s="96" t="b">
        <v>0</v>
      </c>
      <c r="K257" s="96" t="b">
        <v>0</v>
      </c>
      <c r="L257" s="96" t="b">
        <v>0</v>
      </c>
    </row>
    <row r="258" spans="1:12" ht="15">
      <c r="A258" s="97" t="s">
        <v>2108</v>
      </c>
      <c r="B258" s="96" t="s">
        <v>2140</v>
      </c>
      <c r="C258" s="96">
        <v>27</v>
      </c>
      <c r="D258" s="118">
        <v>0.006868551614846984</v>
      </c>
      <c r="E258" s="118">
        <v>1.3376313613451782</v>
      </c>
      <c r="F258" s="96" t="s">
        <v>2064</v>
      </c>
      <c r="G258" s="96" t="b">
        <v>0</v>
      </c>
      <c r="H258" s="96" t="b">
        <v>0</v>
      </c>
      <c r="I258" s="96" t="b">
        <v>0</v>
      </c>
      <c r="J258" s="96" t="b">
        <v>0</v>
      </c>
      <c r="K258" s="96" t="b">
        <v>0</v>
      </c>
      <c r="L258" s="96" t="b">
        <v>0</v>
      </c>
    </row>
    <row r="259" spans="1:12" ht="15">
      <c r="A259" s="97" t="s">
        <v>2140</v>
      </c>
      <c r="B259" s="96" t="s">
        <v>2124</v>
      </c>
      <c r="C259" s="96">
        <v>27</v>
      </c>
      <c r="D259" s="118">
        <v>0.006868551614846984</v>
      </c>
      <c r="E259" s="118">
        <v>1.368665595085147</v>
      </c>
      <c r="F259" s="96" t="s">
        <v>2064</v>
      </c>
      <c r="G259" s="96" t="b">
        <v>0</v>
      </c>
      <c r="H259" s="96" t="b">
        <v>0</v>
      </c>
      <c r="I259" s="96" t="b">
        <v>0</v>
      </c>
      <c r="J259" s="96" t="b">
        <v>0</v>
      </c>
      <c r="K259" s="96" t="b">
        <v>0</v>
      </c>
      <c r="L259" s="96" t="b">
        <v>0</v>
      </c>
    </row>
    <row r="260" spans="1:12" ht="15">
      <c r="A260" s="97" t="s">
        <v>2124</v>
      </c>
      <c r="B260" s="96" t="s">
        <v>2132</v>
      </c>
      <c r="C260" s="96">
        <v>27</v>
      </c>
      <c r="D260" s="118">
        <v>0.006868551614846984</v>
      </c>
      <c r="E260" s="118">
        <v>1.368665595085147</v>
      </c>
      <c r="F260" s="96" t="s">
        <v>2064</v>
      </c>
      <c r="G260" s="96" t="b">
        <v>0</v>
      </c>
      <c r="H260" s="96" t="b">
        <v>0</v>
      </c>
      <c r="I260" s="96" t="b">
        <v>0</v>
      </c>
      <c r="J260" s="96" t="b">
        <v>0</v>
      </c>
      <c r="K260" s="96" t="b">
        <v>0</v>
      </c>
      <c r="L260" s="96" t="b">
        <v>0</v>
      </c>
    </row>
    <row r="261" spans="1:12" ht="15">
      <c r="A261" s="97" t="s">
        <v>2132</v>
      </c>
      <c r="B261" s="96" t="s">
        <v>2141</v>
      </c>
      <c r="C261" s="96">
        <v>27</v>
      </c>
      <c r="D261" s="118">
        <v>0.006868551614846984</v>
      </c>
      <c r="E261" s="118">
        <v>1.368665595085147</v>
      </c>
      <c r="F261" s="96" t="s">
        <v>2064</v>
      </c>
      <c r="G261" s="96" t="b">
        <v>0</v>
      </c>
      <c r="H261" s="96" t="b">
        <v>0</v>
      </c>
      <c r="I261" s="96" t="b">
        <v>0</v>
      </c>
      <c r="J261" s="96" t="b">
        <v>0</v>
      </c>
      <c r="K261" s="96" t="b">
        <v>0</v>
      </c>
      <c r="L261" s="96" t="b">
        <v>0</v>
      </c>
    </row>
    <row r="262" spans="1:12" ht="15">
      <c r="A262" s="97" t="s">
        <v>2141</v>
      </c>
      <c r="B262" s="96" t="s">
        <v>2142</v>
      </c>
      <c r="C262" s="96">
        <v>27</v>
      </c>
      <c r="D262" s="118">
        <v>0.006868551614846984</v>
      </c>
      <c r="E262" s="118">
        <v>1.368665595085147</v>
      </c>
      <c r="F262" s="96" t="s">
        <v>2064</v>
      </c>
      <c r="G262" s="96" t="b">
        <v>0</v>
      </c>
      <c r="H262" s="96" t="b">
        <v>0</v>
      </c>
      <c r="I262" s="96" t="b">
        <v>0</v>
      </c>
      <c r="J262" s="96" t="b">
        <v>0</v>
      </c>
      <c r="K262" s="96" t="b">
        <v>0</v>
      </c>
      <c r="L262" s="96" t="b">
        <v>0</v>
      </c>
    </row>
    <row r="263" spans="1:12" ht="15">
      <c r="A263" s="97" t="s">
        <v>2142</v>
      </c>
      <c r="B263" s="96" t="s">
        <v>2143</v>
      </c>
      <c r="C263" s="96">
        <v>27</v>
      </c>
      <c r="D263" s="118">
        <v>0.006868551614846984</v>
      </c>
      <c r="E263" s="118">
        <v>1.368665595085147</v>
      </c>
      <c r="F263" s="96" t="s">
        <v>2064</v>
      </c>
      <c r="G263" s="96" t="b">
        <v>0</v>
      </c>
      <c r="H263" s="96" t="b">
        <v>0</v>
      </c>
      <c r="I263" s="96" t="b">
        <v>0</v>
      </c>
      <c r="J263" s="96" t="b">
        <v>0</v>
      </c>
      <c r="K263" s="96" t="b">
        <v>0</v>
      </c>
      <c r="L263" s="96" t="b">
        <v>0</v>
      </c>
    </row>
    <row r="264" spans="1:12" ht="15">
      <c r="A264" s="97" t="s">
        <v>2143</v>
      </c>
      <c r="B264" s="96" t="s">
        <v>2144</v>
      </c>
      <c r="C264" s="96">
        <v>27</v>
      </c>
      <c r="D264" s="118">
        <v>0.006868551614846984</v>
      </c>
      <c r="E264" s="118">
        <v>1.368665595085147</v>
      </c>
      <c r="F264" s="96" t="s">
        <v>2064</v>
      </c>
      <c r="G264" s="96" t="b">
        <v>0</v>
      </c>
      <c r="H264" s="96" t="b">
        <v>0</v>
      </c>
      <c r="I264" s="96" t="b">
        <v>0</v>
      </c>
      <c r="J264" s="96" t="b">
        <v>0</v>
      </c>
      <c r="K264" s="96" t="b">
        <v>0</v>
      </c>
      <c r="L264" s="96" t="b">
        <v>0</v>
      </c>
    </row>
    <row r="265" spans="1:12" ht="15">
      <c r="A265" s="97" t="s">
        <v>2144</v>
      </c>
      <c r="B265" s="96" t="s">
        <v>2133</v>
      </c>
      <c r="C265" s="96">
        <v>27</v>
      </c>
      <c r="D265" s="118">
        <v>0.006868551614846984</v>
      </c>
      <c r="E265" s="118">
        <v>1.368665595085147</v>
      </c>
      <c r="F265" s="96" t="s">
        <v>2064</v>
      </c>
      <c r="G265" s="96" t="b">
        <v>0</v>
      </c>
      <c r="H265" s="96" t="b">
        <v>0</v>
      </c>
      <c r="I265" s="96" t="b">
        <v>0</v>
      </c>
      <c r="J265" s="96" t="b">
        <v>0</v>
      </c>
      <c r="K265" s="96" t="b">
        <v>0</v>
      </c>
      <c r="L265" s="96" t="b">
        <v>0</v>
      </c>
    </row>
    <row r="266" spans="1:12" ht="15">
      <c r="A266" s="97" t="s">
        <v>2133</v>
      </c>
      <c r="B266" s="96" t="s">
        <v>2134</v>
      </c>
      <c r="C266" s="96">
        <v>27</v>
      </c>
      <c r="D266" s="118">
        <v>0.006868551614846984</v>
      </c>
      <c r="E266" s="118">
        <v>1.368665595085147</v>
      </c>
      <c r="F266" s="96" t="s">
        <v>2064</v>
      </c>
      <c r="G266" s="96" t="b">
        <v>0</v>
      </c>
      <c r="H266" s="96" t="b">
        <v>0</v>
      </c>
      <c r="I266" s="96" t="b">
        <v>0</v>
      </c>
      <c r="J266" s="96" t="b">
        <v>0</v>
      </c>
      <c r="K266" s="96" t="b">
        <v>0</v>
      </c>
      <c r="L266" s="96" t="b">
        <v>0</v>
      </c>
    </row>
    <row r="267" spans="1:12" ht="15">
      <c r="A267" s="97" t="s">
        <v>2134</v>
      </c>
      <c r="B267" s="96" t="s">
        <v>2135</v>
      </c>
      <c r="C267" s="96">
        <v>27</v>
      </c>
      <c r="D267" s="118">
        <v>0.006868551614846984</v>
      </c>
      <c r="E267" s="118">
        <v>1.368665595085147</v>
      </c>
      <c r="F267" s="96" t="s">
        <v>2064</v>
      </c>
      <c r="G267" s="96" t="b">
        <v>0</v>
      </c>
      <c r="H267" s="96" t="b">
        <v>0</v>
      </c>
      <c r="I267" s="96" t="b">
        <v>0</v>
      </c>
      <c r="J267" s="96" t="b">
        <v>0</v>
      </c>
      <c r="K267" s="96" t="b">
        <v>0</v>
      </c>
      <c r="L267" s="96" t="b">
        <v>0</v>
      </c>
    </row>
    <row r="268" spans="1:12" ht="15">
      <c r="A268" s="97" t="s">
        <v>2135</v>
      </c>
      <c r="B268" s="96" t="s">
        <v>2136</v>
      </c>
      <c r="C268" s="96">
        <v>27</v>
      </c>
      <c r="D268" s="118">
        <v>0.006868551614846984</v>
      </c>
      <c r="E268" s="118">
        <v>1.368665595085147</v>
      </c>
      <c r="F268" s="96" t="s">
        <v>2064</v>
      </c>
      <c r="G268" s="96" t="b">
        <v>0</v>
      </c>
      <c r="H268" s="96" t="b">
        <v>0</v>
      </c>
      <c r="I268" s="96" t="b">
        <v>0</v>
      </c>
      <c r="J268" s="96" t="b">
        <v>0</v>
      </c>
      <c r="K268" s="96" t="b">
        <v>0</v>
      </c>
      <c r="L268" s="96" t="b">
        <v>0</v>
      </c>
    </row>
    <row r="269" spans="1:12" ht="15">
      <c r="A269" s="97" t="s">
        <v>2136</v>
      </c>
      <c r="B269" s="96" t="s">
        <v>2137</v>
      </c>
      <c r="C269" s="96">
        <v>27</v>
      </c>
      <c r="D269" s="118">
        <v>0.006868551614846984</v>
      </c>
      <c r="E269" s="118">
        <v>1.368665595085147</v>
      </c>
      <c r="F269" s="96" t="s">
        <v>2064</v>
      </c>
      <c r="G269" s="96" t="b">
        <v>0</v>
      </c>
      <c r="H269" s="96" t="b">
        <v>0</v>
      </c>
      <c r="I269" s="96" t="b">
        <v>0</v>
      </c>
      <c r="J269" s="96" t="b">
        <v>0</v>
      </c>
      <c r="K269" s="96" t="b">
        <v>0</v>
      </c>
      <c r="L269" s="96" t="b">
        <v>0</v>
      </c>
    </row>
    <row r="270" spans="1:12" ht="15">
      <c r="A270" s="97" t="s">
        <v>2137</v>
      </c>
      <c r="B270" s="96" t="s">
        <v>2138</v>
      </c>
      <c r="C270" s="96">
        <v>27</v>
      </c>
      <c r="D270" s="118">
        <v>0.006868551614846984</v>
      </c>
      <c r="E270" s="118">
        <v>1.368665595085147</v>
      </c>
      <c r="F270" s="96" t="s">
        <v>2064</v>
      </c>
      <c r="G270" s="96" t="b">
        <v>0</v>
      </c>
      <c r="H270" s="96" t="b">
        <v>0</v>
      </c>
      <c r="I270" s="96" t="b">
        <v>0</v>
      </c>
      <c r="J270" s="96" t="b">
        <v>0</v>
      </c>
      <c r="K270" s="96" t="b">
        <v>0</v>
      </c>
      <c r="L270" s="96" t="b">
        <v>0</v>
      </c>
    </row>
    <row r="271" spans="1:12" ht="15">
      <c r="A271" s="97" t="s">
        <v>2138</v>
      </c>
      <c r="B271" s="96" t="s">
        <v>2145</v>
      </c>
      <c r="C271" s="96">
        <v>27</v>
      </c>
      <c r="D271" s="118">
        <v>0.006868551614846984</v>
      </c>
      <c r="E271" s="118">
        <v>1.368665595085147</v>
      </c>
      <c r="F271" s="96" t="s">
        <v>2064</v>
      </c>
      <c r="G271" s="96" t="b">
        <v>0</v>
      </c>
      <c r="H271" s="96" t="b">
        <v>0</v>
      </c>
      <c r="I271" s="96" t="b">
        <v>0</v>
      </c>
      <c r="J271" s="96" t="b">
        <v>0</v>
      </c>
      <c r="K271" s="96" t="b">
        <v>0</v>
      </c>
      <c r="L271" s="96" t="b">
        <v>0</v>
      </c>
    </row>
    <row r="272" spans="1:12" ht="15">
      <c r="A272" s="97" t="s">
        <v>2145</v>
      </c>
      <c r="B272" s="96" t="s">
        <v>2139</v>
      </c>
      <c r="C272" s="96">
        <v>27</v>
      </c>
      <c r="D272" s="118">
        <v>0.006868551614846984</v>
      </c>
      <c r="E272" s="118">
        <v>1.368665595085147</v>
      </c>
      <c r="F272" s="96" t="s">
        <v>2064</v>
      </c>
      <c r="G272" s="96" t="b">
        <v>0</v>
      </c>
      <c r="H272" s="96" t="b">
        <v>0</v>
      </c>
      <c r="I272" s="96" t="b">
        <v>0</v>
      </c>
      <c r="J272" s="96" t="b">
        <v>0</v>
      </c>
      <c r="K272" s="96" t="b">
        <v>0</v>
      </c>
      <c r="L272" s="96" t="b">
        <v>0</v>
      </c>
    </row>
    <row r="273" spans="1:12" ht="15">
      <c r="A273" s="97" t="s">
        <v>2139</v>
      </c>
      <c r="B273" s="96" t="s">
        <v>2146</v>
      </c>
      <c r="C273" s="96">
        <v>27</v>
      </c>
      <c r="D273" s="118">
        <v>0.006868551614846984</v>
      </c>
      <c r="E273" s="118">
        <v>1.368665595085147</v>
      </c>
      <c r="F273" s="96" t="s">
        <v>2064</v>
      </c>
      <c r="G273" s="96" t="b">
        <v>0</v>
      </c>
      <c r="H273" s="96" t="b">
        <v>0</v>
      </c>
      <c r="I273" s="96" t="b">
        <v>0</v>
      </c>
      <c r="J273" s="96" t="b">
        <v>0</v>
      </c>
      <c r="K273" s="96" t="b">
        <v>0</v>
      </c>
      <c r="L273" s="96" t="b">
        <v>0</v>
      </c>
    </row>
    <row r="274" spans="1:12" ht="15">
      <c r="A274" s="97" t="s">
        <v>2146</v>
      </c>
      <c r="B274" s="96" t="s">
        <v>2111</v>
      </c>
      <c r="C274" s="96">
        <v>27</v>
      </c>
      <c r="D274" s="118">
        <v>0.006868551614846984</v>
      </c>
      <c r="E274" s="118">
        <v>1.3086676654098617</v>
      </c>
      <c r="F274" s="96" t="s">
        <v>2064</v>
      </c>
      <c r="G274" s="96" t="b">
        <v>0</v>
      </c>
      <c r="H274" s="96" t="b">
        <v>0</v>
      </c>
      <c r="I274" s="96" t="b">
        <v>0</v>
      </c>
      <c r="J274" s="96" t="b">
        <v>0</v>
      </c>
      <c r="K274" s="96" t="b">
        <v>0</v>
      </c>
      <c r="L274" s="96" t="b">
        <v>0</v>
      </c>
    </row>
    <row r="275" spans="1:12" ht="15">
      <c r="A275" s="97" t="s">
        <v>2111</v>
      </c>
      <c r="B275" s="96" t="s">
        <v>2147</v>
      </c>
      <c r="C275" s="96">
        <v>27</v>
      </c>
      <c r="D275" s="118">
        <v>0.006868551614846984</v>
      </c>
      <c r="E275" s="118">
        <v>1.3086676654098617</v>
      </c>
      <c r="F275" s="96" t="s">
        <v>2064</v>
      </c>
      <c r="G275" s="96" t="b">
        <v>0</v>
      </c>
      <c r="H275" s="96" t="b">
        <v>0</v>
      </c>
      <c r="I275" s="96" t="b">
        <v>0</v>
      </c>
      <c r="J275" s="96" t="b">
        <v>0</v>
      </c>
      <c r="K275" s="96" t="b">
        <v>0</v>
      </c>
      <c r="L275" s="96" t="b">
        <v>0</v>
      </c>
    </row>
    <row r="276" spans="1:12" ht="15">
      <c r="A276" s="97" t="s">
        <v>2106</v>
      </c>
      <c r="B276" s="96" t="s">
        <v>2107</v>
      </c>
      <c r="C276" s="96">
        <v>10</v>
      </c>
      <c r="D276" s="118">
        <v>0.0089725781121902</v>
      </c>
      <c r="E276" s="118">
        <v>1.8000293592441343</v>
      </c>
      <c r="F276" s="96" t="s">
        <v>2064</v>
      </c>
      <c r="G276" s="96" t="b">
        <v>0</v>
      </c>
      <c r="H276" s="96" t="b">
        <v>0</v>
      </c>
      <c r="I276" s="96" t="b">
        <v>0</v>
      </c>
      <c r="J276" s="96" t="b">
        <v>0</v>
      </c>
      <c r="K276" s="96" t="b">
        <v>0</v>
      </c>
      <c r="L276" s="96" t="b">
        <v>0</v>
      </c>
    </row>
    <row r="277" spans="1:12" ht="15">
      <c r="A277" s="97" t="s">
        <v>2107</v>
      </c>
      <c r="B277" s="96" t="s">
        <v>2109</v>
      </c>
      <c r="C277" s="96">
        <v>3</v>
      </c>
      <c r="D277" s="118">
        <v>0.005029532354433532</v>
      </c>
      <c r="E277" s="118">
        <v>1.8000293592441343</v>
      </c>
      <c r="F277" s="96" t="s">
        <v>2064</v>
      </c>
      <c r="G277" s="96" t="b">
        <v>0</v>
      </c>
      <c r="H277" s="96" t="b">
        <v>0</v>
      </c>
      <c r="I277" s="96" t="b">
        <v>0</v>
      </c>
      <c r="J277" s="96" t="b">
        <v>0</v>
      </c>
      <c r="K277" s="96" t="b">
        <v>0</v>
      </c>
      <c r="L277" s="96" t="b">
        <v>0</v>
      </c>
    </row>
    <row r="278" spans="1:12" ht="15">
      <c r="A278" s="97" t="s">
        <v>2109</v>
      </c>
      <c r="B278" s="96" t="s">
        <v>2110</v>
      </c>
      <c r="C278" s="96">
        <v>3</v>
      </c>
      <c r="D278" s="118">
        <v>0.005029532354433532</v>
      </c>
      <c r="E278" s="118">
        <v>2.3229081045244717</v>
      </c>
      <c r="F278" s="96" t="s">
        <v>2064</v>
      </c>
      <c r="G278" s="96" t="b">
        <v>0</v>
      </c>
      <c r="H278" s="96" t="b">
        <v>0</v>
      </c>
      <c r="I278" s="96" t="b">
        <v>0</v>
      </c>
      <c r="J278" s="96" t="b">
        <v>0</v>
      </c>
      <c r="K278" s="96" t="b">
        <v>0</v>
      </c>
      <c r="L278" s="96" t="b">
        <v>0</v>
      </c>
    </row>
    <row r="279" spans="1:12" ht="15">
      <c r="A279" s="97" t="s">
        <v>2110</v>
      </c>
      <c r="B279" s="96" t="s">
        <v>2125</v>
      </c>
      <c r="C279" s="96">
        <v>3</v>
      </c>
      <c r="D279" s="118">
        <v>0.005029532354433532</v>
      </c>
      <c r="E279" s="118">
        <v>2.3229081045244717</v>
      </c>
      <c r="F279" s="96" t="s">
        <v>2064</v>
      </c>
      <c r="G279" s="96" t="b">
        <v>0</v>
      </c>
      <c r="H279" s="96" t="b">
        <v>0</v>
      </c>
      <c r="I279" s="96" t="b">
        <v>0</v>
      </c>
      <c r="J279" s="96" t="b">
        <v>0</v>
      </c>
      <c r="K279" s="96" t="b">
        <v>0</v>
      </c>
      <c r="L279" s="96" t="b">
        <v>0</v>
      </c>
    </row>
    <row r="280" spans="1:12" ht="15">
      <c r="A280" s="97" t="s">
        <v>2125</v>
      </c>
      <c r="B280" s="96" t="s">
        <v>2126</v>
      </c>
      <c r="C280" s="96">
        <v>3</v>
      </c>
      <c r="D280" s="118">
        <v>0.005029532354433532</v>
      </c>
      <c r="E280" s="118">
        <v>2.3229081045244717</v>
      </c>
      <c r="F280" s="96" t="s">
        <v>2064</v>
      </c>
      <c r="G280" s="96" t="b">
        <v>0</v>
      </c>
      <c r="H280" s="96" t="b">
        <v>0</v>
      </c>
      <c r="I280" s="96" t="b">
        <v>0</v>
      </c>
      <c r="J280" s="96" t="b">
        <v>0</v>
      </c>
      <c r="K280" s="96" t="b">
        <v>0</v>
      </c>
      <c r="L280" s="96" t="b">
        <v>0</v>
      </c>
    </row>
    <row r="281" spans="1:12" ht="15">
      <c r="A281" s="97" t="s">
        <v>2126</v>
      </c>
      <c r="B281" s="96" t="s">
        <v>2127</v>
      </c>
      <c r="C281" s="96">
        <v>3</v>
      </c>
      <c r="D281" s="118">
        <v>0.005029532354433532</v>
      </c>
      <c r="E281" s="118">
        <v>2.3229081045244717</v>
      </c>
      <c r="F281" s="96" t="s">
        <v>2064</v>
      </c>
      <c r="G281" s="96" t="b">
        <v>0</v>
      </c>
      <c r="H281" s="96" t="b">
        <v>0</v>
      </c>
      <c r="I281" s="96" t="b">
        <v>0</v>
      </c>
      <c r="J281" s="96" t="b">
        <v>0</v>
      </c>
      <c r="K281" s="96" t="b">
        <v>0</v>
      </c>
      <c r="L281" s="96" t="b">
        <v>0</v>
      </c>
    </row>
    <row r="282" spans="1:12" ht="15">
      <c r="A282" s="97" t="s">
        <v>2127</v>
      </c>
      <c r="B282" s="96" t="s">
        <v>2128</v>
      </c>
      <c r="C282" s="96">
        <v>3</v>
      </c>
      <c r="D282" s="118">
        <v>0.005029532354433532</v>
      </c>
      <c r="E282" s="118">
        <v>2.3229081045244717</v>
      </c>
      <c r="F282" s="96" t="s">
        <v>2064</v>
      </c>
      <c r="G282" s="96" t="b">
        <v>0</v>
      </c>
      <c r="H282" s="96" t="b">
        <v>0</v>
      </c>
      <c r="I282" s="96" t="b">
        <v>0</v>
      </c>
      <c r="J282" s="96" t="b">
        <v>0</v>
      </c>
      <c r="K282" s="96" t="b">
        <v>0</v>
      </c>
      <c r="L282" s="96" t="b">
        <v>0</v>
      </c>
    </row>
    <row r="283" spans="1:12" ht="15">
      <c r="A283" s="97" t="s">
        <v>2128</v>
      </c>
      <c r="B283" s="96" t="s">
        <v>2115</v>
      </c>
      <c r="C283" s="96">
        <v>3</v>
      </c>
      <c r="D283" s="118">
        <v>0.005029532354433532</v>
      </c>
      <c r="E283" s="118">
        <v>2.3229081045244717</v>
      </c>
      <c r="F283" s="96" t="s">
        <v>2064</v>
      </c>
      <c r="G283" s="96" t="b">
        <v>0</v>
      </c>
      <c r="H283" s="96" t="b">
        <v>0</v>
      </c>
      <c r="I283" s="96" t="b">
        <v>0</v>
      </c>
      <c r="J283" s="96" t="b">
        <v>0</v>
      </c>
      <c r="K283" s="96" t="b">
        <v>0</v>
      </c>
      <c r="L283" s="96" t="b">
        <v>0</v>
      </c>
    </row>
    <row r="284" spans="1:12" ht="15">
      <c r="A284" s="97" t="s">
        <v>2115</v>
      </c>
      <c r="B284" s="96" t="s">
        <v>2116</v>
      </c>
      <c r="C284" s="96">
        <v>3</v>
      </c>
      <c r="D284" s="118">
        <v>0.005029532354433532</v>
      </c>
      <c r="E284" s="118">
        <v>2.3229081045244717</v>
      </c>
      <c r="F284" s="96" t="s">
        <v>2064</v>
      </c>
      <c r="G284" s="96" t="b">
        <v>0</v>
      </c>
      <c r="H284" s="96" t="b">
        <v>0</v>
      </c>
      <c r="I284" s="96" t="b">
        <v>0</v>
      </c>
      <c r="J284" s="96" t="b">
        <v>0</v>
      </c>
      <c r="K284" s="96" t="b">
        <v>0</v>
      </c>
      <c r="L284" s="96" t="b">
        <v>0</v>
      </c>
    </row>
    <row r="285" spans="1:12" ht="15">
      <c r="A285" s="97" t="s">
        <v>2116</v>
      </c>
      <c r="B285" s="96" t="s">
        <v>2117</v>
      </c>
      <c r="C285" s="96">
        <v>3</v>
      </c>
      <c r="D285" s="118">
        <v>0.005029532354433532</v>
      </c>
      <c r="E285" s="118">
        <v>2.3229081045244717</v>
      </c>
      <c r="F285" s="96" t="s">
        <v>2064</v>
      </c>
      <c r="G285" s="96" t="b">
        <v>0</v>
      </c>
      <c r="H285" s="96" t="b">
        <v>0</v>
      </c>
      <c r="I285" s="96" t="b">
        <v>0</v>
      </c>
      <c r="J285" s="96" t="b">
        <v>0</v>
      </c>
      <c r="K285" s="96" t="b">
        <v>0</v>
      </c>
      <c r="L285" s="96" t="b">
        <v>0</v>
      </c>
    </row>
    <row r="286" spans="1:12" ht="15">
      <c r="A286" s="97" t="s">
        <v>2117</v>
      </c>
      <c r="B286" s="96" t="s">
        <v>2118</v>
      </c>
      <c r="C286" s="96">
        <v>3</v>
      </c>
      <c r="D286" s="118">
        <v>0.005029532354433532</v>
      </c>
      <c r="E286" s="118">
        <v>2.3229081045244717</v>
      </c>
      <c r="F286" s="96" t="s">
        <v>2064</v>
      </c>
      <c r="G286" s="96" t="b">
        <v>0</v>
      </c>
      <c r="H286" s="96" t="b">
        <v>0</v>
      </c>
      <c r="I286" s="96" t="b">
        <v>0</v>
      </c>
      <c r="J286" s="96" t="b">
        <v>0</v>
      </c>
      <c r="K286" s="96" t="b">
        <v>0</v>
      </c>
      <c r="L286" s="96" t="b">
        <v>0</v>
      </c>
    </row>
    <row r="287" spans="1:12" ht="15">
      <c r="A287" s="97" t="s">
        <v>2118</v>
      </c>
      <c r="B287" s="96" t="s">
        <v>2119</v>
      </c>
      <c r="C287" s="96">
        <v>3</v>
      </c>
      <c r="D287" s="118">
        <v>0.005029532354433532</v>
      </c>
      <c r="E287" s="118">
        <v>2.3229081045244717</v>
      </c>
      <c r="F287" s="96" t="s">
        <v>2064</v>
      </c>
      <c r="G287" s="96" t="b">
        <v>0</v>
      </c>
      <c r="H287" s="96" t="b">
        <v>0</v>
      </c>
      <c r="I287" s="96" t="b">
        <v>0</v>
      </c>
      <c r="J287" s="96" t="b">
        <v>0</v>
      </c>
      <c r="K287" s="96" t="b">
        <v>0</v>
      </c>
      <c r="L287" s="96" t="b">
        <v>0</v>
      </c>
    </row>
    <row r="288" spans="1:12" ht="15">
      <c r="A288" s="97" t="s">
        <v>2119</v>
      </c>
      <c r="B288" s="96" t="s">
        <v>2129</v>
      </c>
      <c r="C288" s="96">
        <v>3</v>
      </c>
      <c r="D288" s="118">
        <v>0.005029532354433532</v>
      </c>
      <c r="E288" s="118">
        <v>2.3229081045244717</v>
      </c>
      <c r="F288" s="96" t="s">
        <v>2064</v>
      </c>
      <c r="G288" s="96" t="b">
        <v>0</v>
      </c>
      <c r="H288" s="96" t="b">
        <v>0</v>
      </c>
      <c r="I288" s="96" t="b">
        <v>0</v>
      </c>
      <c r="J288" s="96" t="b">
        <v>0</v>
      </c>
      <c r="K288" s="96" t="b">
        <v>0</v>
      </c>
      <c r="L288" s="96" t="b">
        <v>0</v>
      </c>
    </row>
    <row r="289" spans="1:12" ht="15">
      <c r="A289" s="97" t="s">
        <v>2129</v>
      </c>
      <c r="B289" s="96" t="s">
        <v>2120</v>
      </c>
      <c r="C289" s="96">
        <v>3</v>
      </c>
      <c r="D289" s="118">
        <v>0.005029532354433532</v>
      </c>
      <c r="E289" s="118">
        <v>2.3229081045244717</v>
      </c>
      <c r="F289" s="96" t="s">
        <v>2064</v>
      </c>
      <c r="G289" s="96" t="b">
        <v>0</v>
      </c>
      <c r="H289" s="96" t="b">
        <v>0</v>
      </c>
      <c r="I289" s="96" t="b">
        <v>0</v>
      </c>
      <c r="J289" s="96" t="b">
        <v>0</v>
      </c>
      <c r="K289" s="96" t="b">
        <v>0</v>
      </c>
      <c r="L289" s="96" t="b">
        <v>0</v>
      </c>
    </row>
    <row r="290" spans="1:12" ht="15">
      <c r="A290" s="97" t="s">
        <v>2120</v>
      </c>
      <c r="B290" s="96" t="s">
        <v>2121</v>
      </c>
      <c r="C290" s="96">
        <v>3</v>
      </c>
      <c r="D290" s="118">
        <v>0.005029532354433532</v>
      </c>
      <c r="E290" s="118">
        <v>2.3229081045244717</v>
      </c>
      <c r="F290" s="96" t="s">
        <v>2064</v>
      </c>
      <c r="G290" s="96" t="b">
        <v>0</v>
      </c>
      <c r="H290" s="96" t="b">
        <v>0</v>
      </c>
      <c r="I290" s="96" t="b">
        <v>0</v>
      </c>
      <c r="J290" s="96" t="b">
        <v>0</v>
      </c>
      <c r="K290" s="96" t="b">
        <v>0</v>
      </c>
      <c r="L290" s="96" t="b">
        <v>0</v>
      </c>
    </row>
    <row r="291" spans="1:12" ht="15">
      <c r="A291" s="97" t="s">
        <v>2121</v>
      </c>
      <c r="B291" s="96" t="s">
        <v>2122</v>
      </c>
      <c r="C291" s="96">
        <v>3</v>
      </c>
      <c r="D291" s="118">
        <v>0.005029532354433532</v>
      </c>
      <c r="E291" s="118">
        <v>2.3229081045244717</v>
      </c>
      <c r="F291" s="96" t="s">
        <v>2064</v>
      </c>
      <c r="G291" s="96" t="b">
        <v>0</v>
      </c>
      <c r="H291" s="96" t="b">
        <v>0</v>
      </c>
      <c r="I291" s="96" t="b">
        <v>0</v>
      </c>
      <c r="J291" s="96" t="b">
        <v>0</v>
      </c>
      <c r="K291" s="96" t="b">
        <v>0</v>
      </c>
      <c r="L291" s="96" t="b">
        <v>0</v>
      </c>
    </row>
    <row r="292" spans="1:12" ht="15">
      <c r="A292" s="97" t="s">
        <v>2122</v>
      </c>
      <c r="B292" s="96" t="s">
        <v>2130</v>
      </c>
      <c r="C292" s="96">
        <v>3</v>
      </c>
      <c r="D292" s="118">
        <v>0.005029532354433532</v>
      </c>
      <c r="E292" s="118">
        <v>2.3229081045244717</v>
      </c>
      <c r="F292" s="96" t="s">
        <v>2064</v>
      </c>
      <c r="G292" s="96" t="b">
        <v>0</v>
      </c>
      <c r="H292" s="96" t="b">
        <v>0</v>
      </c>
      <c r="I292" s="96" t="b">
        <v>0</v>
      </c>
      <c r="J292" s="96" t="b">
        <v>0</v>
      </c>
      <c r="K292" s="96" t="b">
        <v>0</v>
      </c>
      <c r="L292" s="96" t="b">
        <v>0</v>
      </c>
    </row>
    <row r="293" spans="1:12" ht="15">
      <c r="A293" s="97" t="s">
        <v>2130</v>
      </c>
      <c r="B293" s="96" t="s">
        <v>2131</v>
      </c>
      <c r="C293" s="96">
        <v>3</v>
      </c>
      <c r="D293" s="118">
        <v>0.005029532354433532</v>
      </c>
      <c r="E293" s="118">
        <v>2.3229081045244717</v>
      </c>
      <c r="F293" s="96" t="s">
        <v>2064</v>
      </c>
      <c r="G293" s="96" t="b">
        <v>0</v>
      </c>
      <c r="H293" s="96" t="b">
        <v>0</v>
      </c>
      <c r="I293" s="96" t="b">
        <v>0</v>
      </c>
      <c r="J293" s="96" t="b">
        <v>0</v>
      </c>
      <c r="K293" s="96" t="b">
        <v>0</v>
      </c>
      <c r="L293" s="96" t="b">
        <v>0</v>
      </c>
    </row>
    <row r="294" spans="1:12" ht="15">
      <c r="A294" s="97" t="s">
        <v>2131</v>
      </c>
      <c r="B294" s="96" t="s">
        <v>2123</v>
      </c>
      <c r="C294" s="96">
        <v>3</v>
      </c>
      <c r="D294" s="118">
        <v>0.005029532354433532</v>
      </c>
      <c r="E294" s="118">
        <v>2.3229081045244717</v>
      </c>
      <c r="F294" s="96" t="s">
        <v>2064</v>
      </c>
      <c r="G294" s="96" t="b">
        <v>0</v>
      </c>
      <c r="H294" s="96" t="b">
        <v>0</v>
      </c>
      <c r="I294" s="96" t="b">
        <v>0</v>
      </c>
      <c r="J294" s="96" t="b">
        <v>0</v>
      </c>
      <c r="K294" s="96" t="b">
        <v>0</v>
      </c>
      <c r="L294" s="96" t="b">
        <v>0</v>
      </c>
    </row>
    <row r="295" spans="1:12" ht="15">
      <c r="A295" s="97" t="s">
        <v>2123</v>
      </c>
      <c r="B295" s="96" t="s">
        <v>2114</v>
      </c>
      <c r="C295" s="96">
        <v>3</v>
      </c>
      <c r="D295" s="118">
        <v>0.005029532354433532</v>
      </c>
      <c r="E295" s="118">
        <v>2.197969367916172</v>
      </c>
      <c r="F295" s="96" t="s">
        <v>2064</v>
      </c>
      <c r="G295" s="96" t="b">
        <v>0</v>
      </c>
      <c r="H295" s="96" t="b">
        <v>0</v>
      </c>
      <c r="I295" s="96" t="b">
        <v>0</v>
      </c>
      <c r="J295" s="96" t="b">
        <v>0</v>
      </c>
      <c r="K295" s="96" t="b">
        <v>0</v>
      </c>
      <c r="L295" s="96" t="b">
        <v>0</v>
      </c>
    </row>
    <row r="296" spans="1:12" ht="15">
      <c r="A296" s="97" t="s">
        <v>2107</v>
      </c>
      <c r="B296" s="96" t="s">
        <v>2213</v>
      </c>
      <c r="C296" s="96">
        <v>3</v>
      </c>
      <c r="D296" s="118">
        <v>0.005029532354433532</v>
      </c>
      <c r="E296" s="118">
        <v>1.8000293592441343</v>
      </c>
      <c r="F296" s="96" t="s">
        <v>2064</v>
      </c>
      <c r="G296" s="96" t="b">
        <v>0</v>
      </c>
      <c r="H296" s="96" t="b">
        <v>0</v>
      </c>
      <c r="I296" s="96" t="b">
        <v>0</v>
      </c>
      <c r="J296" s="96" t="b">
        <v>0</v>
      </c>
      <c r="K296" s="96" t="b">
        <v>0</v>
      </c>
      <c r="L296" s="96" t="b">
        <v>0</v>
      </c>
    </row>
    <row r="297" spans="1:12" ht="15">
      <c r="A297" s="97" t="s">
        <v>2213</v>
      </c>
      <c r="B297" s="96" t="s">
        <v>2182</v>
      </c>
      <c r="C297" s="96">
        <v>3</v>
      </c>
      <c r="D297" s="118">
        <v>0.005029532354433532</v>
      </c>
      <c r="E297" s="118">
        <v>2.3229081045244717</v>
      </c>
      <c r="F297" s="96" t="s">
        <v>2064</v>
      </c>
      <c r="G297" s="96" t="b">
        <v>0</v>
      </c>
      <c r="H297" s="96" t="b">
        <v>0</v>
      </c>
      <c r="I297" s="96" t="b">
        <v>0</v>
      </c>
      <c r="J297" s="96" t="b">
        <v>0</v>
      </c>
      <c r="K297" s="96" t="b">
        <v>0</v>
      </c>
      <c r="L297" s="96" t="b">
        <v>0</v>
      </c>
    </row>
    <row r="298" spans="1:12" ht="15">
      <c r="A298" s="97" t="s">
        <v>2182</v>
      </c>
      <c r="B298" s="96" t="s">
        <v>2111</v>
      </c>
      <c r="C298" s="96">
        <v>3</v>
      </c>
      <c r="D298" s="118">
        <v>0.005029532354433532</v>
      </c>
      <c r="E298" s="118">
        <v>1.3086676654098617</v>
      </c>
      <c r="F298" s="96" t="s">
        <v>2064</v>
      </c>
      <c r="G298" s="96" t="b">
        <v>0</v>
      </c>
      <c r="H298" s="96" t="b">
        <v>0</v>
      </c>
      <c r="I298" s="96" t="b">
        <v>0</v>
      </c>
      <c r="J298" s="96" t="b">
        <v>0</v>
      </c>
      <c r="K298" s="96" t="b">
        <v>0</v>
      </c>
      <c r="L298" s="96" t="b">
        <v>0</v>
      </c>
    </row>
    <row r="299" spans="1:12" ht="15">
      <c r="A299" s="97" t="s">
        <v>2111</v>
      </c>
      <c r="B299" s="96" t="s">
        <v>2187</v>
      </c>
      <c r="C299" s="96">
        <v>3</v>
      </c>
      <c r="D299" s="118">
        <v>0.005029532354433532</v>
      </c>
      <c r="E299" s="118">
        <v>1.3086676654098617</v>
      </c>
      <c r="F299" s="96" t="s">
        <v>2064</v>
      </c>
      <c r="G299" s="96" t="b">
        <v>0</v>
      </c>
      <c r="H299" s="96" t="b">
        <v>0</v>
      </c>
      <c r="I299" s="96" t="b">
        <v>0</v>
      </c>
      <c r="J299" s="96" t="b">
        <v>0</v>
      </c>
      <c r="K299" s="96" t="b">
        <v>0</v>
      </c>
      <c r="L299" s="96" t="b">
        <v>0</v>
      </c>
    </row>
    <row r="300" spans="1:12" ht="15">
      <c r="A300" s="97" t="s">
        <v>2187</v>
      </c>
      <c r="B300" s="96" t="s">
        <v>2188</v>
      </c>
      <c r="C300" s="96">
        <v>3</v>
      </c>
      <c r="D300" s="118">
        <v>0.005029532354433532</v>
      </c>
      <c r="E300" s="118">
        <v>2.3229081045244717</v>
      </c>
      <c r="F300" s="96" t="s">
        <v>2064</v>
      </c>
      <c r="G300" s="96" t="b">
        <v>0</v>
      </c>
      <c r="H300" s="96" t="b">
        <v>0</v>
      </c>
      <c r="I300" s="96" t="b">
        <v>0</v>
      </c>
      <c r="J300" s="96" t="b">
        <v>0</v>
      </c>
      <c r="K300" s="96" t="b">
        <v>0</v>
      </c>
      <c r="L300" s="96" t="b">
        <v>0</v>
      </c>
    </row>
    <row r="301" spans="1:12" ht="15">
      <c r="A301" s="97" t="s">
        <v>2107</v>
      </c>
      <c r="B301" s="96" t="s">
        <v>2150</v>
      </c>
      <c r="C301" s="96">
        <v>2</v>
      </c>
      <c r="D301" s="118">
        <v>0.0038778837426646237</v>
      </c>
      <c r="E301" s="118">
        <v>1.8000293592441343</v>
      </c>
      <c r="F301" s="96" t="s">
        <v>2064</v>
      </c>
      <c r="G301" s="96" t="b">
        <v>0</v>
      </c>
      <c r="H301" s="96" t="b">
        <v>0</v>
      </c>
      <c r="I301" s="96" t="b">
        <v>0</v>
      </c>
      <c r="J301" s="96" t="b">
        <v>0</v>
      </c>
      <c r="K301" s="96" t="b">
        <v>0</v>
      </c>
      <c r="L301" s="96" t="b">
        <v>0</v>
      </c>
    </row>
    <row r="302" spans="1:12" ht="15">
      <c r="A302" s="97" t="s">
        <v>2150</v>
      </c>
      <c r="B302" s="96" t="s">
        <v>2151</v>
      </c>
      <c r="C302" s="96">
        <v>2</v>
      </c>
      <c r="D302" s="118">
        <v>0.0038778837426646237</v>
      </c>
      <c r="E302" s="118">
        <v>2.498999363580153</v>
      </c>
      <c r="F302" s="96" t="s">
        <v>2064</v>
      </c>
      <c r="G302" s="96" t="b">
        <v>0</v>
      </c>
      <c r="H302" s="96" t="b">
        <v>0</v>
      </c>
      <c r="I302" s="96" t="b">
        <v>0</v>
      </c>
      <c r="J302" s="96" t="b">
        <v>0</v>
      </c>
      <c r="K302" s="96" t="b">
        <v>0</v>
      </c>
      <c r="L302" s="96" t="b">
        <v>0</v>
      </c>
    </row>
    <row r="303" spans="1:12" ht="15">
      <c r="A303" s="97" t="s">
        <v>2151</v>
      </c>
      <c r="B303" s="96" t="s">
        <v>2152</v>
      </c>
      <c r="C303" s="96">
        <v>2</v>
      </c>
      <c r="D303" s="118">
        <v>0.0038778837426646237</v>
      </c>
      <c r="E303" s="118">
        <v>2.498999363580153</v>
      </c>
      <c r="F303" s="96" t="s">
        <v>2064</v>
      </c>
      <c r="G303" s="96" t="b">
        <v>0</v>
      </c>
      <c r="H303" s="96" t="b">
        <v>0</v>
      </c>
      <c r="I303" s="96" t="b">
        <v>0</v>
      </c>
      <c r="J303" s="96" t="b">
        <v>0</v>
      </c>
      <c r="K303" s="96" t="b">
        <v>0</v>
      </c>
      <c r="L303" s="96" t="b">
        <v>0</v>
      </c>
    </row>
    <row r="304" spans="1:12" ht="15">
      <c r="A304" s="97" t="s">
        <v>2152</v>
      </c>
      <c r="B304" s="96" t="s">
        <v>2149</v>
      </c>
      <c r="C304" s="96">
        <v>2</v>
      </c>
      <c r="D304" s="118">
        <v>0.0038778837426646237</v>
      </c>
      <c r="E304" s="118">
        <v>2.498999363580153</v>
      </c>
      <c r="F304" s="96" t="s">
        <v>2064</v>
      </c>
      <c r="G304" s="96" t="b">
        <v>0</v>
      </c>
      <c r="H304" s="96" t="b">
        <v>0</v>
      </c>
      <c r="I304" s="96" t="b">
        <v>0</v>
      </c>
      <c r="J304" s="96" t="b">
        <v>0</v>
      </c>
      <c r="K304" s="96" t="b">
        <v>0</v>
      </c>
      <c r="L304" s="96" t="b">
        <v>0</v>
      </c>
    </row>
    <row r="305" spans="1:12" ht="15">
      <c r="A305" s="97" t="s">
        <v>2149</v>
      </c>
      <c r="B305" s="96" t="s">
        <v>2153</v>
      </c>
      <c r="C305" s="96">
        <v>2</v>
      </c>
      <c r="D305" s="118">
        <v>0.0038778837426646237</v>
      </c>
      <c r="E305" s="118">
        <v>2.498999363580153</v>
      </c>
      <c r="F305" s="96" t="s">
        <v>2064</v>
      </c>
      <c r="G305" s="96" t="b">
        <v>0</v>
      </c>
      <c r="H305" s="96" t="b">
        <v>0</v>
      </c>
      <c r="I305" s="96" t="b">
        <v>0</v>
      </c>
      <c r="J305" s="96" t="b">
        <v>0</v>
      </c>
      <c r="K305" s="96" t="b">
        <v>0</v>
      </c>
      <c r="L305" s="96" t="b">
        <v>0</v>
      </c>
    </row>
    <row r="306" spans="1:12" ht="15">
      <c r="A306" s="97" t="s">
        <v>2153</v>
      </c>
      <c r="B306" s="96" t="s">
        <v>2148</v>
      </c>
      <c r="C306" s="96">
        <v>2</v>
      </c>
      <c r="D306" s="118">
        <v>0.0038778837426646237</v>
      </c>
      <c r="E306" s="118">
        <v>2.498999363580153</v>
      </c>
      <c r="F306" s="96" t="s">
        <v>2064</v>
      </c>
      <c r="G306" s="96" t="b">
        <v>0</v>
      </c>
      <c r="H306" s="96" t="b">
        <v>0</v>
      </c>
      <c r="I306" s="96" t="b">
        <v>0</v>
      </c>
      <c r="J306" s="96" t="b">
        <v>0</v>
      </c>
      <c r="K306" s="96" t="b">
        <v>0</v>
      </c>
      <c r="L306" s="96" t="b">
        <v>0</v>
      </c>
    </row>
    <row r="307" spans="1:12" ht="15">
      <c r="A307" s="97" t="s">
        <v>2148</v>
      </c>
      <c r="B307" s="96" t="s">
        <v>2154</v>
      </c>
      <c r="C307" s="96">
        <v>2</v>
      </c>
      <c r="D307" s="118">
        <v>0.0038778837426646237</v>
      </c>
      <c r="E307" s="118">
        <v>2.498999363580153</v>
      </c>
      <c r="F307" s="96" t="s">
        <v>2064</v>
      </c>
      <c r="G307" s="96" t="b">
        <v>0</v>
      </c>
      <c r="H307" s="96" t="b">
        <v>0</v>
      </c>
      <c r="I307" s="96" t="b">
        <v>0</v>
      </c>
      <c r="J307" s="96" t="b">
        <v>0</v>
      </c>
      <c r="K307" s="96" t="b">
        <v>0</v>
      </c>
      <c r="L307" s="96" t="b">
        <v>0</v>
      </c>
    </row>
    <row r="308" spans="1:12" ht="15">
      <c r="A308" s="97" t="s">
        <v>2154</v>
      </c>
      <c r="B308" s="96" t="s">
        <v>2155</v>
      </c>
      <c r="C308" s="96">
        <v>2</v>
      </c>
      <c r="D308" s="118">
        <v>0.0038778837426646237</v>
      </c>
      <c r="E308" s="118">
        <v>2.498999363580153</v>
      </c>
      <c r="F308" s="96" t="s">
        <v>2064</v>
      </c>
      <c r="G308" s="96" t="b">
        <v>0</v>
      </c>
      <c r="H308" s="96" t="b">
        <v>0</v>
      </c>
      <c r="I308" s="96" t="b">
        <v>0</v>
      </c>
      <c r="J308" s="96" t="b">
        <v>0</v>
      </c>
      <c r="K308" s="96" t="b">
        <v>0</v>
      </c>
      <c r="L308" s="96" t="b">
        <v>0</v>
      </c>
    </row>
    <row r="309" spans="1:12" ht="15">
      <c r="A309" s="97" t="s">
        <v>2107</v>
      </c>
      <c r="B309" s="96" t="s">
        <v>2112</v>
      </c>
      <c r="C309" s="96">
        <v>2</v>
      </c>
      <c r="D309" s="118">
        <v>0.0038778837426646237</v>
      </c>
      <c r="E309" s="118">
        <v>1.8000293592441343</v>
      </c>
      <c r="F309" s="96" t="s">
        <v>2064</v>
      </c>
      <c r="G309" s="96" t="b">
        <v>0</v>
      </c>
      <c r="H309" s="96" t="b">
        <v>0</v>
      </c>
      <c r="I309" s="96" t="b">
        <v>0</v>
      </c>
      <c r="J309" s="96" t="b">
        <v>0</v>
      </c>
      <c r="K309" s="96" t="b">
        <v>0</v>
      </c>
      <c r="L309" s="96" t="b">
        <v>0</v>
      </c>
    </row>
    <row r="310" spans="1:12" ht="15">
      <c r="A310" s="97" t="s">
        <v>2112</v>
      </c>
      <c r="B310" s="96" t="s">
        <v>2113</v>
      </c>
      <c r="C310" s="96">
        <v>2</v>
      </c>
      <c r="D310" s="118">
        <v>0.0038778837426646237</v>
      </c>
      <c r="E310" s="118">
        <v>2.498999363580153</v>
      </c>
      <c r="F310" s="96" t="s">
        <v>2064</v>
      </c>
      <c r="G310" s="96" t="b">
        <v>0</v>
      </c>
      <c r="H310" s="96" t="b">
        <v>0</v>
      </c>
      <c r="I310" s="96" t="b">
        <v>0</v>
      </c>
      <c r="J310" s="96" t="b">
        <v>0</v>
      </c>
      <c r="K310" s="96" t="b">
        <v>0</v>
      </c>
      <c r="L310" s="96" t="b">
        <v>0</v>
      </c>
    </row>
    <row r="311" spans="1:12" ht="15">
      <c r="A311" s="97" t="s">
        <v>2106</v>
      </c>
      <c r="B311" s="96" t="s">
        <v>2107</v>
      </c>
      <c r="C311" s="96">
        <v>21</v>
      </c>
      <c r="D311" s="118">
        <v>0.009170569365936986</v>
      </c>
      <c r="E311" s="118">
        <v>1.143163556714499</v>
      </c>
      <c r="F311" s="96" t="s">
        <v>2065</v>
      </c>
      <c r="G311" s="96" t="b">
        <v>0</v>
      </c>
      <c r="H311" s="96" t="b">
        <v>0</v>
      </c>
      <c r="I311" s="96" t="b">
        <v>0</v>
      </c>
      <c r="J311" s="96" t="b">
        <v>0</v>
      </c>
      <c r="K311" s="96" t="b">
        <v>0</v>
      </c>
      <c r="L311" s="96" t="b">
        <v>0</v>
      </c>
    </row>
    <row r="312" spans="1:12" ht="15">
      <c r="A312" s="97" t="s">
        <v>2107</v>
      </c>
      <c r="B312" s="96" t="s">
        <v>2176</v>
      </c>
      <c r="C312" s="96">
        <v>9</v>
      </c>
      <c r="D312" s="118">
        <v>0.014247350143727978</v>
      </c>
      <c r="E312" s="118">
        <v>1.2349339300701443</v>
      </c>
      <c r="F312" s="96" t="s">
        <v>2065</v>
      </c>
      <c r="G312" s="96" t="b">
        <v>0</v>
      </c>
      <c r="H312" s="96" t="b">
        <v>0</v>
      </c>
      <c r="I312" s="96" t="b">
        <v>0</v>
      </c>
      <c r="J312" s="96" t="b">
        <v>0</v>
      </c>
      <c r="K312" s="96" t="b">
        <v>0</v>
      </c>
      <c r="L312" s="96" t="b">
        <v>0</v>
      </c>
    </row>
    <row r="313" spans="1:12" ht="15">
      <c r="A313" s="97" t="s">
        <v>2176</v>
      </c>
      <c r="B313" s="96" t="s">
        <v>2175</v>
      </c>
      <c r="C313" s="96">
        <v>9</v>
      </c>
      <c r="D313" s="118">
        <v>0.014247350143727978</v>
      </c>
      <c r="E313" s="118">
        <v>1.5111403420090934</v>
      </c>
      <c r="F313" s="96" t="s">
        <v>2065</v>
      </c>
      <c r="G313" s="96" t="b">
        <v>0</v>
      </c>
      <c r="H313" s="96" t="b">
        <v>0</v>
      </c>
      <c r="I313" s="96" t="b">
        <v>0</v>
      </c>
      <c r="J313" s="96" t="b">
        <v>0</v>
      </c>
      <c r="K313" s="96" t="b">
        <v>0</v>
      </c>
      <c r="L313" s="96" t="b">
        <v>0</v>
      </c>
    </row>
    <row r="314" spans="1:12" ht="15">
      <c r="A314" s="97" t="s">
        <v>2175</v>
      </c>
      <c r="B314" s="96" t="s">
        <v>2157</v>
      </c>
      <c r="C314" s="96">
        <v>9</v>
      </c>
      <c r="D314" s="118">
        <v>0.014247350143727978</v>
      </c>
      <c r="E314" s="118">
        <v>1.4653828514484184</v>
      </c>
      <c r="F314" s="96" t="s">
        <v>2065</v>
      </c>
      <c r="G314" s="96" t="b">
        <v>0</v>
      </c>
      <c r="H314" s="96" t="b">
        <v>0</v>
      </c>
      <c r="I314" s="96" t="b">
        <v>0</v>
      </c>
      <c r="J314" s="96" t="b">
        <v>0</v>
      </c>
      <c r="K314" s="96" t="b">
        <v>0</v>
      </c>
      <c r="L314" s="96" t="b">
        <v>0</v>
      </c>
    </row>
    <row r="315" spans="1:12" ht="15">
      <c r="A315" s="97" t="s">
        <v>2157</v>
      </c>
      <c r="B315" s="96" t="s">
        <v>2177</v>
      </c>
      <c r="C315" s="96">
        <v>9</v>
      </c>
      <c r="D315" s="118">
        <v>0.014247350143727978</v>
      </c>
      <c r="E315" s="118">
        <v>1.4653828514484184</v>
      </c>
      <c r="F315" s="96" t="s">
        <v>2065</v>
      </c>
      <c r="G315" s="96" t="b">
        <v>0</v>
      </c>
      <c r="H315" s="96" t="b">
        <v>0</v>
      </c>
      <c r="I315" s="96" t="b">
        <v>0</v>
      </c>
      <c r="J315" s="96" t="b">
        <v>0</v>
      </c>
      <c r="K315" s="96" t="b">
        <v>0</v>
      </c>
      <c r="L315" s="96" t="b">
        <v>0</v>
      </c>
    </row>
    <row r="316" spans="1:12" ht="15">
      <c r="A316" s="97" t="s">
        <v>2177</v>
      </c>
      <c r="B316" s="96" t="s">
        <v>2178</v>
      </c>
      <c r="C316" s="96">
        <v>9</v>
      </c>
      <c r="D316" s="118">
        <v>0.014247350143727978</v>
      </c>
      <c r="E316" s="118">
        <v>1.5111403420090934</v>
      </c>
      <c r="F316" s="96" t="s">
        <v>2065</v>
      </c>
      <c r="G316" s="96" t="b">
        <v>0</v>
      </c>
      <c r="H316" s="96" t="b">
        <v>0</v>
      </c>
      <c r="I316" s="96" t="b">
        <v>0</v>
      </c>
      <c r="J316" s="96" t="b">
        <v>0</v>
      </c>
      <c r="K316" s="96" t="b">
        <v>0</v>
      </c>
      <c r="L316" s="96" t="b">
        <v>0</v>
      </c>
    </row>
    <row r="317" spans="1:12" ht="15">
      <c r="A317" s="97" t="s">
        <v>2178</v>
      </c>
      <c r="B317" s="96" t="s">
        <v>2179</v>
      </c>
      <c r="C317" s="96">
        <v>9</v>
      </c>
      <c r="D317" s="118">
        <v>0.014247350143727978</v>
      </c>
      <c r="E317" s="118">
        <v>1.5111403420090934</v>
      </c>
      <c r="F317" s="96" t="s">
        <v>2065</v>
      </c>
      <c r="G317" s="96" t="b">
        <v>0</v>
      </c>
      <c r="H317" s="96" t="b">
        <v>0</v>
      </c>
      <c r="I317" s="96" t="b">
        <v>0</v>
      </c>
      <c r="J317" s="96" t="b">
        <v>0</v>
      </c>
      <c r="K317" s="96" t="b">
        <v>0</v>
      </c>
      <c r="L317" s="96" t="b">
        <v>0</v>
      </c>
    </row>
    <row r="318" spans="1:12" ht="15">
      <c r="A318" s="97" t="s">
        <v>2183</v>
      </c>
      <c r="B318" s="96" t="s">
        <v>2106</v>
      </c>
      <c r="C318" s="96">
        <v>2</v>
      </c>
      <c r="D318" s="118">
        <v>0.007235937708629126</v>
      </c>
      <c r="E318" s="118">
        <v>1.5622928644564746</v>
      </c>
      <c r="F318" s="96" t="s">
        <v>2065</v>
      </c>
      <c r="G318" s="96" t="b">
        <v>0</v>
      </c>
      <c r="H318" s="96" t="b">
        <v>0</v>
      </c>
      <c r="I318" s="96" t="b">
        <v>0</v>
      </c>
      <c r="J318" s="96" t="b">
        <v>0</v>
      </c>
      <c r="K318" s="96" t="b">
        <v>0</v>
      </c>
      <c r="L318" s="96" t="b">
        <v>0</v>
      </c>
    </row>
    <row r="319" spans="1:12" ht="15">
      <c r="A319" s="97" t="s">
        <v>346</v>
      </c>
      <c r="B319" s="96" t="s">
        <v>2106</v>
      </c>
      <c r="C319" s="96">
        <v>2</v>
      </c>
      <c r="D319" s="118">
        <v>0.007235937708629126</v>
      </c>
      <c r="E319" s="118">
        <v>1.0182248201061992</v>
      </c>
      <c r="F319" s="96" t="s">
        <v>2065</v>
      </c>
      <c r="G319" s="96" t="b">
        <v>0</v>
      </c>
      <c r="H319" s="96" t="b">
        <v>0</v>
      </c>
      <c r="I319" s="96" t="b">
        <v>0</v>
      </c>
      <c r="J319" s="96" t="b">
        <v>0</v>
      </c>
      <c r="K319" s="96" t="b">
        <v>0</v>
      </c>
      <c r="L319" s="96" t="b">
        <v>0</v>
      </c>
    </row>
    <row r="320" spans="1:12" ht="15">
      <c r="A320" s="97" t="s">
        <v>2107</v>
      </c>
      <c r="B320" s="96" t="s">
        <v>2190</v>
      </c>
      <c r="C320" s="96">
        <v>2</v>
      </c>
      <c r="D320" s="118">
        <v>0.007235937708629126</v>
      </c>
      <c r="E320" s="118">
        <v>1.2349339300701443</v>
      </c>
      <c r="F320" s="96" t="s">
        <v>2065</v>
      </c>
      <c r="G320" s="96" t="b">
        <v>0</v>
      </c>
      <c r="H320" s="96" t="b">
        <v>0</v>
      </c>
      <c r="I320" s="96" t="b">
        <v>0</v>
      </c>
      <c r="J320" s="96" t="b">
        <v>0</v>
      </c>
      <c r="K320" s="96" t="b">
        <v>0</v>
      </c>
      <c r="L320" s="96" t="b">
        <v>0</v>
      </c>
    </row>
    <row r="321" spans="1:12" ht="15">
      <c r="A321" s="97" t="s">
        <v>2190</v>
      </c>
      <c r="B321" s="96" t="s">
        <v>2239</v>
      </c>
      <c r="C321" s="96">
        <v>2</v>
      </c>
      <c r="D321" s="118">
        <v>0.007235937708629126</v>
      </c>
      <c r="E321" s="118">
        <v>2.164352855784437</v>
      </c>
      <c r="F321" s="96" t="s">
        <v>2065</v>
      </c>
      <c r="G321" s="96" t="b">
        <v>0</v>
      </c>
      <c r="H321" s="96" t="b">
        <v>0</v>
      </c>
      <c r="I321" s="96" t="b">
        <v>0</v>
      </c>
      <c r="J321" s="96" t="b">
        <v>0</v>
      </c>
      <c r="K321" s="96" t="b">
        <v>0</v>
      </c>
      <c r="L321" s="96" t="b">
        <v>0</v>
      </c>
    </row>
    <row r="322" spans="1:12" ht="15">
      <c r="A322" s="97" t="s">
        <v>2239</v>
      </c>
      <c r="B322" s="96" t="s">
        <v>2240</v>
      </c>
      <c r="C322" s="96">
        <v>2</v>
      </c>
      <c r="D322" s="118">
        <v>0.007235937708629126</v>
      </c>
      <c r="E322" s="118">
        <v>2.164352855784437</v>
      </c>
      <c r="F322" s="96" t="s">
        <v>2065</v>
      </c>
      <c r="G322" s="96" t="b">
        <v>0</v>
      </c>
      <c r="H322" s="96" t="b">
        <v>0</v>
      </c>
      <c r="I322" s="96" t="b">
        <v>0</v>
      </c>
      <c r="J322" s="96" t="b">
        <v>0</v>
      </c>
      <c r="K322" s="96" t="b">
        <v>0</v>
      </c>
      <c r="L322" s="96" t="b">
        <v>0</v>
      </c>
    </row>
    <row r="323" spans="1:12" ht="15">
      <c r="A323" s="97" t="s">
        <v>2240</v>
      </c>
      <c r="B323" s="96" t="s">
        <v>2241</v>
      </c>
      <c r="C323" s="96">
        <v>2</v>
      </c>
      <c r="D323" s="118">
        <v>0.007235937708629126</v>
      </c>
      <c r="E323" s="118">
        <v>2.164352855784437</v>
      </c>
      <c r="F323" s="96" t="s">
        <v>2065</v>
      </c>
      <c r="G323" s="96" t="b">
        <v>0</v>
      </c>
      <c r="H323" s="96" t="b">
        <v>0</v>
      </c>
      <c r="I323" s="96" t="b">
        <v>0</v>
      </c>
      <c r="J323" s="96" t="b">
        <v>0</v>
      </c>
      <c r="K323" s="96" t="b">
        <v>0</v>
      </c>
      <c r="L323" s="96" t="b">
        <v>0</v>
      </c>
    </row>
    <row r="324" spans="1:12" ht="15">
      <c r="A324" s="97" t="s">
        <v>2241</v>
      </c>
      <c r="B324" s="96" t="s">
        <v>2242</v>
      </c>
      <c r="C324" s="96">
        <v>2</v>
      </c>
      <c r="D324" s="118">
        <v>0.007235937708629126</v>
      </c>
      <c r="E324" s="118">
        <v>2.164352855784437</v>
      </c>
      <c r="F324" s="96" t="s">
        <v>2065</v>
      </c>
      <c r="G324" s="96" t="b">
        <v>0</v>
      </c>
      <c r="H324" s="96" t="b">
        <v>0</v>
      </c>
      <c r="I324" s="96" t="b">
        <v>0</v>
      </c>
      <c r="J324" s="96" t="b">
        <v>0</v>
      </c>
      <c r="K324" s="96" t="b">
        <v>0</v>
      </c>
      <c r="L324" s="96" t="b">
        <v>0</v>
      </c>
    </row>
    <row r="325" spans="1:12" ht="15">
      <c r="A325" s="97" t="s">
        <v>2242</v>
      </c>
      <c r="B325" s="96" t="s">
        <v>2243</v>
      </c>
      <c r="C325" s="96">
        <v>2</v>
      </c>
      <c r="D325" s="118">
        <v>0.007235937708629126</v>
      </c>
      <c r="E325" s="118">
        <v>2.164352855784437</v>
      </c>
      <c r="F325" s="96" t="s">
        <v>2065</v>
      </c>
      <c r="G325" s="96" t="b">
        <v>0</v>
      </c>
      <c r="H325" s="96" t="b">
        <v>0</v>
      </c>
      <c r="I325" s="96" t="b">
        <v>0</v>
      </c>
      <c r="J325" s="96" t="b">
        <v>0</v>
      </c>
      <c r="K325" s="96" t="b">
        <v>0</v>
      </c>
      <c r="L325" s="96" t="b">
        <v>0</v>
      </c>
    </row>
    <row r="326" spans="1:12" ht="15">
      <c r="A326" s="97" t="s">
        <v>2243</v>
      </c>
      <c r="B326" s="96" t="s">
        <v>2244</v>
      </c>
      <c r="C326" s="96">
        <v>2</v>
      </c>
      <c r="D326" s="118">
        <v>0.007235937708629126</v>
      </c>
      <c r="E326" s="118">
        <v>2.164352855784437</v>
      </c>
      <c r="F326" s="96" t="s">
        <v>2065</v>
      </c>
      <c r="G326" s="96" t="b">
        <v>0</v>
      </c>
      <c r="H326" s="96" t="b">
        <v>0</v>
      </c>
      <c r="I326" s="96" t="b">
        <v>0</v>
      </c>
      <c r="J326" s="96" t="b">
        <v>0</v>
      </c>
      <c r="K326" s="96" t="b">
        <v>0</v>
      </c>
      <c r="L326" s="96" t="b">
        <v>0</v>
      </c>
    </row>
    <row r="327" spans="1:12" ht="15">
      <c r="A327" s="97" t="s">
        <v>2107</v>
      </c>
      <c r="B327" s="96" t="s">
        <v>2112</v>
      </c>
      <c r="C327" s="96">
        <v>2</v>
      </c>
      <c r="D327" s="118">
        <v>0.007235937708629126</v>
      </c>
      <c r="E327" s="118">
        <v>1.2349339300701443</v>
      </c>
      <c r="F327" s="96" t="s">
        <v>2065</v>
      </c>
      <c r="G327" s="96" t="b">
        <v>0</v>
      </c>
      <c r="H327" s="96" t="b">
        <v>0</v>
      </c>
      <c r="I327" s="96" t="b">
        <v>0</v>
      </c>
      <c r="J327" s="96" t="b">
        <v>0</v>
      </c>
      <c r="K327" s="96" t="b">
        <v>0</v>
      </c>
      <c r="L327" s="96" t="b">
        <v>0</v>
      </c>
    </row>
    <row r="328" spans="1:12" ht="15">
      <c r="A328" s="97" t="s">
        <v>2112</v>
      </c>
      <c r="B328" s="96" t="s">
        <v>2113</v>
      </c>
      <c r="C328" s="96">
        <v>2</v>
      </c>
      <c r="D328" s="118">
        <v>0.007235937708629126</v>
      </c>
      <c r="E328" s="118">
        <v>2.164352855784437</v>
      </c>
      <c r="F328" s="96" t="s">
        <v>2065</v>
      </c>
      <c r="G328" s="96" t="b">
        <v>0</v>
      </c>
      <c r="H328" s="96" t="b">
        <v>0</v>
      </c>
      <c r="I328" s="96" t="b">
        <v>0</v>
      </c>
      <c r="J328" s="96" t="b">
        <v>0</v>
      </c>
      <c r="K328" s="96" t="b">
        <v>0</v>
      </c>
      <c r="L328" s="96" t="b">
        <v>0</v>
      </c>
    </row>
    <row r="329" spans="1:12" ht="15">
      <c r="A329" s="97" t="s">
        <v>2108</v>
      </c>
      <c r="B329" s="96" t="s">
        <v>2140</v>
      </c>
      <c r="C329" s="96">
        <v>2</v>
      </c>
      <c r="D329" s="118">
        <v>0.007235937708629126</v>
      </c>
      <c r="E329" s="118">
        <v>2.164352855784437</v>
      </c>
      <c r="F329" s="96" t="s">
        <v>2065</v>
      </c>
      <c r="G329" s="96" t="b">
        <v>0</v>
      </c>
      <c r="H329" s="96" t="b">
        <v>0</v>
      </c>
      <c r="I329" s="96" t="b">
        <v>0</v>
      </c>
      <c r="J329" s="96" t="b">
        <v>0</v>
      </c>
      <c r="K329" s="96" t="b">
        <v>0</v>
      </c>
      <c r="L329" s="96" t="b">
        <v>0</v>
      </c>
    </row>
    <row r="330" spans="1:12" ht="15">
      <c r="A330" s="97" t="s">
        <v>2140</v>
      </c>
      <c r="B330" s="96" t="s">
        <v>2124</v>
      </c>
      <c r="C330" s="96">
        <v>2</v>
      </c>
      <c r="D330" s="118">
        <v>0.007235937708629126</v>
      </c>
      <c r="E330" s="118">
        <v>2.164352855784437</v>
      </c>
      <c r="F330" s="96" t="s">
        <v>2065</v>
      </c>
      <c r="G330" s="96" t="b">
        <v>0</v>
      </c>
      <c r="H330" s="96" t="b">
        <v>0</v>
      </c>
      <c r="I330" s="96" t="b">
        <v>0</v>
      </c>
      <c r="J330" s="96" t="b">
        <v>0</v>
      </c>
      <c r="K330" s="96" t="b">
        <v>0</v>
      </c>
      <c r="L330" s="96" t="b">
        <v>0</v>
      </c>
    </row>
    <row r="331" spans="1:12" ht="15">
      <c r="A331" s="97" t="s">
        <v>2124</v>
      </c>
      <c r="B331" s="96" t="s">
        <v>2132</v>
      </c>
      <c r="C331" s="96">
        <v>2</v>
      </c>
      <c r="D331" s="118">
        <v>0.007235937708629126</v>
      </c>
      <c r="E331" s="118">
        <v>2.164352855784437</v>
      </c>
      <c r="F331" s="96" t="s">
        <v>2065</v>
      </c>
      <c r="G331" s="96" t="b">
        <v>0</v>
      </c>
      <c r="H331" s="96" t="b">
        <v>0</v>
      </c>
      <c r="I331" s="96" t="b">
        <v>0</v>
      </c>
      <c r="J331" s="96" t="b">
        <v>0</v>
      </c>
      <c r="K331" s="96" t="b">
        <v>0</v>
      </c>
      <c r="L331" s="96" t="b">
        <v>0</v>
      </c>
    </row>
    <row r="332" spans="1:12" ht="15">
      <c r="A332" s="97" t="s">
        <v>2132</v>
      </c>
      <c r="B332" s="96" t="s">
        <v>2141</v>
      </c>
      <c r="C332" s="96">
        <v>2</v>
      </c>
      <c r="D332" s="118">
        <v>0.007235937708629126</v>
      </c>
      <c r="E332" s="118">
        <v>2.164352855784437</v>
      </c>
      <c r="F332" s="96" t="s">
        <v>2065</v>
      </c>
      <c r="G332" s="96" t="b">
        <v>0</v>
      </c>
      <c r="H332" s="96" t="b">
        <v>0</v>
      </c>
      <c r="I332" s="96" t="b">
        <v>0</v>
      </c>
      <c r="J332" s="96" t="b">
        <v>0</v>
      </c>
      <c r="K332" s="96" t="b">
        <v>0</v>
      </c>
      <c r="L332" s="96" t="b">
        <v>0</v>
      </c>
    </row>
    <row r="333" spans="1:12" ht="15">
      <c r="A333" s="97" t="s">
        <v>2141</v>
      </c>
      <c r="B333" s="96" t="s">
        <v>2142</v>
      </c>
      <c r="C333" s="96">
        <v>2</v>
      </c>
      <c r="D333" s="118">
        <v>0.007235937708629126</v>
      </c>
      <c r="E333" s="118">
        <v>2.164352855784437</v>
      </c>
      <c r="F333" s="96" t="s">
        <v>2065</v>
      </c>
      <c r="G333" s="96" t="b">
        <v>0</v>
      </c>
      <c r="H333" s="96" t="b">
        <v>0</v>
      </c>
      <c r="I333" s="96" t="b">
        <v>0</v>
      </c>
      <c r="J333" s="96" t="b">
        <v>0</v>
      </c>
      <c r="K333" s="96" t="b">
        <v>0</v>
      </c>
      <c r="L333" s="96" t="b">
        <v>0</v>
      </c>
    </row>
    <row r="334" spans="1:12" ht="15">
      <c r="A334" s="97" t="s">
        <v>2142</v>
      </c>
      <c r="B334" s="96" t="s">
        <v>2143</v>
      </c>
      <c r="C334" s="96">
        <v>2</v>
      </c>
      <c r="D334" s="118">
        <v>0.007235937708629126</v>
      </c>
      <c r="E334" s="118">
        <v>2.164352855784437</v>
      </c>
      <c r="F334" s="96" t="s">
        <v>2065</v>
      </c>
      <c r="G334" s="96" t="b">
        <v>0</v>
      </c>
      <c r="H334" s="96" t="b">
        <v>0</v>
      </c>
      <c r="I334" s="96" t="b">
        <v>0</v>
      </c>
      <c r="J334" s="96" t="b">
        <v>0</v>
      </c>
      <c r="K334" s="96" t="b">
        <v>0</v>
      </c>
      <c r="L334" s="96" t="b">
        <v>0</v>
      </c>
    </row>
    <row r="335" spans="1:12" ht="15">
      <c r="A335" s="97" t="s">
        <v>2143</v>
      </c>
      <c r="B335" s="96" t="s">
        <v>2144</v>
      </c>
      <c r="C335" s="96">
        <v>2</v>
      </c>
      <c r="D335" s="118">
        <v>0.007235937708629126</v>
      </c>
      <c r="E335" s="118">
        <v>2.164352855784437</v>
      </c>
      <c r="F335" s="96" t="s">
        <v>2065</v>
      </c>
      <c r="G335" s="96" t="b">
        <v>0</v>
      </c>
      <c r="H335" s="96" t="b">
        <v>0</v>
      </c>
      <c r="I335" s="96" t="b">
        <v>0</v>
      </c>
      <c r="J335" s="96" t="b">
        <v>0</v>
      </c>
      <c r="K335" s="96" t="b">
        <v>0</v>
      </c>
      <c r="L335" s="96" t="b">
        <v>0</v>
      </c>
    </row>
    <row r="336" spans="1:12" ht="15">
      <c r="A336" s="97" t="s">
        <v>2144</v>
      </c>
      <c r="B336" s="96" t="s">
        <v>2133</v>
      </c>
      <c r="C336" s="96">
        <v>2</v>
      </c>
      <c r="D336" s="118">
        <v>0.007235937708629126</v>
      </c>
      <c r="E336" s="118">
        <v>2.164352855784437</v>
      </c>
      <c r="F336" s="96" t="s">
        <v>2065</v>
      </c>
      <c r="G336" s="96" t="b">
        <v>0</v>
      </c>
      <c r="H336" s="96" t="b">
        <v>0</v>
      </c>
      <c r="I336" s="96" t="b">
        <v>0</v>
      </c>
      <c r="J336" s="96" t="b">
        <v>0</v>
      </c>
      <c r="K336" s="96" t="b">
        <v>0</v>
      </c>
      <c r="L336" s="96" t="b">
        <v>0</v>
      </c>
    </row>
    <row r="337" spans="1:12" ht="15">
      <c r="A337" s="97" t="s">
        <v>2133</v>
      </c>
      <c r="B337" s="96" t="s">
        <v>2134</v>
      </c>
      <c r="C337" s="96">
        <v>2</v>
      </c>
      <c r="D337" s="118">
        <v>0.007235937708629126</v>
      </c>
      <c r="E337" s="118">
        <v>2.164352855784437</v>
      </c>
      <c r="F337" s="96" t="s">
        <v>2065</v>
      </c>
      <c r="G337" s="96" t="b">
        <v>0</v>
      </c>
      <c r="H337" s="96" t="b">
        <v>0</v>
      </c>
      <c r="I337" s="96" t="b">
        <v>0</v>
      </c>
      <c r="J337" s="96" t="b">
        <v>0</v>
      </c>
      <c r="K337" s="96" t="b">
        <v>0</v>
      </c>
      <c r="L337" s="96" t="b">
        <v>0</v>
      </c>
    </row>
    <row r="338" spans="1:12" ht="15">
      <c r="A338" s="97" t="s">
        <v>2134</v>
      </c>
      <c r="B338" s="96" t="s">
        <v>2135</v>
      </c>
      <c r="C338" s="96">
        <v>2</v>
      </c>
      <c r="D338" s="118">
        <v>0.007235937708629126</v>
      </c>
      <c r="E338" s="118">
        <v>2.164352855784437</v>
      </c>
      <c r="F338" s="96" t="s">
        <v>2065</v>
      </c>
      <c r="G338" s="96" t="b">
        <v>0</v>
      </c>
      <c r="H338" s="96" t="b">
        <v>0</v>
      </c>
      <c r="I338" s="96" t="b">
        <v>0</v>
      </c>
      <c r="J338" s="96" t="b">
        <v>0</v>
      </c>
      <c r="K338" s="96" t="b">
        <v>0</v>
      </c>
      <c r="L338" s="96" t="b">
        <v>0</v>
      </c>
    </row>
    <row r="339" spans="1:12" ht="15">
      <c r="A339" s="97" t="s">
        <v>2135</v>
      </c>
      <c r="B339" s="96" t="s">
        <v>2136</v>
      </c>
      <c r="C339" s="96">
        <v>2</v>
      </c>
      <c r="D339" s="118">
        <v>0.007235937708629126</v>
      </c>
      <c r="E339" s="118">
        <v>2.164352855784437</v>
      </c>
      <c r="F339" s="96" t="s">
        <v>2065</v>
      </c>
      <c r="G339" s="96" t="b">
        <v>0</v>
      </c>
      <c r="H339" s="96" t="b">
        <v>0</v>
      </c>
      <c r="I339" s="96" t="b">
        <v>0</v>
      </c>
      <c r="J339" s="96" t="b">
        <v>0</v>
      </c>
      <c r="K339" s="96" t="b">
        <v>0</v>
      </c>
      <c r="L339" s="96" t="b">
        <v>0</v>
      </c>
    </row>
    <row r="340" spans="1:12" ht="15">
      <c r="A340" s="97" t="s">
        <v>2136</v>
      </c>
      <c r="B340" s="96" t="s">
        <v>2137</v>
      </c>
      <c r="C340" s="96">
        <v>2</v>
      </c>
      <c r="D340" s="118">
        <v>0.007235937708629126</v>
      </c>
      <c r="E340" s="118">
        <v>2.164352855784437</v>
      </c>
      <c r="F340" s="96" t="s">
        <v>2065</v>
      </c>
      <c r="G340" s="96" t="b">
        <v>0</v>
      </c>
      <c r="H340" s="96" t="b">
        <v>0</v>
      </c>
      <c r="I340" s="96" t="b">
        <v>0</v>
      </c>
      <c r="J340" s="96" t="b">
        <v>0</v>
      </c>
      <c r="K340" s="96" t="b">
        <v>0</v>
      </c>
      <c r="L340" s="96" t="b">
        <v>0</v>
      </c>
    </row>
    <row r="341" spans="1:12" ht="15">
      <c r="A341" s="97" t="s">
        <v>2137</v>
      </c>
      <c r="B341" s="96" t="s">
        <v>2138</v>
      </c>
      <c r="C341" s="96">
        <v>2</v>
      </c>
      <c r="D341" s="118">
        <v>0.007235937708629126</v>
      </c>
      <c r="E341" s="118">
        <v>2.164352855784437</v>
      </c>
      <c r="F341" s="96" t="s">
        <v>2065</v>
      </c>
      <c r="G341" s="96" t="b">
        <v>0</v>
      </c>
      <c r="H341" s="96" t="b">
        <v>0</v>
      </c>
      <c r="I341" s="96" t="b">
        <v>0</v>
      </c>
      <c r="J341" s="96" t="b">
        <v>0</v>
      </c>
      <c r="K341" s="96" t="b">
        <v>0</v>
      </c>
      <c r="L341" s="96" t="b">
        <v>0</v>
      </c>
    </row>
    <row r="342" spans="1:12" ht="15">
      <c r="A342" s="97" t="s">
        <v>2138</v>
      </c>
      <c r="B342" s="96" t="s">
        <v>2145</v>
      </c>
      <c r="C342" s="96">
        <v>2</v>
      </c>
      <c r="D342" s="118">
        <v>0.007235937708629126</v>
      </c>
      <c r="E342" s="118">
        <v>2.164352855784437</v>
      </c>
      <c r="F342" s="96" t="s">
        <v>2065</v>
      </c>
      <c r="G342" s="96" t="b">
        <v>0</v>
      </c>
      <c r="H342" s="96" t="b">
        <v>0</v>
      </c>
      <c r="I342" s="96" t="b">
        <v>0</v>
      </c>
      <c r="J342" s="96" t="b">
        <v>0</v>
      </c>
      <c r="K342" s="96" t="b">
        <v>0</v>
      </c>
      <c r="L342" s="96" t="b">
        <v>0</v>
      </c>
    </row>
    <row r="343" spans="1:12" ht="15">
      <c r="A343" s="97" t="s">
        <v>2145</v>
      </c>
      <c r="B343" s="96" t="s">
        <v>2139</v>
      </c>
      <c r="C343" s="96">
        <v>2</v>
      </c>
      <c r="D343" s="118">
        <v>0.007235937708629126</v>
      </c>
      <c r="E343" s="118">
        <v>1.9882615967287558</v>
      </c>
      <c r="F343" s="96" t="s">
        <v>2065</v>
      </c>
      <c r="G343" s="96" t="b">
        <v>0</v>
      </c>
      <c r="H343" s="96" t="b">
        <v>0</v>
      </c>
      <c r="I343" s="96" t="b">
        <v>0</v>
      </c>
      <c r="J343" s="96" t="b">
        <v>0</v>
      </c>
      <c r="K343" s="96" t="b">
        <v>0</v>
      </c>
      <c r="L343" s="96" t="b">
        <v>0</v>
      </c>
    </row>
    <row r="344" spans="1:12" ht="15">
      <c r="A344" s="97" t="s">
        <v>2139</v>
      </c>
      <c r="B344" s="96" t="s">
        <v>2146</v>
      </c>
      <c r="C344" s="96">
        <v>2</v>
      </c>
      <c r="D344" s="118">
        <v>0.007235937708629126</v>
      </c>
      <c r="E344" s="118">
        <v>1.9882615967287558</v>
      </c>
      <c r="F344" s="96" t="s">
        <v>2065</v>
      </c>
      <c r="G344" s="96" t="b">
        <v>0</v>
      </c>
      <c r="H344" s="96" t="b">
        <v>0</v>
      </c>
      <c r="I344" s="96" t="b">
        <v>0</v>
      </c>
      <c r="J344" s="96" t="b">
        <v>0</v>
      </c>
      <c r="K344" s="96" t="b">
        <v>0</v>
      </c>
      <c r="L344" s="96" t="b">
        <v>0</v>
      </c>
    </row>
    <row r="345" spans="1:12" ht="15">
      <c r="A345" s="97" t="s">
        <v>2146</v>
      </c>
      <c r="B345" s="96" t="s">
        <v>2111</v>
      </c>
      <c r="C345" s="96">
        <v>2</v>
      </c>
      <c r="D345" s="118">
        <v>0.007235937708629126</v>
      </c>
      <c r="E345" s="118">
        <v>2.164352855784437</v>
      </c>
      <c r="F345" s="96" t="s">
        <v>2065</v>
      </c>
      <c r="G345" s="96" t="b">
        <v>0</v>
      </c>
      <c r="H345" s="96" t="b">
        <v>0</v>
      </c>
      <c r="I345" s="96" t="b">
        <v>0</v>
      </c>
      <c r="J345" s="96" t="b">
        <v>0</v>
      </c>
      <c r="K345" s="96" t="b">
        <v>0</v>
      </c>
      <c r="L345" s="96" t="b">
        <v>0</v>
      </c>
    </row>
    <row r="346" spans="1:12" ht="15">
      <c r="A346" s="97" t="s">
        <v>2111</v>
      </c>
      <c r="B346" s="96" t="s">
        <v>2147</v>
      </c>
      <c r="C346" s="96">
        <v>2</v>
      </c>
      <c r="D346" s="118">
        <v>0.007235937708629126</v>
      </c>
      <c r="E346" s="118">
        <v>2.164352855784437</v>
      </c>
      <c r="F346" s="96" t="s">
        <v>2065</v>
      </c>
      <c r="G346" s="96" t="b">
        <v>0</v>
      </c>
      <c r="H346" s="96" t="b">
        <v>0</v>
      </c>
      <c r="I346" s="96" t="b">
        <v>0</v>
      </c>
      <c r="J346" s="96" t="b">
        <v>0</v>
      </c>
      <c r="K346" s="96" t="b">
        <v>0</v>
      </c>
      <c r="L346" s="96" t="b">
        <v>0</v>
      </c>
    </row>
    <row r="347" spans="1:12" ht="15">
      <c r="A347" s="97" t="s">
        <v>441</v>
      </c>
      <c r="B347" s="96" t="s">
        <v>2268</v>
      </c>
      <c r="C347" s="96">
        <v>2</v>
      </c>
      <c r="D347" s="118">
        <v>0.007235937708629126</v>
      </c>
      <c r="E347" s="118">
        <v>2.164352855784437</v>
      </c>
      <c r="F347" s="96" t="s">
        <v>2065</v>
      </c>
      <c r="G347" s="96" t="b">
        <v>0</v>
      </c>
      <c r="H347" s="96" t="b">
        <v>0</v>
      </c>
      <c r="I347" s="96" t="b">
        <v>0</v>
      </c>
      <c r="J347" s="96" t="b">
        <v>0</v>
      </c>
      <c r="K347" s="96" t="b">
        <v>0</v>
      </c>
      <c r="L347" s="96" t="b">
        <v>0</v>
      </c>
    </row>
    <row r="348" spans="1:12" ht="15">
      <c r="A348" s="97" t="s">
        <v>2268</v>
      </c>
      <c r="B348" s="96" t="s">
        <v>2269</v>
      </c>
      <c r="C348" s="96">
        <v>2</v>
      </c>
      <c r="D348" s="118">
        <v>0.007235937708629126</v>
      </c>
      <c r="E348" s="118">
        <v>2.164352855784437</v>
      </c>
      <c r="F348" s="96" t="s">
        <v>2065</v>
      </c>
      <c r="G348" s="96" t="b">
        <v>0</v>
      </c>
      <c r="H348" s="96" t="b">
        <v>0</v>
      </c>
      <c r="I348" s="96" t="b">
        <v>0</v>
      </c>
      <c r="J348" s="96" t="b">
        <v>0</v>
      </c>
      <c r="K348" s="96" t="b">
        <v>0</v>
      </c>
      <c r="L348" s="96" t="b">
        <v>0</v>
      </c>
    </row>
    <row r="349" spans="1:12" ht="15">
      <c r="A349" s="97" t="s">
        <v>2269</v>
      </c>
      <c r="B349" s="96" t="s">
        <v>2270</v>
      </c>
      <c r="C349" s="96">
        <v>2</v>
      </c>
      <c r="D349" s="118">
        <v>0.007235937708629126</v>
      </c>
      <c r="E349" s="118">
        <v>2.164352855784437</v>
      </c>
      <c r="F349" s="96" t="s">
        <v>2065</v>
      </c>
      <c r="G349" s="96" t="b">
        <v>0</v>
      </c>
      <c r="H349" s="96" t="b">
        <v>0</v>
      </c>
      <c r="I349" s="96" t="b">
        <v>0</v>
      </c>
      <c r="J349" s="96" t="b">
        <v>0</v>
      </c>
      <c r="K349" s="96" t="b">
        <v>0</v>
      </c>
      <c r="L349" s="96" t="b">
        <v>0</v>
      </c>
    </row>
    <row r="350" spans="1:12" ht="15">
      <c r="A350" s="97" t="s">
        <v>2270</v>
      </c>
      <c r="B350" s="96" t="s">
        <v>2271</v>
      </c>
      <c r="C350" s="96">
        <v>2</v>
      </c>
      <c r="D350" s="118">
        <v>0.007235937708629126</v>
      </c>
      <c r="E350" s="118">
        <v>2.164352855784437</v>
      </c>
      <c r="F350" s="96" t="s">
        <v>2065</v>
      </c>
      <c r="G350" s="96" t="b">
        <v>0</v>
      </c>
      <c r="H350" s="96" t="b">
        <v>0</v>
      </c>
      <c r="I350" s="96" t="b">
        <v>0</v>
      </c>
      <c r="J350" s="96" t="b">
        <v>0</v>
      </c>
      <c r="K350" s="96" t="b">
        <v>0</v>
      </c>
      <c r="L350" s="96" t="b">
        <v>0</v>
      </c>
    </row>
    <row r="351" spans="1:12" ht="15">
      <c r="A351" s="97" t="s">
        <v>2271</v>
      </c>
      <c r="B351" s="96" t="s">
        <v>2272</v>
      </c>
      <c r="C351" s="96">
        <v>2</v>
      </c>
      <c r="D351" s="118">
        <v>0.007235937708629126</v>
      </c>
      <c r="E351" s="118">
        <v>2.164352855784437</v>
      </c>
      <c r="F351" s="96" t="s">
        <v>2065</v>
      </c>
      <c r="G351" s="96" t="b">
        <v>0</v>
      </c>
      <c r="H351" s="96" t="b">
        <v>0</v>
      </c>
      <c r="I351" s="96" t="b">
        <v>0</v>
      </c>
      <c r="J351" s="96" t="b">
        <v>0</v>
      </c>
      <c r="K351" s="96" t="b">
        <v>0</v>
      </c>
      <c r="L351" s="96" t="b">
        <v>0</v>
      </c>
    </row>
    <row r="352" spans="1:12" ht="15">
      <c r="A352" s="97" t="s">
        <v>2272</v>
      </c>
      <c r="B352" s="96" t="s">
        <v>2209</v>
      </c>
      <c r="C352" s="96">
        <v>2</v>
      </c>
      <c r="D352" s="118">
        <v>0.007235937708629126</v>
      </c>
      <c r="E352" s="118">
        <v>2.164352855784437</v>
      </c>
      <c r="F352" s="96" t="s">
        <v>2065</v>
      </c>
      <c r="G352" s="96" t="b">
        <v>0</v>
      </c>
      <c r="H352" s="96" t="b">
        <v>0</v>
      </c>
      <c r="I352" s="96" t="b">
        <v>0</v>
      </c>
      <c r="J352" s="96" t="b">
        <v>0</v>
      </c>
      <c r="K352" s="96" t="b">
        <v>0</v>
      </c>
      <c r="L352" s="96" t="b">
        <v>0</v>
      </c>
    </row>
    <row r="353" spans="1:12" ht="15">
      <c r="A353" s="97" t="s">
        <v>2209</v>
      </c>
      <c r="B353" s="96" t="s">
        <v>2210</v>
      </c>
      <c r="C353" s="96">
        <v>2</v>
      </c>
      <c r="D353" s="118">
        <v>0.007235937708629126</v>
      </c>
      <c r="E353" s="118">
        <v>2.164352855784437</v>
      </c>
      <c r="F353" s="96" t="s">
        <v>2065</v>
      </c>
      <c r="G353" s="96" t="b">
        <v>0</v>
      </c>
      <c r="H353" s="96" t="b">
        <v>0</v>
      </c>
      <c r="I353" s="96" t="b">
        <v>0</v>
      </c>
      <c r="J353" s="96" t="b">
        <v>0</v>
      </c>
      <c r="K353" s="96" t="b">
        <v>0</v>
      </c>
      <c r="L353" s="96" t="b">
        <v>0</v>
      </c>
    </row>
    <row r="354" spans="1:12" ht="15">
      <c r="A354" s="97" t="s">
        <v>2210</v>
      </c>
      <c r="B354" s="96" t="s">
        <v>2273</v>
      </c>
      <c r="C354" s="96">
        <v>2</v>
      </c>
      <c r="D354" s="118">
        <v>0.007235937708629126</v>
      </c>
      <c r="E354" s="118">
        <v>2.164352855784437</v>
      </c>
      <c r="F354" s="96" t="s">
        <v>2065</v>
      </c>
      <c r="G354" s="96" t="b">
        <v>0</v>
      </c>
      <c r="H354" s="96" t="b">
        <v>0</v>
      </c>
      <c r="I354" s="96" t="b">
        <v>0</v>
      </c>
      <c r="J354" s="96" t="b">
        <v>0</v>
      </c>
      <c r="K354" s="96" t="b">
        <v>0</v>
      </c>
      <c r="L354" s="96" t="b">
        <v>0</v>
      </c>
    </row>
    <row r="355" spans="1:12" ht="15">
      <c r="A355" s="97" t="s">
        <v>2273</v>
      </c>
      <c r="B355" s="96" t="s">
        <v>2274</v>
      </c>
      <c r="C355" s="96">
        <v>2</v>
      </c>
      <c r="D355" s="118">
        <v>0.007235937708629126</v>
      </c>
      <c r="E355" s="118">
        <v>2.164352855784437</v>
      </c>
      <c r="F355" s="96" t="s">
        <v>2065</v>
      </c>
      <c r="G355" s="96" t="b">
        <v>0</v>
      </c>
      <c r="H355" s="96" t="b">
        <v>0</v>
      </c>
      <c r="I355" s="96" t="b">
        <v>0</v>
      </c>
      <c r="J355" s="96" t="b">
        <v>0</v>
      </c>
      <c r="K355" s="96" t="b">
        <v>0</v>
      </c>
      <c r="L355" s="96" t="b">
        <v>0</v>
      </c>
    </row>
    <row r="356" spans="1:12" ht="15">
      <c r="A356" s="97" t="s">
        <v>2274</v>
      </c>
      <c r="B356" s="96" t="s">
        <v>2106</v>
      </c>
      <c r="C356" s="96">
        <v>2</v>
      </c>
      <c r="D356" s="118">
        <v>0.007235937708629126</v>
      </c>
      <c r="E356" s="118">
        <v>1.5622928644564746</v>
      </c>
      <c r="F356" s="96" t="s">
        <v>2065</v>
      </c>
      <c r="G356" s="96" t="b">
        <v>0</v>
      </c>
      <c r="H356" s="96" t="b">
        <v>0</v>
      </c>
      <c r="I356" s="96" t="b">
        <v>0</v>
      </c>
      <c r="J356" s="96" t="b">
        <v>0</v>
      </c>
      <c r="K356" s="96" t="b">
        <v>0</v>
      </c>
      <c r="L356" s="96" t="b">
        <v>0</v>
      </c>
    </row>
    <row r="357" spans="1:12" ht="15">
      <c r="A357" s="97" t="s">
        <v>2107</v>
      </c>
      <c r="B357" s="96" t="s">
        <v>2150</v>
      </c>
      <c r="C357" s="96">
        <v>2</v>
      </c>
      <c r="D357" s="118">
        <v>0.007235937708629126</v>
      </c>
      <c r="E357" s="118">
        <v>1.2349339300701443</v>
      </c>
      <c r="F357" s="96" t="s">
        <v>2065</v>
      </c>
      <c r="G357" s="96" t="b">
        <v>0</v>
      </c>
      <c r="H357" s="96" t="b">
        <v>0</v>
      </c>
      <c r="I357" s="96" t="b">
        <v>0</v>
      </c>
      <c r="J357" s="96" t="b">
        <v>0</v>
      </c>
      <c r="K357" s="96" t="b">
        <v>0</v>
      </c>
      <c r="L357" s="96" t="b">
        <v>0</v>
      </c>
    </row>
    <row r="358" spans="1:12" ht="15">
      <c r="A358" s="97" t="s">
        <v>2150</v>
      </c>
      <c r="B358" s="96" t="s">
        <v>2151</v>
      </c>
      <c r="C358" s="96">
        <v>2</v>
      </c>
      <c r="D358" s="118">
        <v>0.007235937708629126</v>
      </c>
      <c r="E358" s="118">
        <v>2.164352855784437</v>
      </c>
      <c r="F358" s="96" t="s">
        <v>2065</v>
      </c>
      <c r="G358" s="96" t="b">
        <v>0</v>
      </c>
      <c r="H358" s="96" t="b">
        <v>0</v>
      </c>
      <c r="I358" s="96" t="b">
        <v>0</v>
      </c>
      <c r="J358" s="96" t="b">
        <v>0</v>
      </c>
      <c r="K358" s="96" t="b">
        <v>0</v>
      </c>
      <c r="L358" s="96" t="b">
        <v>0</v>
      </c>
    </row>
    <row r="359" spans="1:12" ht="15">
      <c r="A359" s="97" t="s">
        <v>2151</v>
      </c>
      <c r="B359" s="96" t="s">
        <v>2152</v>
      </c>
      <c r="C359" s="96">
        <v>2</v>
      </c>
      <c r="D359" s="118">
        <v>0.007235937708629126</v>
      </c>
      <c r="E359" s="118">
        <v>2.164352855784437</v>
      </c>
      <c r="F359" s="96" t="s">
        <v>2065</v>
      </c>
      <c r="G359" s="96" t="b">
        <v>0</v>
      </c>
      <c r="H359" s="96" t="b">
        <v>0</v>
      </c>
      <c r="I359" s="96" t="b">
        <v>0</v>
      </c>
      <c r="J359" s="96" t="b">
        <v>0</v>
      </c>
      <c r="K359" s="96" t="b">
        <v>0</v>
      </c>
      <c r="L359" s="96" t="b">
        <v>0</v>
      </c>
    </row>
    <row r="360" spans="1:12" ht="15">
      <c r="A360" s="97" t="s">
        <v>2152</v>
      </c>
      <c r="B360" s="96" t="s">
        <v>2149</v>
      </c>
      <c r="C360" s="96">
        <v>2</v>
      </c>
      <c r="D360" s="118">
        <v>0.007235937708629126</v>
      </c>
      <c r="E360" s="118">
        <v>2.164352855784437</v>
      </c>
      <c r="F360" s="96" t="s">
        <v>2065</v>
      </c>
      <c r="G360" s="96" t="b">
        <v>0</v>
      </c>
      <c r="H360" s="96" t="b">
        <v>0</v>
      </c>
      <c r="I360" s="96" t="b">
        <v>0</v>
      </c>
      <c r="J360" s="96" t="b">
        <v>0</v>
      </c>
      <c r="K360" s="96" t="b">
        <v>0</v>
      </c>
      <c r="L360" s="96" t="b">
        <v>0</v>
      </c>
    </row>
    <row r="361" spans="1:12" ht="15">
      <c r="A361" s="97" t="s">
        <v>2149</v>
      </c>
      <c r="B361" s="96" t="s">
        <v>2153</v>
      </c>
      <c r="C361" s="96">
        <v>2</v>
      </c>
      <c r="D361" s="118">
        <v>0.007235937708629126</v>
      </c>
      <c r="E361" s="118">
        <v>2.164352855784437</v>
      </c>
      <c r="F361" s="96" t="s">
        <v>2065</v>
      </c>
      <c r="G361" s="96" t="b">
        <v>0</v>
      </c>
      <c r="H361" s="96" t="b">
        <v>0</v>
      </c>
      <c r="I361" s="96" t="b">
        <v>0</v>
      </c>
      <c r="J361" s="96" t="b">
        <v>0</v>
      </c>
      <c r="K361" s="96" t="b">
        <v>0</v>
      </c>
      <c r="L361" s="96" t="b">
        <v>0</v>
      </c>
    </row>
    <row r="362" spans="1:12" ht="15">
      <c r="A362" s="97" t="s">
        <v>2153</v>
      </c>
      <c r="B362" s="96" t="s">
        <v>2148</v>
      </c>
      <c r="C362" s="96">
        <v>2</v>
      </c>
      <c r="D362" s="118">
        <v>0.007235937708629126</v>
      </c>
      <c r="E362" s="118">
        <v>1.9882615967287558</v>
      </c>
      <c r="F362" s="96" t="s">
        <v>2065</v>
      </c>
      <c r="G362" s="96" t="b">
        <v>0</v>
      </c>
      <c r="H362" s="96" t="b">
        <v>0</v>
      </c>
      <c r="I362" s="96" t="b">
        <v>0</v>
      </c>
      <c r="J362" s="96" t="b">
        <v>0</v>
      </c>
      <c r="K362" s="96" t="b">
        <v>0</v>
      </c>
      <c r="L362" s="96" t="b">
        <v>0</v>
      </c>
    </row>
    <row r="363" spans="1:12" ht="15">
      <c r="A363" s="97" t="s">
        <v>2148</v>
      </c>
      <c r="B363" s="96" t="s">
        <v>2154</v>
      </c>
      <c r="C363" s="96">
        <v>2</v>
      </c>
      <c r="D363" s="118">
        <v>0.007235937708629126</v>
      </c>
      <c r="E363" s="118">
        <v>1.9882615967287558</v>
      </c>
      <c r="F363" s="96" t="s">
        <v>2065</v>
      </c>
      <c r="G363" s="96" t="b">
        <v>0</v>
      </c>
      <c r="H363" s="96" t="b">
        <v>0</v>
      </c>
      <c r="I363" s="96" t="b">
        <v>0</v>
      </c>
      <c r="J363" s="96" t="b">
        <v>0</v>
      </c>
      <c r="K363" s="96" t="b">
        <v>0</v>
      </c>
      <c r="L363" s="96" t="b">
        <v>0</v>
      </c>
    </row>
    <row r="364" spans="1:12" ht="15">
      <c r="A364" s="97" t="s">
        <v>2154</v>
      </c>
      <c r="B364" s="96" t="s">
        <v>2155</v>
      </c>
      <c r="C364" s="96">
        <v>2</v>
      </c>
      <c r="D364" s="118">
        <v>0.007235937708629126</v>
      </c>
      <c r="E364" s="118">
        <v>2.164352855784437</v>
      </c>
      <c r="F364" s="96" t="s">
        <v>2065</v>
      </c>
      <c r="G364" s="96" t="b">
        <v>0</v>
      </c>
      <c r="H364" s="96" t="b">
        <v>0</v>
      </c>
      <c r="I364" s="96" t="b">
        <v>0</v>
      </c>
      <c r="J364" s="96" t="b">
        <v>0</v>
      </c>
      <c r="K364" s="96" t="b">
        <v>0</v>
      </c>
      <c r="L364" s="96" t="b">
        <v>0</v>
      </c>
    </row>
    <row r="365" spans="1:12" ht="15">
      <c r="A365" s="97" t="s">
        <v>346</v>
      </c>
      <c r="B365" s="96" t="s">
        <v>416</v>
      </c>
      <c r="C365" s="96">
        <v>2</v>
      </c>
      <c r="D365" s="118">
        <v>0.007235937708629126</v>
      </c>
      <c r="E365" s="118">
        <v>1.0762167670838858</v>
      </c>
      <c r="F365" s="96" t="s">
        <v>2065</v>
      </c>
      <c r="G365" s="96" t="b">
        <v>0</v>
      </c>
      <c r="H365" s="96" t="b">
        <v>0</v>
      </c>
      <c r="I365" s="96" t="b">
        <v>0</v>
      </c>
      <c r="J365" s="96" t="b">
        <v>0</v>
      </c>
      <c r="K365" s="96" t="b">
        <v>0</v>
      </c>
      <c r="L365" s="96" t="b">
        <v>0</v>
      </c>
    </row>
    <row r="366" spans="1:12" ht="15">
      <c r="A366" s="97" t="s">
        <v>2108</v>
      </c>
      <c r="B366" s="96" t="s">
        <v>2159</v>
      </c>
      <c r="C366" s="96">
        <v>11</v>
      </c>
      <c r="D366" s="118">
        <v>0.008557043505076556</v>
      </c>
      <c r="E366" s="118">
        <v>1.4522976709946303</v>
      </c>
      <c r="F366" s="96" t="s">
        <v>2066</v>
      </c>
      <c r="G366" s="96" t="b">
        <v>0</v>
      </c>
      <c r="H366" s="96" t="b">
        <v>0</v>
      </c>
      <c r="I366" s="96" t="b">
        <v>0</v>
      </c>
      <c r="J366" s="96" t="b">
        <v>0</v>
      </c>
      <c r="K366" s="96" t="b">
        <v>0</v>
      </c>
      <c r="L366" s="96" t="b">
        <v>0</v>
      </c>
    </row>
    <row r="367" spans="1:12" ht="15">
      <c r="A367" s="97" t="s">
        <v>2159</v>
      </c>
      <c r="B367" s="96" t="s">
        <v>2160</v>
      </c>
      <c r="C367" s="96">
        <v>11</v>
      </c>
      <c r="D367" s="118">
        <v>0.008557043505076556</v>
      </c>
      <c r="E367" s="118">
        <v>1.49008623188403</v>
      </c>
      <c r="F367" s="96" t="s">
        <v>2066</v>
      </c>
      <c r="G367" s="96" t="b">
        <v>0</v>
      </c>
      <c r="H367" s="96" t="b">
        <v>0</v>
      </c>
      <c r="I367" s="96" t="b">
        <v>0</v>
      </c>
      <c r="J367" s="96" t="b">
        <v>0</v>
      </c>
      <c r="K367" s="96" t="b">
        <v>0</v>
      </c>
      <c r="L367" s="96" t="b">
        <v>0</v>
      </c>
    </row>
    <row r="368" spans="1:12" ht="15">
      <c r="A368" s="97" t="s">
        <v>2160</v>
      </c>
      <c r="B368" s="96" t="s">
        <v>2109</v>
      </c>
      <c r="C368" s="96">
        <v>11</v>
      </c>
      <c r="D368" s="118">
        <v>0.008557043505076556</v>
      </c>
      <c r="E368" s="118">
        <v>1.3853508813640172</v>
      </c>
      <c r="F368" s="96" t="s">
        <v>2066</v>
      </c>
      <c r="G368" s="96" t="b">
        <v>0</v>
      </c>
      <c r="H368" s="96" t="b">
        <v>0</v>
      </c>
      <c r="I368" s="96" t="b">
        <v>0</v>
      </c>
      <c r="J368" s="96" t="b">
        <v>0</v>
      </c>
      <c r="K368" s="96" t="b">
        <v>0</v>
      </c>
      <c r="L368" s="96" t="b">
        <v>0</v>
      </c>
    </row>
    <row r="369" spans="1:12" ht="15">
      <c r="A369" s="97" t="s">
        <v>2109</v>
      </c>
      <c r="B369" s="96" t="s">
        <v>2161</v>
      </c>
      <c r="C369" s="96">
        <v>11</v>
      </c>
      <c r="D369" s="118">
        <v>0.008557043505076556</v>
      </c>
      <c r="E369" s="118">
        <v>1.3853508813640172</v>
      </c>
      <c r="F369" s="96" t="s">
        <v>2066</v>
      </c>
      <c r="G369" s="96" t="b">
        <v>0</v>
      </c>
      <c r="H369" s="96" t="b">
        <v>0</v>
      </c>
      <c r="I369" s="96" t="b">
        <v>0</v>
      </c>
      <c r="J369" s="96" t="b">
        <v>0</v>
      </c>
      <c r="K369" s="96" t="b">
        <v>0</v>
      </c>
      <c r="L369" s="96" t="b">
        <v>0</v>
      </c>
    </row>
    <row r="370" spans="1:12" ht="15">
      <c r="A370" s="97" t="s">
        <v>2161</v>
      </c>
      <c r="B370" s="96" t="s">
        <v>2158</v>
      </c>
      <c r="C370" s="96">
        <v>11</v>
      </c>
      <c r="D370" s="118">
        <v>0.008557043505076556</v>
      </c>
      <c r="E370" s="118">
        <v>1.49008623188403</v>
      </c>
      <c r="F370" s="96" t="s">
        <v>2066</v>
      </c>
      <c r="G370" s="96" t="b">
        <v>0</v>
      </c>
      <c r="H370" s="96" t="b">
        <v>0</v>
      </c>
      <c r="I370" s="96" t="b">
        <v>0</v>
      </c>
      <c r="J370" s="96" t="b">
        <v>0</v>
      </c>
      <c r="K370" s="96" t="b">
        <v>0</v>
      </c>
      <c r="L370" s="96" t="b">
        <v>0</v>
      </c>
    </row>
    <row r="371" spans="1:12" ht="15">
      <c r="A371" s="97" t="s">
        <v>2158</v>
      </c>
      <c r="B371" s="96" t="s">
        <v>2162</v>
      </c>
      <c r="C371" s="96">
        <v>11</v>
      </c>
      <c r="D371" s="118">
        <v>0.008557043505076556</v>
      </c>
      <c r="E371" s="118">
        <v>1.49008623188403</v>
      </c>
      <c r="F371" s="96" t="s">
        <v>2066</v>
      </c>
      <c r="G371" s="96" t="b">
        <v>0</v>
      </c>
      <c r="H371" s="96" t="b">
        <v>0</v>
      </c>
      <c r="I371" s="96" t="b">
        <v>0</v>
      </c>
      <c r="J371" s="96" t="b">
        <v>0</v>
      </c>
      <c r="K371" s="96" t="b">
        <v>0</v>
      </c>
      <c r="L371" s="96" t="b">
        <v>0</v>
      </c>
    </row>
    <row r="372" spans="1:12" ht="15">
      <c r="A372" s="97" t="s">
        <v>2162</v>
      </c>
      <c r="B372" s="96" t="s">
        <v>2163</v>
      </c>
      <c r="C372" s="96">
        <v>11</v>
      </c>
      <c r="D372" s="118">
        <v>0.008557043505076556</v>
      </c>
      <c r="E372" s="118">
        <v>1.49008623188403</v>
      </c>
      <c r="F372" s="96" t="s">
        <v>2066</v>
      </c>
      <c r="G372" s="96" t="b">
        <v>0</v>
      </c>
      <c r="H372" s="96" t="b">
        <v>0</v>
      </c>
      <c r="I372" s="96" t="b">
        <v>0</v>
      </c>
      <c r="J372" s="96" t="b">
        <v>0</v>
      </c>
      <c r="K372" s="96" t="b">
        <v>0</v>
      </c>
      <c r="L372" s="96" t="b">
        <v>0</v>
      </c>
    </row>
    <row r="373" spans="1:12" ht="15">
      <c r="A373" s="97" t="s">
        <v>2163</v>
      </c>
      <c r="B373" s="96" t="s">
        <v>2164</v>
      </c>
      <c r="C373" s="96">
        <v>11</v>
      </c>
      <c r="D373" s="118">
        <v>0.008557043505076556</v>
      </c>
      <c r="E373" s="118">
        <v>1.49008623188403</v>
      </c>
      <c r="F373" s="96" t="s">
        <v>2066</v>
      </c>
      <c r="G373" s="96" t="b">
        <v>0</v>
      </c>
      <c r="H373" s="96" t="b">
        <v>0</v>
      </c>
      <c r="I373" s="96" t="b">
        <v>0</v>
      </c>
      <c r="J373" s="96" t="b">
        <v>0</v>
      </c>
      <c r="K373" s="96" t="b">
        <v>0</v>
      </c>
      <c r="L373" s="96" t="b">
        <v>0</v>
      </c>
    </row>
    <row r="374" spans="1:12" ht="15">
      <c r="A374" s="97" t="s">
        <v>2164</v>
      </c>
      <c r="B374" s="96" t="s">
        <v>2106</v>
      </c>
      <c r="C374" s="96">
        <v>11</v>
      </c>
      <c r="D374" s="118">
        <v>0.008557043505076556</v>
      </c>
      <c r="E374" s="118">
        <v>1.4175355647354184</v>
      </c>
      <c r="F374" s="96" t="s">
        <v>2066</v>
      </c>
      <c r="G374" s="96" t="b">
        <v>0</v>
      </c>
      <c r="H374" s="96" t="b">
        <v>0</v>
      </c>
      <c r="I374" s="96" t="b">
        <v>0</v>
      </c>
      <c r="J374" s="96" t="b">
        <v>0</v>
      </c>
      <c r="K374" s="96" t="b">
        <v>0</v>
      </c>
      <c r="L374" s="96" t="b">
        <v>0</v>
      </c>
    </row>
    <row r="375" spans="1:12" ht="15">
      <c r="A375" s="97" t="s">
        <v>2106</v>
      </c>
      <c r="B375" s="96" t="s">
        <v>2165</v>
      </c>
      <c r="C375" s="96">
        <v>11</v>
      </c>
      <c r="D375" s="118">
        <v>0.008557043505076556</v>
      </c>
      <c r="E375" s="118">
        <v>1.2527253160894263</v>
      </c>
      <c r="F375" s="96" t="s">
        <v>2066</v>
      </c>
      <c r="G375" s="96" t="b">
        <v>0</v>
      </c>
      <c r="H375" s="96" t="b">
        <v>0</v>
      </c>
      <c r="I375" s="96" t="b">
        <v>0</v>
      </c>
      <c r="J375" s="96" t="b">
        <v>0</v>
      </c>
      <c r="K375" s="96" t="b">
        <v>0</v>
      </c>
      <c r="L375" s="96" t="b">
        <v>0</v>
      </c>
    </row>
    <row r="376" spans="1:12" ht="15">
      <c r="A376" s="97" t="s">
        <v>2165</v>
      </c>
      <c r="B376" s="96" t="s">
        <v>2166</v>
      </c>
      <c r="C376" s="96">
        <v>11</v>
      </c>
      <c r="D376" s="118">
        <v>0.008557043505076556</v>
      </c>
      <c r="E376" s="118">
        <v>1.49008623188403</v>
      </c>
      <c r="F376" s="96" t="s">
        <v>2066</v>
      </c>
      <c r="G376" s="96" t="b">
        <v>0</v>
      </c>
      <c r="H376" s="96" t="b">
        <v>0</v>
      </c>
      <c r="I376" s="96" t="b">
        <v>0</v>
      </c>
      <c r="J376" s="96" t="b">
        <v>0</v>
      </c>
      <c r="K376" s="96" t="b">
        <v>0</v>
      </c>
      <c r="L376" s="96" t="b">
        <v>0</v>
      </c>
    </row>
    <row r="377" spans="1:12" ht="15">
      <c r="A377" s="97" t="s">
        <v>2166</v>
      </c>
      <c r="B377" s="96" t="s">
        <v>2167</v>
      </c>
      <c r="C377" s="96">
        <v>11</v>
      </c>
      <c r="D377" s="118">
        <v>0.008557043505076556</v>
      </c>
      <c r="E377" s="118">
        <v>1.49008623188403</v>
      </c>
      <c r="F377" s="96" t="s">
        <v>2066</v>
      </c>
      <c r="G377" s="96" t="b">
        <v>0</v>
      </c>
      <c r="H377" s="96" t="b">
        <v>0</v>
      </c>
      <c r="I377" s="96" t="b">
        <v>0</v>
      </c>
      <c r="J377" s="96" t="b">
        <v>0</v>
      </c>
      <c r="K377" s="96" t="b">
        <v>0</v>
      </c>
      <c r="L377" s="96" t="b">
        <v>0</v>
      </c>
    </row>
    <row r="378" spans="1:12" ht="15">
      <c r="A378" s="97" t="s">
        <v>2167</v>
      </c>
      <c r="B378" s="96" t="s">
        <v>2168</v>
      </c>
      <c r="C378" s="96">
        <v>11</v>
      </c>
      <c r="D378" s="118">
        <v>0.008557043505076556</v>
      </c>
      <c r="E378" s="118">
        <v>1.49008623188403</v>
      </c>
      <c r="F378" s="96" t="s">
        <v>2066</v>
      </c>
      <c r="G378" s="96" t="b">
        <v>0</v>
      </c>
      <c r="H378" s="96" t="b">
        <v>0</v>
      </c>
      <c r="I378" s="96" t="b">
        <v>0</v>
      </c>
      <c r="J378" s="96" t="b">
        <v>0</v>
      </c>
      <c r="K378" s="96" t="b">
        <v>0</v>
      </c>
      <c r="L378" s="96" t="b">
        <v>0</v>
      </c>
    </row>
    <row r="379" spans="1:12" ht="15">
      <c r="A379" s="97" t="s">
        <v>2168</v>
      </c>
      <c r="B379" s="96" t="s">
        <v>2169</v>
      </c>
      <c r="C379" s="96">
        <v>11</v>
      </c>
      <c r="D379" s="118">
        <v>0.008557043505076556</v>
      </c>
      <c r="E379" s="118">
        <v>1.49008623188403</v>
      </c>
      <c r="F379" s="96" t="s">
        <v>2066</v>
      </c>
      <c r="G379" s="96" t="b">
        <v>0</v>
      </c>
      <c r="H379" s="96" t="b">
        <v>0</v>
      </c>
      <c r="I379" s="96" t="b">
        <v>0</v>
      </c>
      <c r="J379" s="96" t="b">
        <v>0</v>
      </c>
      <c r="K379" s="96" t="b">
        <v>0</v>
      </c>
      <c r="L379" s="96" t="b">
        <v>0</v>
      </c>
    </row>
    <row r="380" spans="1:12" ht="15">
      <c r="A380" s="97" t="s">
        <v>2169</v>
      </c>
      <c r="B380" s="96" t="s">
        <v>2170</v>
      </c>
      <c r="C380" s="96">
        <v>11</v>
      </c>
      <c r="D380" s="118">
        <v>0.008557043505076556</v>
      </c>
      <c r="E380" s="118">
        <v>1.49008623188403</v>
      </c>
      <c r="F380" s="96" t="s">
        <v>2066</v>
      </c>
      <c r="G380" s="96" t="b">
        <v>0</v>
      </c>
      <c r="H380" s="96" t="b">
        <v>0</v>
      </c>
      <c r="I380" s="96" t="b">
        <v>0</v>
      </c>
      <c r="J380" s="96" t="b">
        <v>0</v>
      </c>
      <c r="K380" s="96" t="b">
        <v>0</v>
      </c>
      <c r="L380" s="96" t="b">
        <v>0</v>
      </c>
    </row>
    <row r="381" spans="1:12" ht="15">
      <c r="A381" s="97" t="s">
        <v>2170</v>
      </c>
      <c r="B381" s="96" t="s">
        <v>2171</v>
      </c>
      <c r="C381" s="96">
        <v>11</v>
      </c>
      <c r="D381" s="118">
        <v>0.008557043505076556</v>
      </c>
      <c r="E381" s="118">
        <v>1.49008623188403</v>
      </c>
      <c r="F381" s="96" t="s">
        <v>2066</v>
      </c>
      <c r="G381" s="96" t="b">
        <v>0</v>
      </c>
      <c r="H381" s="96" t="b">
        <v>0</v>
      </c>
      <c r="I381" s="96" t="b">
        <v>0</v>
      </c>
      <c r="J381" s="96" t="b">
        <v>0</v>
      </c>
      <c r="K381" s="96" t="b">
        <v>0</v>
      </c>
      <c r="L381" s="96" t="b">
        <v>0</v>
      </c>
    </row>
    <row r="382" spans="1:12" ht="15">
      <c r="A382" s="97" t="s">
        <v>2171</v>
      </c>
      <c r="B382" s="96" t="s">
        <v>2172</v>
      </c>
      <c r="C382" s="96">
        <v>11</v>
      </c>
      <c r="D382" s="118">
        <v>0.008557043505076556</v>
      </c>
      <c r="E382" s="118">
        <v>1.49008623188403</v>
      </c>
      <c r="F382" s="96" t="s">
        <v>2066</v>
      </c>
      <c r="G382" s="96" t="b">
        <v>0</v>
      </c>
      <c r="H382" s="96" t="b">
        <v>0</v>
      </c>
      <c r="I382" s="96" t="b">
        <v>0</v>
      </c>
      <c r="J382" s="96" t="b">
        <v>0</v>
      </c>
      <c r="K382" s="96" t="b">
        <v>0</v>
      </c>
      <c r="L382" s="96" t="b">
        <v>0</v>
      </c>
    </row>
    <row r="383" spans="1:12" ht="15">
      <c r="A383" s="97" t="s">
        <v>2172</v>
      </c>
      <c r="B383" s="96" t="s">
        <v>2173</v>
      </c>
      <c r="C383" s="96">
        <v>11</v>
      </c>
      <c r="D383" s="118">
        <v>0.008557043505076556</v>
      </c>
      <c r="E383" s="118">
        <v>1.49008623188403</v>
      </c>
      <c r="F383" s="96" t="s">
        <v>2066</v>
      </c>
      <c r="G383" s="96" t="b">
        <v>0</v>
      </c>
      <c r="H383" s="96" t="b">
        <v>0</v>
      </c>
      <c r="I383" s="96" t="b">
        <v>0</v>
      </c>
      <c r="J383" s="96" t="b">
        <v>0</v>
      </c>
      <c r="K383" s="96" t="b">
        <v>0</v>
      </c>
      <c r="L383" s="96" t="b">
        <v>0</v>
      </c>
    </row>
    <row r="384" spans="1:12" ht="15">
      <c r="A384" s="97" t="s">
        <v>2173</v>
      </c>
      <c r="B384" s="96" t="s">
        <v>2156</v>
      </c>
      <c r="C384" s="96">
        <v>11</v>
      </c>
      <c r="D384" s="118">
        <v>0.008557043505076556</v>
      </c>
      <c r="E384" s="118">
        <v>1.49008623188403</v>
      </c>
      <c r="F384" s="96" t="s">
        <v>2066</v>
      </c>
      <c r="G384" s="96" t="b">
        <v>0</v>
      </c>
      <c r="H384" s="96" t="b">
        <v>0</v>
      </c>
      <c r="I384" s="96" t="b">
        <v>0</v>
      </c>
      <c r="J384" s="96" t="b">
        <v>0</v>
      </c>
      <c r="K384" s="96" t="b">
        <v>0</v>
      </c>
      <c r="L384" s="96" t="b">
        <v>0</v>
      </c>
    </row>
    <row r="385" spans="1:12" ht="15">
      <c r="A385" s="97" t="s">
        <v>2156</v>
      </c>
      <c r="B385" s="96" t="s">
        <v>2174</v>
      </c>
      <c r="C385" s="96">
        <v>11</v>
      </c>
      <c r="D385" s="118">
        <v>0.008557043505076556</v>
      </c>
      <c r="E385" s="118">
        <v>1.49008623188403</v>
      </c>
      <c r="F385" s="96" t="s">
        <v>2066</v>
      </c>
      <c r="G385" s="96" t="b">
        <v>0</v>
      </c>
      <c r="H385" s="96" t="b">
        <v>0</v>
      </c>
      <c r="I385" s="96" t="b">
        <v>0</v>
      </c>
      <c r="J385" s="96" t="b">
        <v>0</v>
      </c>
      <c r="K385" s="96" t="b">
        <v>0</v>
      </c>
      <c r="L385" s="96" t="b">
        <v>0</v>
      </c>
    </row>
    <row r="386" spans="1:12" ht="15">
      <c r="A386" s="97" t="s">
        <v>2106</v>
      </c>
      <c r="B386" s="96" t="s">
        <v>2107</v>
      </c>
      <c r="C386" s="96">
        <v>8</v>
      </c>
      <c r="D386" s="118">
        <v>0.009288184105085334</v>
      </c>
      <c r="E386" s="118">
        <v>1.252725316089426</v>
      </c>
      <c r="F386" s="96" t="s">
        <v>2066</v>
      </c>
      <c r="G386" s="96" t="b">
        <v>0</v>
      </c>
      <c r="H386" s="96" t="b">
        <v>0</v>
      </c>
      <c r="I386" s="96" t="b">
        <v>0</v>
      </c>
      <c r="J386" s="96" t="b">
        <v>0</v>
      </c>
      <c r="K386" s="96" t="b">
        <v>0</v>
      </c>
      <c r="L386" s="96" t="b">
        <v>0</v>
      </c>
    </row>
    <row r="387" spans="1:12" ht="15">
      <c r="A387" s="97" t="s">
        <v>2107</v>
      </c>
      <c r="B387" s="96" t="s">
        <v>2109</v>
      </c>
      <c r="C387" s="96">
        <v>3</v>
      </c>
      <c r="D387" s="118">
        <v>0.007022975401780528</v>
      </c>
      <c r="E387" s="118">
        <v>0.959382149091736</v>
      </c>
      <c r="F387" s="96" t="s">
        <v>2066</v>
      </c>
      <c r="G387" s="96" t="b">
        <v>0</v>
      </c>
      <c r="H387" s="96" t="b">
        <v>0</v>
      </c>
      <c r="I387" s="96" t="b">
        <v>0</v>
      </c>
      <c r="J387" s="96" t="b">
        <v>0</v>
      </c>
      <c r="K387" s="96" t="b">
        <v>0</v>
      </c>
      <c r="L387" s="96" t="b">
        <v>0</v>
      </c>
    </row>
    <row r="388" spans="1:12" ht="15">
      <c r="A388" s="97" t="s">
        <v>2109</v>
      </c>
      <c r="B388" s="96" t="s">
        <v>2110</v>
      </c>
      <c r="C388" s="96">
        <v>3</v>
      </c>
      <c r="D388" s="118">
        <v>0.007022975401780528</v>
      </c>
      <c r="E388" s="118">
        <v>1.3853508813640172</v>
      </c>
      <c r="F388" s="96" t="s">
        <v>2066</v>
      </c>
      <c r="G388" s="96" t="b">
        <v>0</v>
      </c>
      <c r="H388" s="96" t="b">
        <v>0</v>
      </c>
      <c r="I388" s="96" t="b">
        <v>0</v>
      </c>
      <c r="J388" s="96" t="b">
        <v>0</v>
      </c>
      <c r="K388" s="96" t="b">
        <v>0</v>
      </c>
      <c r="L388" s="96" t="b">
        <v>0</v>
      </c>
    </row>
    <row r="389" spans="1:12" ht="15">
      <c r="A389" s="97" t="s">
        <v>2110</v>
      </c>
      <c r="B389" s="96" t="s">
        <v>2125</v>
      </c>
      <c r="C389" s="96">
        <v>3</v>
      </c>
      <c r="D389" s="118">
        <v>0.007022975401780528</v>
      </c>
      <c r="E389" s="118">
        <v>2.0543576623225928</v>
      </c>
      <c r="F389" s="96" t="s">
        <v>2066</v>
      </c>
      <c r="G389" s="96" t="b">
        <v>0</v>
      </c>
      <c r="H389" s="96" t="b">
        <v>0</v>
      </c>
      <c r="I389" s="96" t="b">
        <v>0</v>
      </c>
      <c r="J389" s="96" t="b">
        <v>0</v>
      </c>
      <c r="K389" s="96" t="b">
        <v>0</v>
      </c>
      <c r="L389" s="96" t="b">
        <v>0</v>
      </c>
    </row>
    <row r="390" spans="1:12" ht="15">
      <c r="A390" s="97" t="s">
        <v>2125</v>
      </c>
      <c r="B390" s="96" t="s">
        <v>2126</v>
      </c>
      <c r="C390" s="96">
        <v>3</v>
      </c>
      <c r="D390" s="118">
        <v>0.007022975401780528</v>
      </c>
      <c r="E390" s="118">
        <v>2.0543576623225928</v>
      </c>
      <c r="F390" s="96" t="s">
        <v>2066</v>
      </c>
      <c r="G390" s="96" t="b">
        <v>0</v>
      </c>
      <c r="H390" s="96" t="b">
        <v>0</v>
      </c>
      <c r="I390" s="96" t="b">
        <v>0</v>
      </c>
      <c r="J390" s="96" t="b">
        <v>0</v>
      </c>
      <c r="K390" s="96" t="b">
        <v>0</v>
      </c>
      <c r="L390" s="96" t="b">
        <v>0</v>
      </c>
    </row>
    <row r="391" spans="1:12" ht="15">
      <c r="A391" s="97" t="s">
        <v>2126</v>
      </c>
      <c r="B391" s="96" t="s">
        <v>2127</v>
      </c>
      <c r="C391" s="96">
        <v>3</v>
      </c>
      <c r="D391" s="118">
        <v>0.007022975401780528</v>
      </c>
      <c r="E391" s="118">
        <v>2.0543576623225928</v>
      </c>
      <c r="F391" s="96" t="s">
        <v>2066</v>
      </c>
      <c r="G391" s="96" t="b">
        <v>0</v>
      </c>
      <c r="H391" s="96" t="b">
        <v>0</v>
      </c>
      <c r="I391" s="96" t="b">
        <v>0</v>
      </c>
      <c r="J391" s="96" t="b">
        <v>0</v>
      </c>
      <c r="K391" s="96" t="b">
        <v>0</v>
      </c>
      <c r="L391" s="96" t="b">
        <v>0</v>
      </c>
    </row>
    <row r="392" spans="1:12" ht="15">
      <c r="A392" s="97" t="s">
        <v>2127</v>
      </c>
      <c r="B392" s="96" t="s">
        <v>2128</v>
      </c>
      <c r="C392" s="96">
        <v>3</v>
      </c>
      <c r="D392" s="118">
        <v>0.007022975401780528</v>
      </c>
      <c r="E392" s="118">
        <v>2.0543576623225928</v>
      </c>
      <c r="F392" s="96" t="s">
        <v>2066</v>
      </c>
      <c r="G392" s="96" t="b">
        <v>0</v>
      </c>
      <c r="H392" s="96" t="b">
        <v>0</v>
      </c>
      <c r="I392" s="96" t="b">
        <v>0</v>
      </c>
      <c r="J392" s="96" t="b">
        <v>0</v>
      </c>
      <c r="K392" s="96" t="b">
        <v>0</v>
      </c>
      <c r="L392" s="96" t="b">
        <v>0</v>
      </c>
    </row>
    <row r="393" spans="1:12" ht="15">
      <c r="A393" s="97" t="s">
        <v>2128</v>
      </c>
      <c r="B393" s="96" t="s">
        <v>2115</v>
      </c>
      <c r="C393" s="96">
        <v>3</v>
      </c>
      <c r="D393" s="118">
        <v>0.007022975401780528</v>
      </c>
      <c r="E393" s="118">
        <v>2.0543576623225928</v>
      </c>
      <c r="F393" s="96" t="s">
        <v>2066</v>
      </c>
      <c r="G393" s="96" t="b">
        <v>0</v>
      </c>
      <c r="H393" s="96" t="b">
        <v>0</v>
      </c>
      <c r="I393" s="96" t="b">
        <v>0</v>
      </c>
      <c r="J393" s="96" t="b">
        <v>0</v>
      </c>
      <c r="K393" s="96" t="b">
        <v>0</v>
      </c>
      <c r="L393" s="96" t="b">
        <v>0</v>
      </c>
    </row>
    <row r="394" spans="1:12" ht="15">
      <c r="A394" s="97" t="s">
        <v>2115</v>
      </c>
      <c r="B394" s="96" t="s">
        <v>2116</v>
      </c>
      <c r="C394" s="96">
        <v>3</v>
      </c>
      <c r="D394" s="118">
        <v>0.007022975401780528</v>
      </c>
      <c r="E394" s="118">
        <v>2.0543576623225928</v>
      </c>
      <c r="F394" s="96" t="s">
        <v>2066</v>
      </c>
      <c r="G394" s="96" t="b">
        <v>0</v>
      </c>
      <c r="H394" s="96" t="b">
        <v>0</v>
      </c>
      <c r="I394" s="96" t="b">
        <v>0</v>
      </c>
      <c r="J394" s="96" t="b">
        <v>0</v>
      </c>
      <c r="K394" s="96" t="b">
        <v>0</v>
      </c>
      <c r="L394" s="96" t="b">
        <v>0</v>
      </c>
    </row>
    <row r="395" spans="1:12" ht="15">
      <c r="A395" s="97" t="s">
        <v>2116</v>
      </c>
      <c r="B395" s="96" t="s">
        <v>2117</v>
      </c>
      <c r="C395" s="96">
        <v>3</v>
      </c>
      <c r="D395" s="118">
        <v>0.007022975401780528</v>
      </c>
      <c r="E395" s="118">
        <v>2.0543576623225928</v>
      </c>
      <c r="F395" s="96" t="s">
        <v>2066</v>
      </c>
      <c r="G395" s="96" t="b">
        <v>0</v>
      </c>
      <c r="H395" s="96" t="b">
        <v>0</v>
      </c>
      <c r="I395" s="96" t="b">
        <v>0</v>
      </c>
      <c r="J395" s="96" t="b">
        <v>0</v>
      </c>
      <c r="K395" s="96" t="b">
        <v>0</v>
      </c>
      <c r="L395" s="96" t="b">
        <v>0</v>
      </c>
    </row>
    <row r="396" spans="1:12" ht="15">
      <c r="A396" s="97" t="s">
        <v>2117</v>
      </c>
      <c r="B396" s="96" t="s">
        <v>2118</v>
      </c>
      <c r="C396" s="96">
        <v>3</v>
      </c>
      <c r="D396" s="118">
        <v>0.007022975401780528</v>
      </c>
      <c r="E396" s="118">
        <v>2.0543576623225928</v>
      </c>
      <c r="F396" s="96" t="s">
        <v>2066</v>
      </c>
      <c r="G396" s="96" t="b">
        <v>0</v>
      </c>
      <c r="H396" s="96" t="b">
        <v>0</v>
      </c>
      <c r="I396" s="96" t="b">
        <v>0</v>
      </c>
      <c r="J396" s="96" t="b">
        <v>0</v>
      </c>
      <c r="K396" s="96" t="b">
        <v>0</v>
      </c>
      <c r="L396" s="96" t="b">
        <v>0</v>
      </c>
    </row>
    <row r="397" spans="1:12" ht="15">
      <c r="A397" s="97" t="s">
        <v>2118</v>
      </c>
      <c r="B397" s="96" t="s">
        <v>2119</v>
      </c>
      <c r="C397" s="96">
        <v>3</v>
      </c>
      <c r="D397" s="118">
        <v>0.007022975401780528</v>
      </c>
      <c r="E397" s="118">
        <v>2.0543576623225928</v>
      </c>
      <c r="F397" s="96" t="s">
        <v>2066</v>
      </c>
      <c r="G397" s="96" t="b">
        <v>0</v>
      </c>
      <c r="H397" s="96" t="b">
        <v>0</v>
      </c>
      <c r="I397" s="96" t="b">
        <v>0</v>
      </c>
      <c r="J397" s="96" t="b">
        <v>0</v>
      </c>
      <c r="K397" s="96" t="b">
        <v>0</v>
      </c>
      <c r="L397" s="96" t="b">
        <v>0</v>
      </c>
    </row>
    <row r="398" spans="1:12" ht="15">
      <c r="A398" s="97" t="s">
        <v>2119</v>
      </c>
      <c r="B398" s="96" t="s">
        <v>2129</v>
      </c>
      <c r="C398" s="96">
        <v>3</v>
      </c>
      <c r="D398" s="118">
        <v>0.007022975401780528</v>
      </c>
      <c r="E398" s="118">
        <v>2.0543576623225928</v>
      </c>
      <c r="F398" s="96" t="s">
        <v>2066</v>
      </c>
      <c r="G398" s="96" t="b">
        <v>0</v>
      </c>
      <c r="H398" s="96" t="b">
        <v>0</v>
      </c>
      <c r="I398" s="96" t="b">
        <v>0</v>
      </c>
      <c r="J398" s="96" t="b">
        <v>0</v>
      </c>
      <c r="K398" s="96" t="b">
        <v>0</v>
      </c>
      <c r="L398" s="96" t="b">
        <v>0</v>
      </c>
    </row>
    <row r="399" spans="1:12" ht="15">
      <c r="A399" s="97" t="s">
        <v>2129</v>
      </c>
      <c r="B399" s="96" t="s">
        <v>2120</v>
      </c>
      <c r="C399" s="96">
        <v>3</v>
      </c>
      <c r="D399" s="118">
        <v>0.007022975401780528</v>
      </c>
      <c r="E399" s="118">
        <v>2.0543576623225928</v>
      </c>
      <c r="F399" s="96" t="s">
        <v>2066</v>
      </c>
      <c r="G399" s="96" t="b">
        <v>0</v>
      </c>
      <c r="H399" s="96" t="b">
        <v>0</v>
      </c>
      <c r="I399" s="96" t="b">
        <v>0</v>
      </c>
      <c r="J399" s="96" t="b">
        <v>0</v>
      </c>
      <c r="K399" s="96" t="b">
        <v>0</v>
      </c>
      <c r="L399" s="96" t="b">
        <v>0</v>
      </c>
    </row>
    <row r="400" spans="1:12" ht="15">
      <c r="A400" s="97" t="s">
        <v>2120</v>
      </c>
      <c r="B400" s="96" t="s">
        <v>2121</v>
      </c>
      <c r="C400" s="96">
        <v>3</v>
      </c>
      <c r="D400" s="118">
        <v>0.007022975401780528</v>
      </c>
      <c r="E400" s="118">
        <v>2.0543576623225928</v>
      </c>
      <c r="F400" s="96" t="s">
        <v>2066</v>
      </c>
      <c r="G400" s="96" t="b">
        <v>0</v>
      </c>
      <c r="H400" s="96" t="b">
        <v>0</v>
      </c>
      <c r="I400" s="96" t="b">
        <v>0</v>
      </c>
      <c r="J400" s="96" t="b">
        <v>0</v>
      </c>
      <c r="K400" s="96" t="b">
        <v>0</v>
      </c>
      <c r="L400" s="96" t="b">
        <v>0</v>
      </c>
    </row>
    <row r="401" spans="1:12" ht="15">
      <c r="A401" s="97" t="s">
        <v>2121</v>
      </c>
      <c r="B401" s="96" t="s">
        <v>2122</v>
      </c>
      <c r="C401" s="96">
        <v>3</v>
      </c>
      <c r="D401" s="118">
        <v>0.007022975401780528</v>
      </c>
      <c r="E401" s="118">
        <v>2.0543576623225928</v>
      </c>
      <c r="F401" s="96" t="s">
        <v>2066</v>
      </c>
      <c r="G401" s="96" t="b">
        <v>0</v>
      </c>
      <c r="H401" s="96" t="b">
        <v>0</v>
      </c>
      <c r="I401" s="96" t="b">
        <v>0</v>
      </c>
      <c r="J401" s="96" t="b">
        <v>0</v>
      </c>
      <c r="K401" s="96" t="b">
        <v>0</v>
      </c>
      <c r="L401" s="96" t="b">
        <v>0</v>
      </c>
    </row>
    <row r="402" spans="1:12" ht="15">
      <c r="A402" s="97" t="s">
        <v>2122</v>
      </c>
      <c r="B402" s="96" t="s">
        <v>2130</v>
      </c>
      <c r="C402" s="96">
        <v>3</v>
      </c>
      <c r="D402" s="118">
        <v>0.007022975401780528</v>
      </c>
      <c r="E402" s="118">
        <v>2.0543576623225928</v>
      </c>
      <c r="F402" s="96" t="s">
        <v>2066</v>
      </c>
      <c r="G402" s="96" t="b">
        <v>0</v>
      </c>
      <c r="H402" s="96" t="b">
        <v>0</v>
      </c>
      <c r="I402" s="96" t="b">
        <v>0</v>
      </c>
      <c r="J402" s="96" t="b">
        <v>0</v>
      </c>
      <c r="K402" s="96" t="b">
        <v>0</v>
      </c>
      <c r="L402" s="96" t="b">
        <v>0</v>
      </c>
    </row>
    <row r="403" spans="1:12" ht="15">
      <c r="A403" s="97" t="s">
        <v>2130</v>
      </c>
      <c r="B403" s="96" t="s">
        <v>2131</v>
      </c>
      <c r="C403" s="96">
        <v>3</v>
      </c>
      <c r="D403" s="118">
        <v>0.007022975401780528</v>
      </c>
      <c r="E403" s="118">
        <v>2.0543576623225928</v>
      </c>
      <c r="F403" s="96" t="s">
        <v>2066</v>
      </c>
      <c r="G403" s="96" t="b">
        <v>0</v>
      </c>
      <c r="H403" s="96" t="b">
        <v>0</v>
      </c>
      <c r="I403" s="96" t="b">
        <v>0</v>
      </c>
      <c r="J403" s="96" t="b">
        <v>0</v>
      </c>
      <c r="K403" s="96" t="b">
        <v>0</v>
      </c>
      <c r="L403" s="96" t="b">
        <v>0</v>
      </c>
    </row>
    <row r="404" spans="1:12" ht="15">
      <c r="A404" s="97" t="s">
        <v>2131</v>
      </c>
      <c r="B404" s="96" t="s">
        <v>2123</v>
      </c>
      <c r="C404" s="96">
        <v>3</v>
      </c>
      <c r="D404" s="118">
        <v>0.007022975401780528</v>
      </c>
      <c r="E404" s="118">
        <v>2.0543576623225928</v>
      </c>
      <c r="F404" s="96" t="s">
        <v>2066</v>
      </c>
      <c r="G404" s="96" t="b">
        <v>0</v>
      </c>
      <c r="H404" s="96" t="b">
        <v>0</v>
      </c>
      <c r="I404" s="96" t="b">
        <v>0</v>
      </c>
      <c r="J404" s="96" t="b">
        <v>0</v>
      </c>
      <c r="K404" s="96" t="b">
        <v>0</v>
      </c>
      <c r="L404" s="96" t="b">
        <v>0</v>
      </c>
    </row>
    <row r="405" spans="1:12" ht="15">
      <c r="A405" s="97" t="s">
        <v>2123</v>
      </c>
      <c r="B405" s="96" t="s">
        <v>2114</v>
      </c>
      <c r="C405" s="96">
        <v>3</v>
      </c>
      <c r="D405" s="118">
        <v>0.007022975401780528</v>
      </c>
      <c r="E405" s="118">
        <v>2.0543576623225928</v>
      </c>
      <c r="F405" s="96" t="s">
        <v>2066</v>
      </c>
      <c r="G405" s="96" t="b">
        <v>0</v>
      </c>
      <c r="H405" s="96" t="b">
        <v>0</v>
      </c>
      <c r="I405" s="96" t="b">
        <v>0</v>
      </c>
      <c r="J405" s="96" t="b">
        <v>0</v>
      </c>
      <c r="K405" s="96" t="b">
        <v>0</v>
      </c>
      <c r="L405" s="96" t="b">
        <v>0</v>
      </c>
    </row>
    <row r="406" spans="1:12" ht="15">
      <c r="A406" s="97" t="s">
        <v>2107</v>
      </c>
      <c r="B406" s="96" t="s">
        <v>2150</v>
      </c>
      <c r="C406" s="96">
        <v>2</v>
      </c>
      <c r="D406" s="118">
        <v>0.005657558443600765</v>
      </c>
      <c r="E406" s="118">
        <v>1.6283889300503116</v>
      </c>
      <c r="F406" s="96" t="s">
        <v>2066</v>
      </c>
      <c r="G406" s="96" t="b">
        <v>0</v>
      </c>
      <c r="H406" s="96" t="b">
        <v>0</v>
      </c>
      <c r="I406" s="96" t="b">
        <v>0</v>
      </c>
      <c r="J406" s="96" t="b">
        <v>0</v>
      </c>
      <c r="K406" s="96" t="b">
        <v>0</v>
      </c>
      <c r="L406" s="96" t="b">
        <v>0</v>
      </c>
    </row>
    <row r="407" spans="1:12" ht="15">
      <c r="A407" s="97" t="s">
        <v>2150</v>
      </c>
      <c r="B407" s="96" t="s">
        <v>2151</v>
      </c>
      <c r="C407" s="96">
        <v>2</v>
      </c>
      <c r="D407" s="118">
        <v>0.005657558443600765</v>
      </c>
      <c r="E407" s="118">
        <v>2.230448921378274</v>
      </c>
      <c r="F407" s="96" t="s">
        <v>2066</v>
      </c>
      <c r="G407" s="96" t="b">
        <v>0</v>
      </c>
      <c r="H407" s="96" t="b">
        <v>0</v>
      </c>
      <c r="I407" s="96" t="b">
        <v>0</v>
      </c>
      <c r="J407" s="96" t="b">
        <v>0</v>
      </c>
      <c r="K407" s="96" t="b">
        <v>0</v>
      </c>
      <c r="L407" s="96" t="b">
        <v>0</v>
      </c>
    </row>
    <row r="408" spans="1:12" ht="15">
      <c r="A408" s="97" t="s">
        <v>2151</v>
      </c>
      <c r="B408" s="96" t="s">
        <v>2152</v>
      </c>
      <c r="C408" s="96">
        <v>2</v>
      </c>
      <c r="D408" s="118">
        <v>0.005657558443600765</v>
      </c>
      <c r="E408" s="118">
        <v>2.230448921378274</v>
      </c>
      <c r="F408" s="96" t="s">
        <v>2066</v>
      </c>
      <c r="G408" s="96" t="b">
        <v>0</v>
      </c>
      <c r="H408" s="96" t="b">
        <v>0</v>
      </c>
      <c r="I408" s="96" t="b">
        <v>0</v>
      </c>
      <c r="J408" s="96" t="b">
        <v>0</v>
      </c>
      <c r="K408" s="96" t="b">
        <v>0</v>
      </c>
      <c r="L408" s="96" t="b">
        <v>0</v>
      </c>
    </row>
    <row r="409" spans="1:12" ht="15">
      <c r="A409" s="97" t="s">
        <v>2152</v>
      </c>
      <c r="B409" s="96" t="s">
        <v>2149</v>
      </c>
      <c r="C409" s="96">
        <v>2</v>
      </c>
      <c r="D409" s="118">
        <v>0.005657558443600765</v>
      </c>
      <c r="E409" s="118">
        <v>2.230448921378274</v>
      </c>
      <c r="F409" s="96" t="s">
        <v>2066</v>
      </c>
      <c r="G409" s="96" t="b">
        <v>0</v>
      </c>
      <c r="H409" s="96" t="b">
        <v>0</v>
      </c>
      <c r="I409" s="96" t="b">
        <v>0</v>
      </c>
      <c r="J409" s="96" t="b">
        <v>0</v>
      </c>
      <c r="K409" s="96" t="b">
        <v>0</v>
      </c>
      <c r="L409" s="96" t="b">
        <v>0</v>
      </c>
    </row>
    <row r="410" spans="1:12" ht="15">
      <c r="A410" s="97" t="s">
        <v>2149</v>
      </c>
      <c r="B410" s="96" t="s">
        <v>2153</v>
      </c>
      <c r="C410" s="96">
        <v>2</v>
      </c>
      <c r="D410" s="118">
        <v>0.005657558443600765</v>
      </c>
      <c r="E410" s="118">
        <v>2.230448921378274</v>
      </c>
      <c r="F410" s="96" t="s">
        <v>2066</v>
      </c>
      <c r="G410" s="96" t="b">
        <v>0</v>
      </c>
      <c r="H410" s="96" t="b">
        <v>0</v>
      </c>
      <c r="I410" s="96" t="b">
        <v>0</v>
      </c>
      <c r="J410" s="96" t="b">
        <v>0</v>
      </c>
      <c r="K410" s="96" t="b">
        <v>0</v>
      </c>
      <c r="L410" s="96" t="b">
        <v>0</v>
      </c>
    </row>
    <row r="411" spans="1:12" ht="15">
      <c r="A411" s="97" t="s">
        <v>2153</v>
      </c>
      <c r="B411" s="96" t="s">
        <v>2148</v>
      </c>
      <c r="C411" s="96">
        <v>2</v>
      </c>
      <c r="D411" s="118">
        <v>0.005657558443600765</v>
      </c>
      <c r="E411" s="118">
        <v>2.230448921378274</v>
      </c>
      <c r="F411" s="96" t="s">
        <v>2066</v>
      </c>
      <c r="G411" s="96" t="b">
        <v>0</v>
      </c>
      <c r="H411" s="96" t="b">
        <v>0</v>
      </c>
      <c r="I411" s="96" t="b">
        <v>0</v>
      </c>
      <c r="J411" s="96" t="b">
        <v>0</v>
      </c>
      <c r="K411" s="96" t="b">
        <v>0</v>
      </c>
      <c r="L411" s="96" t="b">
        <v>0</v>
      </c>
    </row>
    <row r="412" spans="1:12" ht="15">
      <c r="A412" s="97" t="s">
        <v>2148</v>
      </c>
      <c r="B412" s="96" t="s">
        <v>2154</v>
      </c>
      <c r="C412" s="96">
        <v>2</v>
      </c>
      <c r="D412" s="118">
        <v>0.005657558443600765</v>
      </c>
      <c r="E412" s="118">
        <v>2.230448921378274</v>
      </c>
      <c r="F412" s="96" t="s">
        <v>2066</v>
      </c>
      <c r="G412" s="96" t="b">
        <v>0</v>
      </c>
      <c r="H412" s="96" t="b">
        <v>0</v>
      </c>
      <c r="I412" s="96" t="b">
        <v>0</v>
      </c>
      <c r="J412" s="96" t="b">
        <v>0</v>
      </c>
      <c r="K412" s="96" t="b">
        <v>0</v>
      </c>
      <c r="L412" s="96" t="b">
        <v>0</v>
      </c>
    </row>
    <row r="413" spans="1:12" ht="15">
      <c r="A413" s="97" t="s">
        <v>2154</v>
      </c>
      <c r="B413" s="96" t="s">
        <v>2155</v>
      </c>
      <c r="C413" s="96">
        <v>2</v>
      </c>
      <c r="D413" s="118">
        <v>0.005657558443600765</v>
      </c>
      <c r="E413" s="118">
        <v>2.230448921378274</v>
      </c>
      <c r="F413" s="96" t="s">
        <v>2066</v>
      </c>
      <c r="G413" s="96" t="b">
        <v>0</v>
      </c>
      <c r="H413" s="96" t="b">
        <v>0</v>
      </c>
      <c r="I413" s="96" t="b">
        <v>0</v>
      </c>
      <c r="J413" s="96" t="b">
        <v>0</v>
      </c>
      <c r="K413" s="96" t="b">
        <v>0</v>
      </c>
      <c r="L413" s="96" t="b">
        <v>0</v>
      </c>
    </row>
    <row r="414" spans="1:12" ht="15">
      <c r="A414" s="97" t="s">
        <v>2106</v>
      </c>
      <c r="B414" s="96" t="s">
        <v>2107</v>
      </c>
      <c r="C414" s="96">
        <v>11</v>
      </c>
      <c r="D414" s="118">
        <v>0.0050192285448725105</v>
      </c>
      <c r="E414" s="118">
        <v>0.9778588363289886</v>
      </c>
      <c r="F414" s="96" t="s">
        <v>2067</v>
      </c>
      <c r="G414" s="96" t="b">
        <v>0</v>
      </c>
      <c r="H414" s="96" t="b">
        <v>0</v>
      </c>
      <c r="I414" s="96" t="b">
        <v>0</v>
      </c>
      <c r="J414" s="96" t="b">
        <v>0</v>
      </c>
      <c r="K414" s="96" t="b">
        <v>0</v>
      </c>
      <c r="L414" s="96" t="b">
        <v>0</v>
      </c>
    </row>
    <row r="415" spans="1:12" ht="15">
      <c r="A415" s="97" t="s">
        <v>2107</v>
      </c>
      <c r="B415" s="96" t="s">
        <v>2298</v>
      </c>
      <c r="C415" s="96">
        <v>2</v>
      </c>
      <c r="D415" s="118">
        <v>0.010225325240790636</v>
      </c>
      <c r="E415" s="118">
        <v>1.0504095034776004</v>
      </c>
      <c r="F415" s="96" t="s">
        <v>2067</v>
      </c>
      <c r="G415" s="96" t="b">
        <v>0</v>
      </c>
      <c r="H415" s="96" t="b">
        <v>0</v>
      </c>
      <c r="I415" s="96" t="b">
        <v>0</v>
      </c>
      <c r="J415" s="96" t="b">
        <v>0</v>
      </c>
      <c r="K415" s="96" t="b">
        <v>0</v>
      </c>
      <c r="L415" s="96" t="b">
        <v>0</v>
      </c>
    </row>
    <row r="416" spans="1:12" ht="15">
      <c r="A416" s="97" t="s">
        <v>2298</v>
      </c>
      <c r="B416" s="96" t="s">
        <v>2186</v>
      </c>
      <c r="C416" s="96">
        <v>2</v>
      </c>
      <c r="D416" s="118">
        <v>0.010225325240790636</v>
      </c>
      <c r="E416" s="118">
        <v>1.863322860120456</v>
      </c>
      <c r="F416" s="96" t="s">
        <v>2067</v>
      </c>
      <c r="G416" s="96" t="b">
        <v>0</v>
      </c>
      <c r="H416" s="96" t="b">
        <v>0</v>
      </c>
      <c r="I416" s="96" t="b">
        <v>0</v>
      </c>
      <c r="J416" s="96" t="b">
        <v>0</v>
      </c>
      <c r="K416" s="96" t="b">
        <v>0</v>
      </c>
      <c r="L416" s="96" t="b">
        <v>0</v>
      </c>
    </row>
    <row r="417" spans="1:12" ht="15">
      <c r="A417" s="97" t="s">
        <v>2186</v>
      </c>
      <c r="B417" s="96" t="s">
        <v>2299</v>
      </c>
      <c r="C417" s="96">
        <v>2</v>
      </c>
      <c r="D417" s="118">
        <v>0.010225325240790636</v>
      </c>
      <c r="E417" s="118">
        <v>1.863322860120456</v>
      </c>
      <c r="F417" s="96" t="s">
        <v>2067</v>
      </c>
      <c r="G417" s="96" t="b">
        <v>0</v>
      </c>
      <c r="H417" s="96" t="b">
        <v>0</v>
      </c>
      <c r="I417" s="96" t="b">
        <v>0</v>
      </c>
      <c r="J417" s="96" t="b">
        <v>0</v>
      </c>
      <c r="K417" s="96" t="b">
        <v>0</v>
      </c>
      <c r="L417" s="96" t="b">
        <v>0</v>
      </c>
    </row>
    <row r="418" spans="1:12" ht="15">
      <c r="A418" s="97" t="s">
        <v>2299</v>
      </c>
      <c r="B418" s="96" t="s">
        <v>2185</v>
      </c>
      <c r="C418" s="96">
        <v>2</v>
      </c>
      <c r="D418" s="118">
        <v>0.010225325240790636</v>
      </c>
      <c r="E418" s="118">
        <v>1.6872316010647748</v>
      </c>
      <c r="F418" s="96" t="s">
        <v>2067</v>
      </c>
      <c r="G418" s="96" t="b">
        <v>0</v>
      </c>
      <c r="H418" s="96" t="b">
        <v>0</v>
      </c>
      <c r="I418" s="96" t="b">
        <v>0</v>
      </c>
      <c r="J418" s="96" t="b">
        <v>0</v>
      </c>
      <c r="K418" s="96" t="b">
        <v>0</v>
      </c>
      <c r="L418" s="96" t="b">
        <v>0</v>
      </c>
    </row>
    <row r="419" spans="1:12" ht="15">
      <c r="A419" s="97" t="s">
        <v>2185</v>
      </c>
      <c r="B419" s="96" t="s">
        <v>2300</v>
      </c>
      <c r="C419" s="96">
        <v>2</v>
      </c>
      <c r="D419" s="118">
        <v>0.010225325240790636</v>
      </c>
      <c r="E419" s="118">
        <v>1.6872316010647748</v>
      </c>
      <c r="F419" s="96" t="s">
        <v>2067</v>
      </c>
      <c r="G419" s="96" t="b">
        <v>0</v>
      </c>
      <c r="H419" s="96" t="b">
        <v>0</v>
      </c>
      <c r="I419" s="96" t="b">
        <v>0</v>
      </c>
      <c r="J419" s="96" t="b">
        <v>0</v>
      </c>
      <c r="K419" s="96" t="b">
        <v>0</v>
      </c>
      <c r="L419" s="96" t="b">
        <v>0</v>
      </c>
    </row>
    <row r="420" spans="1:12" ht="15">
      <c r="A420" s="97" t="s">
        <v>2300</v>
      </c>
      <c r="B420" s="96" t="s">
        <v>2301</v>
      </c>
      <c r="C420" s="96">
        <v>2</v>
      </c>
      <c r="D420" s="118">
        <v>0.010225325240790636</v>
      </c>
      <c r="E420" s="118">
        <v>1.863322860120456</v>
      </c>
      <c r="F420" s="96" t="s">
        <v>2067</v>
      </c>
      <c r="G420" s="96" t="b">
        <v>0</v>
      </c>
      <c r="H420" s="96" t="b">
        <v>0</v>
      </c>
      <c r="I420" s="96" t="b">
        <v>0</v>
      </c>
      <c r="J420" s="96" t="b">
        <v>0</v>
      </c>
      <c r="K420" s="96" t="b">
        <v>0</v>
      </c>
      <c r="L420" s="96" t="b">
        <v>0</v>
      </c>
    </row>
    <row r="421" spans="1:12" ht="15">
      <c r="A421" s="97" t="s">
        <v>2295</v>
      </c>
      <c r="B421" s="96" t="s">
        <v>2296</v>
      </c>
      <c r="C421" s="96">
        <v>2</v>
      </c>
      <c r="D421" s="118">
        <v>0.010225325240790636</v>
      </c>
      <c r="E421" s="118">
        <v>1.863322860120456</v>
      </c>
      <c r="F421" s="96" t="s">
        <v>2067</v>
      </c>
      <c r="G421" s="96" t="b">
        <v>0</v>
      </c>
      <c r="H421" s="96" t="b">
        <v>0</v>
      </c>
      <c r="I421" s="96" t="b">
        <v>0</v>
      </c>
      <c r="J421" s="96" t="b">
        <v>0</v>
      </c>
      <c r="K421" s="96" t="b">
        <v>0</v>
      </c>
      <c r="L421" s="96" t="b">
        <v>0</v>
      </c>
    </row>
    <row r="422" spans="1:12" ht="15">
      <c r="A422" s="97" t="s">
        <v>2296</v>
      </c>
      <c r="B422" s="96" t="s">
        <v>2297</v>
      </c>
      <c r="C422" s="96">
        <v>2</v>
      </c>
      <c r="D422" s="118">
        <v>0.010225325240790636</v>
      </c>
      <c r="E422" s="118">
        <v>1.863322860120456</v>
      </c>
      <c r="F422" s="96" t="s">
        <v>2067</v>
      </c>
      <c r="G422" s="96" t="b">
        <v>0</v>
      </c>
      <c r="H422" s="96" t="b">
        <v>0</v>
      </c>
      <c r="I422" s="96" t="b">
        <v>0</v>
      </c>
      <c r="J422" s="96" t="b">
        <v>0</v>
      </c>
      <c r="K422" s="96" t="b">
        <v>0</v>
      </c>
      <c r="L422" s="96" t="b">
        <v>0</v>
      </c>
    </row>
    <row r="423" spans="1:12" ht="15">
      <c r="A423" s="97" t="s">
        <v>444</v>
      </c>
      <c r="B423" s="96" t="s">
        <v>2106</v>
      </c>
      <c r="C423" s="96">
        <v>3</v>
      </c>
      <c r="D423" s="118">
        <v>0</v>
      </c>
      <c r="E423" s="118">
        <v>1.066946789630613</v>
      </c>
      <c r="F423" s="96" t="s">
        <v>2069</v>
      </c>
      <c r="G423" s="96" t="b">
        <v>0</v>
      </c>
      <c r="H423" s="96" t="b">
        <v>0</v>
      </c>
      <c r="I423" s="96" t="b">
        <v>0</v>
      </c>
      <c r="J423" s="96" t="b">
        <v>0</v>
      </c>
      <c r="K423" s="96" t="b">
        <v>0</v>
      </c>
      <c r="L423" s="96" t="b">
        <v>0</v>
      </c>
    </row>
    <row r="424" spans="1:12" ht="15">
      <c r="A424" s="97" t="s">
        <v>2106</v>
      </c>
      <c r="B424" s="96" t="s">
        <v>2107</v>
      </c>
      <c r="C424" s="96">
        <v>3</v>
      </c>
      <c r="D424" s="118">
        <v>0</v>
      </c>
      <c r="E424" s="118">
        <v>1.066946789630613</v>
      </c>
      <c r="F424" s="96" t="s">
        <v>2069</v>
      </c>
      <c r="G424" s="96" t="b">
        <v>0</v>
      </c>
      <c r="H424" s="96" t="b">
        <v>0</v>
      </c>
      <c r="I424" s="96" t="b">
        <v>0</v>
      </c>
      <c r="J424" s="96" t="b">
        <v>0</v>
      </c>
      <c r="K424" s="96" t="b">
        <v>0</v>
      </c>
      <c r="L424" s="96" t="b">
        <v>0</v>
      </c>
    </row>
    <row r="425" spans="1:12" ht="15">
      <c r="A425" s="97" t="s">
        <v>2107</v>
      </c>
      <c r="B425" s="96" t="s">
        <v>2254</v>
      </c>
      <c r="C425" s="96">
        <v>2</v>
      </c>
      <c r="D425" s="118">
        <v>0.009267961002930591</v>
      </c>
      <c r="E425" s="118">
        <v>1.066946789630613</v>
      </c>
      <c r="F425" s="96" t="s">
        <v>2069</v>
      </c>
      <c r="G425" s="96" t="b">
        <v>0</v>
      </c>
      <c r="H425" s="96" t="b">
        <v>0</v>
      </c>
      <c r="I425" s="96" t="b">
        <v>0</v>
      </c>
      <c r="J425" s="96" t="b">
        <v>0</v>
      </c>
      <c r="K425" s="96" t="b">
        <v>0</v>
      </c>
      <c r="L425" s="96" t="b">
        <v>0</v>
      </c>
    </row>
    <row r="426" spans="1:12" ht="15">
      <c r="A426" s="97" t="s">
        <v>2254</v>
      </c>
      <c r="B426" s="96" t="s">
        <v>2184</v>
      </c>
      <c r="C426" s="96">
        <v>2</v>
      </c>
      <c r="D426" s="118">
        <v>0.009267961002930591</v>
      </c>
      <c r="E426" s="118">
        <v>1.2430380486862944</v>
      </c>
      <c r="F426" s="96" t="s">
        <v>2069</v>
      </c>
      <c r="G426" s="96" t="b">
        <v>0</v>
      </c>
      <c r="H426" s="96" t="b">
        <v>0</v>
      </c>
      <c r="I426" s="96" t="b">
        <v>0</v>
      </c>
      <c r="J426" s="96" t="b">
        <v>0</v>
      </c>
      <c r="K426" s="96" t="b">
        <v>0</v>
      </c>
      <c r="L426" s="96" t="b">
        <v>0</v>
      </c>
    </row>
    <row r="427" spans="1:12" ht="15">
      <c r="A427" s="97" t="s">
        <v>2184</v>
      </c>
      <c r="B427" s="96" t="s">
        <v>2255</v>
      </c>
      <c r="C427" s="96">
        <v>2</v>
      </c>
      <c r="D427" s="118">
        <v>0.009267961002930591</v>
      </c>
      <c r="E427" s="118">
        <v>1.2430380486862944</v>
      </c>
      <c r="F427" s="96" t="s">
        <v>2069</v>
      </c>
      <c r="G427" s="96" t="b">
        <v>0</v>
      </c>
      <c r="H427" s="96" t="b">
        <v>0</v>
      </c>
      <c r="I427" s="96" t="b">
        <v>0</v>
      </c>
      <c r="J427" s="96" t="b">
        <v>0</v>
      </c>
      <c r="K427" s="96" t="b">
        <v>0</v>
      </c>
      <c r="L427" s="96" t="b">
        <v>0</v>
      </c>
    </row>
    <row r="428" spans="1:12" ht="15">
      <c r="A428" s="97" t="s">
        <v>2255</v>
      </c>
      <c r="B428" s="96" t="s">
        <v>2256</v>
      </c>
      <c r="C428" s="96">
        <v>2</v>
      </c>
      <c r="D428" s="118">
        <v>0.009267961002930591</v>
      </c>
      <c r="E428" s="118">
        <v>1.2430380486862944</v>
      </c>
      <c r="F428" s="96" t="s">
        <v>2069</v>
      </c>
      <c r="G428" s="96" t="b">
        <v>0</v>
      </c>
      <c r="H428" s="96" t="b">
        <v>0</v>
      </c>
      <c r="I428" s="96" t="b">
        <v>0</v>
      </c>
      <c r="J428" s="96" t="b">
        <v>0</v>
      </c>
      <c r="K428" s="96" t="b">
        <v>0</v>
      </c>
      <c r="L428" s="96" t="b">
        <v>0</v>
      </c>
    </row>
    <row r="429" spans="1:12" ht="15">
      <c r="A429" s="97" t="s">
        <v>2256</v>
      </c>
      <c r="B429" s="96" t="s">
        <v>2180</v>
      </c>
      <c r="C429" s="96">
        <v>2</v>
      </c>
      <c r="D429" s="118">
        <v>0.009267961002930591</v>
      </c>
      <c r="E429" s="118">
        <v>1.066946789630613</v>
      </c>
      <c r="F429" s="96" t="s">
        <v>2069</v>
      </c>
      <c r="G429" s="96" t="b">
        <v>0</v>
      </c>
      <c r="H429" s="96" t="b">
        <v>0</v>
      </c>
      <c r="I429" s="96" t="b">
        <v>0</v>
      </c>
      <c r="J429" s="96" t="b">
        <v>0</v>
      </c>
      <c r="K429" s="96" t="b">
        <v>0</v>
      </c>
      <c r="L429" s="96" t="b">
        <v>0</v>
      </c>
    </row>
    <row r="430" spans="1:12" ht="15">
      <c r="A430" s="97" t="s">
        <v>2180</v>
      </c>
      <c r="B430" s="96" t="s">
        <v>2257</v>
      </c>
      <c r="C430" s="96">
        <v>2</v>
      </c>
      <c r="D430" s="118">
        <v>0.009267961002930591</v>
      </c>
      <c r="E430" s="118">
        <v>1.066946789630613</v>
      </c>
      <c r="F430" s="96" t="s">
        <v>2069</v>
      </c>
      <c r="G430" s="96" t="b">
        <v>0</v>
      </c>
      <c r="H430" s="96" t="b">
        <v>0</v>
      </c>
      <c r="I430" s="96" t="b">
        <v>0</v>
      </c>
      <c r="J430" s="96" t="b">
        <v>0</v>
      </c>
      <c r="K430" s="96" t="b">
        <v>0</v>
      </c>
      <c r="L430" s="96" t="b">
        <v>0</v>
      </c>
    </row>
    <row r="431" spans="1:12" ht="15">
      <c r="A431" s="97" t="s">
        <v>2106</v>
      </c>
      <c r="B431" s="96" t="s">
        <v>2107</v>
      </c>
      <c r="C431" s="96">
        <v>2</v>
      </c>
      <c r="D431" s="118">
        <v>0</v>
      </c>
      <c r="E431" s="118">
        <v>1.2430380486862944</v>
      </c>
      <c r="F431" s="96" t="s">
        <v>2070</v>
      </c>
      <c r="G431" s="96" t="b">
        <v>0</v>
      </c>
      <c r="H431" s="96" t="b">
        <v>0</v>
      </c>
      <c r="I431" s="96" t="b">
        <v>0</v>
      </c>
      <c r="J431" s="96" t="b">
        <v>0</v>
      </c>
      <c r="K431" s="96" t="b">
        <v>0</v>
      </c>
      <c r="L431" s="96" t="b">
        <v>0</v>
      </c>
    </row>
    <row r="432" spans="1:12" ht="15">
      <c r="A432" s="97" t="s">
        <v>2106</v>
      </c>
      <c r="B432" s="96" t="s">
        <v>2107</v>
      </c>
      <c r="C432" s="96">
        <v>3</v>
      </c>
      <c r="D432" s="118">
        <v>0</v>
      </c>
      <c r="E432" s="118">
        <v>1.2304489213782739</v>
      </c>
      <c r="F432" s="96" t="s">
        <v>2071</v>
      </c>
      <c r="G432" s="96" t="b">
        <v>0</v>
      </c>
      <c r="H432" s="96" t="b">
        <v>0</v>
      </c>
      <c r="I432" s="96" t="b">
        <v>0</v>
      </c>
      <c r="J432" s="96" t="b">
        <v>0</v>
      </c>
      <c r="K432" s="96" t="b">
        <v>0</v>
      </c>
      <c r="L432" s="96" t="b">
        <v>0</v>
      </c>
    </row>
    <row r="433" spans="1:12" ht="15">
      <c r="A433" s="97" t="s">
        <v>2107</v>
      </c>
      <c r="B433" s="96" t="s">
        <v>2195</v>
      </c>
      <c r="C433" s="96">
        <v>3</v>
      </c>
      <c r="D433" s="118">
        <v>0</v>
      </c>
      <c r="E433" s="118">
        <v>1.2304489213782739</v>
      </c>
      <c r="F433" s="96" t="s">
        <v>2071</v>
      </c>
      <c r="G433" s="96" t="b">
        <v>0</v>
      </c>
      <c r="H433" s="96" t="b">
        <v>0</v>
      </c>
      <c r="I433" s="96" t="b">
        <v>0</v>
      </c>
      <c r="J433" s="96" t="b">
        <v>0</v>
      </c>
      <c r="K433" s="96" t="b">
        <v>0</v>
      </c>
      <c r="L433" s="96" t="b">
        <v>0</v>
      </c>
    </row>
    <row r="434" spans="1:12" ht="15">
      <c r="A434" s="97" t="s">
        <v>2195</v>
      </c>
      <c r="B434" s="96" t="s">
        <v>2196</v>
      </c>
      <c r="C434" s="96">
        <v>3</v>
      </c>
      <c r="D434" s="118">
        <v>0</v>
      </c>
      <c r="E434" s="118">
        <v>1.2304489213782739</v>
      </c>
      <c r="F434" s="96" t="s">
        <v>2071</v>
      </c>
      <c r="G434" s="96" t="b">
        <v>0</v>
      </c>
      <c r="H434" s="96" t="b">
        <v>0</v>
      </c>
      <c r="I434" s="96" t="b">
        <v>0</v>
      </c>
      <c r="J434" s="96" t="b">
        <v>0</v>
      </c>
      <c r="K434" s="96" t="b">
        <v>0</v>
      </c>
      <c r="L434" s="96" t="b">
        <v>0</v>
      </c>
    </row>
    <row r="435" spans="1:12" ht="15">
      <c r="A435" s="97" t="s">
        <v>2196</v>
      </c>
      <c r="B435" s="96" t="s">
        <v>2197</v>
      </c>
      <c r="C435" s="96">
        <v>3</v>
      </c>
      <c r="D435" s="118">
        <v>0</v>
      </c>
      <c r="E435" s="118">
        <v>1.2304489213782739</v>
      </c>
      <c r="F435" s="96" t="s">
        <v>2071</v>
      </c>
      <c r="G435" s="96" t="b">
        <v>0</v>
      </c>
      <c r="H435" s="96" t="b">
        <v>0</v>
      </c>
      <c r="I435" s="96" t="b">
        <v>0</v>
      </c>
      <c r="J435" s="96" t="b">
        <v>0</v>
      </c>
      <c r="K435" s="96" t="b">
        <v>0</v>
      </c>
      <c r="L435" s="96" t="b">
        <v>0</v>
      </c>
    </row>
    <row r="436" spans="1:12" ht="15">
      <c r="A436" s="97" t="s">
        <v>2197</v>
      </c>
      <c r="B436" s="96" t="s">
        <v>2198</v>
      </c>
      <c r="C436" s="96">
        <v>3</v>
      </c>
      <c r="D436" s="118">
        <v>0</v>
      </c>
      <c r="E436" s="118">
        <v>1.2304489213782739</v>
      </c>
      <c r="F436" s="96" t="s">
        <v>2071</v>
      </c>
      <c r="G436" s="96" t="b">
        <v>0</v>
      </c>
      <c r="H436" s="96" t="b">
        <v>0</v>
      </c>
      <c r="I436" s="96" t="b">
        <v>0</v>
      </c>
      <c r="J436" s="96" t="b">
        <v>0</v>
      </c>
      <c r="K436" s="96" t="b">
        <v>0</v>
      </c>
      <c r="L436" s="96" t="b">
        <v>0</v>
      </c>
    </row>
    <row r="437" spans="1:12" ht="15">
      <c r="A437" s="97" t="s">
        <v>2198</v>
      </c>
      <c r="B437" s="96" t="s">
        <v>2199</v>
      </c>
      <c r="C437" s="96">
        <v>3</v>
      </c>
      <c r="D437" s="118">
        <v>0</v>
      </c>
      <c r="E437" s="118">
        <v>1.2304489213782739</v>
      </c>
      <c r="F437" s="96" t="s">
        <v>2071</v>
      </c>
      <c r="G437" s="96" t="b">
        <v>0</v>
      </c>
      <c r="H437" s="96" t="b">
        <v>0</v>
      </c>
      <c r="I437" s="96" t="b">
        <v>0</v>
      </c>
      <c r="J437" s="96" t="b">
        <v>0</v>
      </c>
      <c r="K437" s="96" t="b">
        <v>0</v>
      </c>
      <c r="L437" s="96" t="b">
        <v>0</v>
      </c>
    </row>
    <row r="438" spans="1:12" ht="15">
      <c r="A438" s="97" t="s">
        <v>2199</v>
      </c>
      <c r="B438" s="96" t="s">
        <v>2200</v>
      </c>
      <c r="C438" s="96">
        <v>3</v>
      </c>
      <c r="D438" s="118">
        <v>0</v>
      </c>
      <c r="E438" s="118">
        <v>1.2304489213782739</v>
      </c>
      <c r="F438" s="96" t="s">
        <v>2071</v>
      </c>
      <c r="G438" s="96" t="b">
        <v>0</v>
      </c>
      <c r="H438" s="96" t="b">
        <v>0</v>
      </c>
      <c r="I438" s="96" t="b">
        <v>0</v>
      </c>
      <c r="J438" s="96" t="b">
        <v>0</v>
      </c>
      <c r="K438" s="96" t="b">
        <v>0</v>
      </c>
      <c r="L438" s="96" t="b">
        <v>0</v>
      </c>
    </row>
    <row r="439" spans="1:12" ht="15">
      <c r="A439" s="97" t="s">
        <v>2200</v>
      </c>
      <c r="B439" s="96" t="s">
        <v>2201</v>
      </c>
      <c r="C439" s="96">
        <v>3</v>
      </c>
      <c r="D439" s="118">
        <v>0</v>
      </c>
      <c r="E439" s="118">
        <v>1.2304489213782739</v>
      </c>
      <c r="F439" s="96" t="s">
        <v>2071</v>
      </c>
      <c r="G439" s="96" t="b">
        <v>0</v>
      </c>
      <c r="H439" s="96" t="b">
        <v>0</v>
      </c>
      <c r="I439" s="96" t="b">
        <v>0</v>
      </c>
      <c r="J439" s="96" t="b">
        <v>0</v>
      </c>
      <c r="K439" s="96" t="b">
        <v>0</v>
      </c>
      <c r="L439" s="96" t="b">
        <v>0</v>
      </c>
    </row>
    <row r="440" spans="1:12" ht="15">
      <c r="A440" s="97" t="s">
        <v>2201</v>
      </c>
      <c r="B440" s="96" t="s">
        <v>2181</v>
      </c>
      <c r="C440" s="96">
        <v>3</v>
      </c>
      <c r="D440" s="118">
        <v>0</v>
      </c>
      <c r="E440" s="118">
        <v>1.2304489213782739</v>
      </c>
      <c r="F440" s="96" t="s">
        <v>2071</v>
      </c>
      <c r="G440" s="96" t="b">
        <v>0</v>
      </c>
      <c r="H440" s="96" t="b">
        <v>0</v>
      </c>
      <c r="I440" s="96" t="b">
        <v>0</v>
      </c>
      <c r="J440" s="96" t="b">
        <v>0</v>
      </c>
      <c r="K440" s="96" t="b">
        <v>0</v>
      </c>
      <c r="L440" s="96" t="b">
        <v>0</v>
      </c>
    </row>
    <row r="441" spans="1:12" ht="15">
      <c r="A441" s="97" t="s">
        <v>2181</v>
      </c>
      <c r="B441" s="96" t="s">
        <v>2202</v>
      </c>
      <c r="C441" s="96">
        <v>3</v>
      </c>
      <c r="D441" s="118">
        <v>0</v>
      </c>
      <c r="E441" s="118">
        <v>1.2304489213782739</v>
      </c>
      <c r="F441" s="96" t="s">
        <v>2071</v>
      </c>
      <c r="G441" s="96" t="b">
        <v>0</v>
      </c>
      <c r="H441" s="96" t="b">
        <v>0</v>
      </c>
      <c r="I441" s="96" t="b">
        <v>0</v>
      </c>
      <c r="J441" s="96" t="b">
        <v>0</v>
      </c>
      <c r="K441" s="96" t="b">
        <v>0</v>
      </c>
      <c r="L441" s="96" t="b">
        <v>0</v>
      </c>
    </row>
    <row r="442" spans="1:12" ht="15">
      <c r="A442" s="97" t="s">
        <v>2202</v>
      </c>
      <c r="B442" s="96" t="s">
        <v>2203</v>
      </c>
      <c r="C442" s="96">
        <v>3</v>
      </c>
      <c r="D442" s="118">
        <v>0</v>
      </c>
      <c r="E442" s="118">
        <v>1.2304489213782739</v>
      </c>
      <c r="F442" s="96" t="s">
        <v>2071</v>
      </c>
      <c r="G442" s="96" t="b">
        <v>0</v>
      </c>
      <c r="H442" s="96" t="b">
        <v>0</v>
      </c>
      <c r="I442" s="96" t="b">
        <v>0</v>
      </c>
      <c r="J442" s="96" t="b">
        <v>0</v>
      </c>
      <c r="K442" s="96" t="b">
        <v>0</v>
      </c>
      <c r="L442" s="96" t="b">
        <v>0</v>
      </c>
    </row>
    <row r="443" spans="1:12" ht="15">
      <c r="A443" s="97" t="s">
        <v>2203</v>
      </c>
      <c r="B443" s="96" t="s">
        <v>2204</v>
      </c>
      <c r="C443" s="96">
        <v>3</v>
      </c>
      <c r="D443" s="118">
        <v>0</v>
      </c>
      <c r="E443" s="118">
        <v>1.2304489213782739</v>
      </c>
      <c r="F443" s="96" t="s">
        <v>2071</v>
      </c>
      <c r="G443" s="96" t="b">
        <v>0</v>
      </c>
      <c r="H443" s="96" t="b">
        <v>0</v>
      </c>
      <c r="I443" s="96" t="b">
        <v>0</v>
      </c>
      <c r="J443" s="96" t="b">
        <v>0</v>
      </c>
      <c r="K443" s="96" t="b">
        <v>0</v>
      </c>
      <c r="L443" s="96" t="b">
        <v>0</v>
      </c>
    </row>
    <row r="444" spans="1:12" ht="15">
      <c r="A444" s="97" t="s">
        <v>2204</v>
      </c>
      <c r="B444" s="96" t="s">
        <v>2205</v>
      </c>
      <c r="C444" s="96">
        <v>3</v>
      </c>
      <c r="D444" s="118">
        <v>0</v>
      </c>
      <c r="E444" s="118">
        <v>1.2304489213782739</v>
      </c>
      <c r="F444" s="96" t="s">
        <v>2071</v>
      </c>
      <c r="G444" s="96" t="b">
        <v>0</v>
      </c>
      <c r="H444" s="96" t="b">
        <v>0</v>
      </c>
      <c r="I444" s="96" t="b">
        <v>0</v>
      </c>
      <c r="J444" s="96" t="b">
        <v>0</v>
      </c>
      <c r="K444" s="96" t="b">
        <v>0</v>
      </c>
      <c r="L444" s="96" t="b">
        <v>0</v>
      </c>
    </row>
    <row r="445" spans="1:12" ht="15">
      <c r="A445" s="97" t="s">
        <v>2205</v>
      </c>
      <c r="B445" s="96" t="s">
        <v>2206</v>
      </c>
      <c r="C445" s="96">
        <v>3</v>
      </c>
      <c r="D445" s="118">
        <v>0</v>
      </c>
      <c r="E445" s="118">
        <v>1.2304489213782739</v>
      </c>
      <c r="F445" s="96" t="s">
        <v>2071</v>
      </c>
      <c r="G445" s="96" t="b">
        <v>0</v>
      </c>
      <c r="H445" s="96" t="b">
        <v>0</v>
      </c>
      <c r="I445" s="96" t="b">
        <v>0</v>
      </c>
      <c r="J445" s="96" t="b">
        <v>0</v>
      </c>
      <c r="K445" s="96" t="b">
        <v>0</v>
      </c>
      <c r="L445" s="96" t="b">
        <v>0</v>
      </c>
    </row>
    <row r="446" spans="1:12" ht="15">
      <c r="A446" s="97" t="s">
        <v>2206</v>
      </c>
      <c r="B446" s="96" t="s">
        <v>2183</v>
      </c>
      <c r="C446" s="96">
        <v>3</v>
      </c>
      <c r="D446" s="118">
        <v>0</v>
      </c>
      <c r="E446" s="118">
        <v>1.2304489213782739</v>
      </c>
      <c r="F446" s="96" t="s">
        <v>2071</v>
      </c>
      <c r="G446" s="96" t="b">
        <v>0</v>
      </c>
      <c r="H446" s="96" t="b">
        <v>0</v>
      </c>
      <c r="I446" s="96" t="b">
        <v>0</v>
      </c>
      <c r="J446" s="96" t="b">
        <v>0</v>
      </c>
      <c r="K446" s="96" t="b">
        <v>0</v>
      </c>
      <c r="L446" s="96" t="b">
        <v>0</v>
      </c>
    </row>
    <row r="447" spans="1:12" ht="15">
      <c r="A447" s="97" t="s">
        <v>2183</v>
      </c>
      <c r="B447" s="96" t="s">
        <v>2207</v>
      </c>
      <c r="C447" s="96">
        <v>3</v>
      </c>
      <c r="D447" s="118">
        <v>0</v>
      </c>
      <c r="E447" s="118">
        <v>1.2304489213782739</v>
      </c>
      <c r="F447" s="96" t="s">
        <v>2071</v>
      </c>
      <c r="G447" s="96" t="b">
        <v>0</v>
      </c>
      <c r="H447" s="96" t="b">
        <v>0</v>
      </c>
      <c r="I447" s="96" t="b">
        <v>0</v>
      </c>
      <c r="J447" s="96" t="b">
        <v>0</v>
      </c>
      <c r="K447" s="96" t="b">
        <v>0</v>
      </c>
      <c r="L447" s="96" t="b">
        <v>0</v>
      </c>
    </row>
    <row r="448" spans="1:12" ht="15">
      <c r="A448" s="97" t="s">
        <v>2207</v>
      </c>
      <c r="B448" s="96" t="s">
        <v>2208</v>
      </c>
      <c r="C448" s="96">
        <v>3</v>
      </c>
      <c r="D448" s="118">
        <v>0</v>
      </c>
      <c r="E448" s="118">
        <v>1.2304489213782739</v>
      </c>
      <c r="F448" s="96" t="s">
        <v>2071</v>
      </c>
      <c r="G448" s="96" t="b">
        <v>0</v>
      </c>
      <c r="H448" s="96" t="b">
        <v>0</v>
      </c>
      <c r="I448" s="96" t="b">
        <v>0</v>
      </c>
      <c r="J448" s="96" t="b">
        <v>0</v>
      </c>
      <c r="K448" s="96" t="b">
        <v>0</v>
      </c>
      <c r="L448" s="96" t="b">
        <v>0</v>
      </c>
    </row>
    <row r="449" spans="1:12" ht="15">
      <c r="A449" s="97" t="s">
        <v>2124</v>
      </c>
      <c r="B449" s="96" t="s">
        <v>2245</v>
      </c>
      <c r="C449" s="96">
        <v>2</v>
      </c>
      <c r="D449" s="118">
        <v>0</v>
      </c>
      <c r="E449" s="118">
        <v>1.3222192947339193</v>
      </c>
      <c r="F449" s="96" t="s">
        <v>2076</v>
      </c>
      <c r="G449" s="96" t="b">
        <v>0</v>
      </c>
      <c r="H449" s="96" t="b">
        <v>0</v>
      </c>
      <c r="I449" s="96" t="b">
        <v>0</v>
      </c>
      <c r="J449" s="96" t="b">
        <v>0</v>
      </c>
      <c r="K449" s="96" t="b">
        <v>0</v>
      </c>
      <c r="L449" s="96" t="b">
        <v>0</v>
      </c>
    </row>
    <row r="450" spans="1:12" ht="15">
      <c r="A450" s="97" t="s">
        <v>2245</v>
      </c>
      <c r="B450" s="96" t="s">
        <v>2132</v>
      </c>
      <c r="C450" s="96">
        <v>2</v>
      </c>
      <c r="D450" s="118">
        <v>0</v>
      </c>
      <c r="E450" s="118">
        <v>1.3222192947339193</v>
      </c>
      <c r="F450" s="96" t="s">
        <v>2076</v>
      </c>
      <c r="G450" s="96" t="b">
        <v>0</v>
      </c>
      <c r="H450" s="96" t="b">
        <v>0</v>
      </c>
      <c r="I450" s="96" t="b">
        <v>0</v>
      </c>
      <c r="J450" s="96" t="b">
        <v>0</v>
      </c>
      <c r="K450" s="96" t="b">
        <v>0</v>
      </c>
      <c r="L450" s="96" t="b">
        <v>0</v>
      </c>
    </row>
    <row r="451" spans="1:12" ht="15">
      <c r="A451" s="97" t="s">
        <v>2132</v>
      </c>
      <c r="B451" s="96" t="s">
        <v>2246</v>
      </c>
      <c r="C451" s="96">
        <v>2</v>
      </c>
      <c r="D451" s="118">
        <v>0</v>
      </c>
      <c r="E451" s="118">
        <v>1.3222192947339193</v>
      </c>
      <c r="F451" s="96" t="s">
        <v>2076</v>
      </c>
      <c r="G451" s="96" t="b">
        <v>0</v>
      </c>
      <c r="H451" s="96" t="b">
        <v>0</v>
      </c>
      <c r="I451" s="96" t="b">
        <v>0</v>
      </c>
      <c r="J451" s="96" t="b">
        <v>0</v>
      </c>
      <c r="K451" s="96" t="b">
        <v>0</v>
      </c>
      <c r="L451" s="96" t="b">
        <v>0</v>
      </c>
    </row>
    <row r="452" spans="1:12" ht="15">
      <c r="A452" s="97" t="s">
        <v>2246</v>
      </c>
      <c r="B452" s="96" t="s">
        <v>2106</v>
      </c>
      <c r="C452" s="96">
        <v>2</v>
      </c>
      <c r="D452" s="118">
        <v>0</v>
      </c>
      <c r="E452" s="118">
        <v>1.3222192947339193</v>
      </c>
      <c r="F452" s="96" t="s">
        <v>2076</v>
      </c>
      <c r="G452" s="96" t="b">
        <v>0</v>
      </c>
      <c r="H452" s="96" t="b">
        <v>0</v>
      </c>
      <c r="I452" s="96" t="b">
        <v>0</v>
      </c>
      <c r="J452" s="96" t="b">
        <v>0</v>
      </c>
      <c r="K452" s="96" t="b">
        <v>0</v>
      </c>
      <c r="L452" s="96" t="b">
        <v>0</v>
      </c>
    </row>
    <row r="453" spans="1:12" ht="15">
      <c r="A453" s="97" t="s">
        <v>2106</v>
      </c>
      <c r="B453" s="96" t="s">
        <v>2107</v>
      </c>
      <c r="C453" s="96">
        <v>2</v>
      </c>
      <c r="D453" s="118">
        <v>0</v>
      </c>
      <c r="E453" s="118">
        <v>1.3222192947339193</v>
      </c>
      <c r="F453" s="96" t="s">
        <v>2076</v>
      </c>
      <c r="G453" s="96" t="b">
        <v>0</v>
      </c>
      <c r="H453" s="96" t="b">
        <v>0</v>
      </c>
      <c r="I453" s="96" t="b">
        <v>0</v>
      </c>
      <c r="J453" s="96" t="b">
        <v>0</v>
      </c>
      <c r="K453" s="96" t="b">
        <v>0</v>
      </c>
      <c r="L453" s="96" t="b">
        <v>0</v>
      </c>
    </row>
    <row r="454" spans="1:12" ht="15">
      <c r="A454" s="97" t="s">
        <v>2107</v>
      </c>
      <c r="B454" s="96" t="s">
        <v>2247</v>
      </c>
      <c r="C454" s="96">
        <v>2</v>
      </c>
      <c r="D454" s="118">
        <v>0</v>
      </c>
      <c r="E454" s="118">
        <v>1.3222192947339193</v>
      </c>
      <c r="F454" s="96" t="s">
        <v>2076</v>
      </c>
      <c r="G454" s="96" t="b">
        <v>0</v>
      </c>
      <c r="H454" s="96" t="b">
        <v>0</v>
      </c>
      <c r="I454" s="96" t="b">
        <v>0</v>
      </c>
      <c r="J454" s="96" t="b">
        <v>0</v>
      </c>
      <c r="K454" s="96" t="b">
        <v>0</v>
      </c>
      <c r="L454" s="96" t="b">
        <v>0</v>
      </c>
    </row>
    <row r="455" spans="1:12" ht="15">
      <c r="A455" s="97" t="s">
        <v>2247</v>
      </c>
      <c r="B455" s="96" t="s">
        <v>2157</v>
      </c>
      <c r="C455" s="96">
        <v>2</v>
      </c>
      <c r="D455" s="118">
        <v>0</v>
      </c>
      <c r="E455" s="118">
        <v>1.3222192947339193</v>
      </c>
      <c r="F455" s="96" t="s">
        <v>2076</v>
      </c>
      <c r="G455" s="96" t="b">
        <v>0</v>
      </c>
      <c r="H455" s="96" t="b">
        <v>0</v>
      </c>
      <c r="I455" s="96" t="b">
        <v>0</v>
      </c>
      <c r="J455" s="96" t="b">
        <v>0</v>
      </c>
      <c r="K455" s="96" t="b">
        <v>0</v>
      </c>
      <c r="L455" s="96" t="b">
        <v>0</v>
      </c>
    </row>
    <row r="456" spans="1:12" ht="15">
      <c r="A456" s="97" t="s">
        <v>2157</v>
      </c>
      <c r="B456" s="96" t="s">
        <v>2180</v>
      </c>
      <c r="C456" s="96">
        <v>2</v>
      </c>
      <c r="D456" s="118">
        <v>0</v>
      </c>
      <c r="E456" s="118">
        <v>1.3222192947339193</v>
      </c>
      <c r="F456" s="96" t="s">
        <v>2076</v>
      </c>
      <c r="G456" s="96" t="b">
        <v>0</v>
      </c>
      <c r="H456" s="96" t="b">
        <v>0</v>
      </c>
      <c r="I456" s="96" t="b">
        <v>0</v>
      </c>
      <c r="J456" s="96" t="b">
        <v>0</v>
      </c>
      <c r="K456" s="96" t="b">
        <v>0</v>
      </c>
      <c r="L456" s="96" t="b">
        <v>0</v>
      </c>
    </row>
    <row r="457" spans="1:12" ht="15">
      <c r="A457" s="97" t="s">
        <v>2180</v>
      </c>
      <c r="B457" s="96" t="s">
        <v>2248</v>
      </c>
      <c r="C457" s="96">
        <v>2</v>
      </c>
      <c r="D457" s="118">
        <v>0</v>
      </c>
      <c r="E457" s="118">
        <v>1.3222192947339193</v>
      </c>
      <c r="F457" s="96" t="s">
        <v>2076</v>
      </c>
      <c r="G457" s="96" t="b">
        <v>0</v>
      </c>
      <c r="H457" s="96" t="b">
        <v>0</v>
      </c>
      <c r="I457" s="96" t="b">
        <v>0</v>
      </c>
      <c r="J457" s="96" t="b">
        <v>0</v>
      </c>
      <c r="K457" s="96" t="b">
        <v>0</v>
      </c>
      <c r="L457" s="96" t="b">
        <v>0</v>
      </c>
    </row>
    <row r="458" spans="1:12" ht="15">
      <c r="A458" s="97" t="s">
        <v>2248</v>
      </c>
      <c r="B458" s="96" t="s">
        <v>2249</v>
      </c>
      <c r="C458" s="96">
        <v>2</v>
      </c>
      <c r="D458" s="118">
        <v>0</v>
      </c>
      <c r="E458" s="118">
        <v>1.3222192947339193</v>
      </c>
      <c r="F458" s="96" t="s">
        <v>2076</v>
      </c>
      <c r="G458" s="96" t="b">
        <v>0</v>
      </c>
      <c r="H458" s="96" t="b">
        <v>0</v>
      </c>
      <c r="I458" s="96" t="b">
        <v>0</v>
      </c>
      <c r="J458" s="96" t="b">
        <v>0</v>
      </c>
      <c r="K458" s="96" t="b">
        <v>0</v>
      </c>
      <c r="L458" s="96" t="b">
        <v>0</v>
      </c>
    </row>
    <row r="459" spans="1:12" ht="15">
      <c r="A459" s="97" t="s">
        <v>2249</v>
      </c>
      <c r="B459" s="96" t="s">
        <v>2133</v>
      </c>
      <c r="C459" s="96">
        <v>2</v>
      </c>
      <c r="D459" s="118">
        <v>0</v>
      </c>
      <c r="E459" s="118">
        <v>1.3222192947339193</v>
      </c>
      <c r="F459" s="96" t="s">
        <v>2076</v>
      </c>
      <c r="G459" s="96" t="b">
        <v>0</v>
      </c>
      <c r="H459" s="96" t="b">
        <v>0</v>
      </c>
      <c r="I459" s="96" t="b">
        <v>0</v>
      </c>
      <c r="J459" s="96" t="b">
        <v>0</v>
      </c>
      <c r="K459" s="96" t="b">
        <v>0</v>
      </c>
      <c r="L459" s="96" t="b">
        <v>0</v>
      </c>
    </row>
    <row r="460" spans="1:12" ht="15">
      <c r="A460" s="97" t="s">
        <v>2133</v>
      </c>
      <c r="B460" s="96" t="s">
        <v>2134</v>
      </c>
      <c r="C460" s="96">
        <v>2</v>
      </c>
      <c r="D460" s="118">
        <v>0</v>
      </c>
      <c r="E460" s="118">
        <v>1.3222192947339193</v>
      </c>
      <c r="F460" s="96" t="s">
        <v>2076</v>
      </c>
      <c r="G460" s="96" t="b">
        <v>0</v>
      </c>
      <c r="H460" s="96" t="b">
        <v>0</v>
      </c>
      <c r="I460" s="96" t="b">
        <v>0</v>
      </c>
      <c r="J460" s="96" t="b">
        <v>0</v>
      </c>
      <c r="K460" s="96" t="b">
        <v>0</v>
      </c>
      <c r="L460" s="96" t="b">
        <v>0</v>
      </c>
    </row>
    <row r="461" spans="1:12" ht="15">
      <c r="A461" s="97" t="s">
        <v>2134</v>
      </c>
      <c r="B461" s="96" t="s">
        <v>2135</v>
      </c>
      <c r="C461" s="96">
        <v>2</v>
      </c>
      <c r="D461" s="118">
        <v>0</v>
      </c>
      <c r="E461" s="118">
        <v>1.3222192947339193</v>
      </c>
      <c r="F461" s="96" t="s">
        <v>2076</v>
      </c>
      <c r="G461" s="96" t="b">
        <v>0</v>
      </c>
      <c r="H461" s="96" t="b">
        <v>0</v>
      </c>
      <c r="I461" s="96" t="b">
        <v>0</v>
      </c>
      <c r="J461" s="96" t="b">
        <v>0</v>
      </c>
      <c r="K461" s="96" t="b">
        <v>0</v>
      </c>
      <c r="L461" s="96" t="b">
        <v>0</v>
      </c>
    </row>
    <row r="462" spans="1:12" ht="15">
      <c r="A462" s="97" t="s">
        <v>2135</v>
      </c>
      <c r="B462" s="96" t="s">
        <v>2136</v>
      </c>
      <c r="C462" s="96">
        <v>2</v>
      </c>
      <c r="D462" s="118">
        <v>0</v>
      </c>
      <c r="E462" s="118">
        <v>1.3222192947339193</v>
      </c>
      <c r="F462" s="96" t="s">
        <v>2076</v>
      </c>
      <c r="G462" s="96" t="b">
        <v>0</v>
      </c>
      <c r="H462" s="96" t="b">
        <v>0</v>
      </c>
      <c r="I462" s="96" t="b">
        <v>0</v>
      </c>
      <c r="J462" s="96" t="b">
        <v>0</v>
      </c>
      <c r="K462" s="96" t="b">
        <v>0</v>
      </c>
      <c r="L462" s="96" t="b">
        <v>0</v>
      </c>
    </row>
    <row r="463" spans="1:12" ht="15">
      <c r="A463" s="97" t="s">
        <v>2136</v>
      </c>
      <c r="B463" s="96" t="s">
        <v>2137</v>
      </c>
      <c r="C463" s="96">
        <v>2</v>
      </c>
      <c r="D463" s="118">
        <v>0</v>
      </c>
      <c r="E463" s="118">
        <v>1.3222192947339193</v>
      </c>
      <c r="F463" s="96" t="s">
        <v>2076</v>
      </c>
      <c r="G463" s="96" t="b">
        <v>0</v>
      </c>
      <c r="H463" s="96" t="b">
        <v>0</v>
      </c>
      <c r="I463" s="96" t="b">
        <v>0</v>
      </c>
      <c r="J463" s="96" t="b">
        <v>0</v>
      </c>
      <c r="K463" s="96" t="b">
        <v>0</v>
      </c>
      <c r="L463" s="96" t="b">
        <v>0</v>
      </c>
    </row>
    <row r="464" spans="1:12" ht="15">
      <c r="A464" s="97" t="s">
        <v>2137</v>
      </c>
      <c r="B464" s="96" t="s">
        <v>2191</v>
      </c>
      <c r="C464" s="96">
        <v>2</v>
      </c>
      <c r="D464" s="118">
        <v>0</v>
      </c>
      <c r="E464" s="118">
        <v>1.3222192947339193</v>
      </c>
      <c r="F464" s="96" t="s">
        <v>2076</v>
      </c>
      <c r="G464" s="96" t="b">
        <v>0</v>
      </c>
      <c r="H464" s="96" t="b">
        <v>0</v>
      </c>
      <c r="I464" s="96" t="b">
        <v>0</v>
      </c>
      <c r="J464" s="96" t="b">
        <v>0</v>
      </c>
      <c r="K464" s="96" t="b">
        <v>0</v>
      </c>
      <c r="L464" s="96" t="b">
        <v>0</v>
      </c>
    </row>
    <row r="465" spans="1:12" ht="15">
      <c r="A465" s="97" t="s">
        <v>2191</v>
      </c>
      <c r="B465" s="96" t="s">
        <v>2250</v>
      </c>
      <c r="C465" s="96">
        <v>2</v>
      </c>
      <c r="D465" s="118">
        <v>0</v>
      </c>
      <c r="E465" s="118">
        <v>1.3222192947339193</v>
      </c>
      <c r="F465" s="96" t="s">
        <v>2076</v>
      </c>
      <c r="G465" s="96" t="b">
        <v>0</v>
      </c>
      <c r="H465" s="96" t="b">
        <v>0</v>
      </c>
      <c r="I465" s="96" t="b">
        <v>0</v>
      </c>
      <c r="J465" s="96" t="b">
        <v>0</v>
      </c>
      <c r="K465" s="96" t="b">
        <v>0</v>
      </c>
      <c r="L465" s="96" t="b">
        <v>0</v>
      </c>
    </row>
    <row r="466" spans="1:12" ht="15">
      <c r="A466" s="97" t="s">
        <v>2250</v>
      </c>
      <c r="B466" s="96" t="s">
        <v>2192</v>
      </c>
      <c r="C466" s="96">
        <v>2</v>
      </c>
      <c r="D466" s="118">
        <v>0</v>
      </c>
      <c r="E466" s="118">
        <v>1.3222192947339193</v>
      </c>
      <c r="F466" s="96" t="s">
        <v>2076</v>
      </c>
      <c r="G466" s="96" t="b">
        <v>0</v>
      </c>
      <c r="H466" s="96" t="b">
        <v>0</v>
      </c>
      <c r="I466" s="96" t="b">
        <v>0</v>
      </c>
      <c r="J466" s="96" t="b">
        <v>0</v>
      </c>
      <c r="K466" s="96" t="b">
        <v>0</v>
      </c>
      <c r="L466" s="96" t="b">
        <v>0</v>
      </c>
    </row>
    <row r="467" spans="1:12" ht="15">
      <c r="A467" s="97" t="s">
        <v>2192</v>
      </c>
      <c r="B467" s="96" t="s">
        <v>2251</v>
      </c>
      <c r="C467" s="96">
        <v>2</v>
      </c>
      <c r="D467" s="118">
        <v>0</v>
      </c>
      <c r="E467" s="118">
        <v>1.3222192947339193</v>
      </c>
      <c r="F467" s="96" t="s">
        <v>2076</v>
      </c>
      <c r="G467" s="96" t="b">
        <v>0</v>
      </c>
      <c r="H467" s="96" t="b">
        <v>0</v>
      </c>
      <c r="I467" s="96" t="b">
        <v>0</v>
      </c>
      <c r="J467" s="96" t="b">
        <v>0</v>
      </c>
      <c r="K467" s="96" t="b">
        <v>0</v>
      </c>
      <c r="L467" s="96" t="b">
        <v>0</v>
      </c>
    </row>
    <row r="468" spans="1:12" ht="15">
      <c r="A468" s="97" t="s">
        <v>2251</v>
      </c>
      <c r="B468" s="96" t="s">
        <v>2252</v>
      </c>
      <c r="C468" s="96">
        <v>2</v>
      </c>
      <c r="D468" s="118">
        <v>0</v>
      </c>
      <c r="E468" s="118">
        <v>1.3222192947339193</v>
      </c>
      <c r="F468" s="96" t="s">
        <v>2076</v>
      </c>
      <c r="G468" s="96" t="b">
        <v>0</v>
      </c>
      <c r="H468" s="96" t="b">
        <v>0</v>
      </c>
      <c r="I468" s="96" t="b">
        <v>0</v>
      </c>
      <c r="J468" s="96" t="b">
        <v>0</v>
      </c>
      <c r="K468" s="96" t="b">
        <v>0</v>
      </c>
      <c r="L468" s="96" t="b">
        <v>0</v>
      </c>
    </row>
    <row r="469" spans="1:12" ht="15">
      <c r="A469" s="97" t="s">
        <v>2252</v>
      </c>
      <c r="B469" s="96" t="s">
        <v>2253</v>
      </c>
      <c r="C469" s="96">
        <v>2</v>
      </c>
      <c r="D469" s="118">
        <v>0</v>
      </c>
      <c r="E469" s="118">
        <v>1.3222192947339193</v>
      </c>
      <c r="F469" s="96" t="s">
        <v>2076</v>
      </c>
      <c r="G469" s="96" t="b">
        <v>0</v>
      </c>
      <c r="H469" s="96" t="b">
        <v>0</v>
      </c>
      <c r="I469" s="96" t="b">
        <v>0</v>
      </c>
      <c r="J469" s="96" t="b">
        <v>0</v>
      </c>
      <c r="K469" s="96" t="b">
        <v>0</v>
      </c>
      <c r="L469"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2022-01-17T16:06:31Z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