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drawings/drawing2.xml" ContentType="application/vnd.openxmlformats-officedocument.drawing+xml"/>
  <Override PartName="/xl/worksheets/sheet9.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3" activeTab="8"/>
  </bookViews>
  <sheets>
    <sheet name="Edges" sheetId="1" r:id="rId1"/>
    <sheet name="Vertices" sheetId="3" r:id="rId2"/>
    <sheet name="Do Not Delete" sheetId="4" state="hidden" r:id="rId3"/>
    <sheet name="Groups" sheetId="5" r:id="rId4"/>
    <sheet name="Group Vertices" sheetId="6" r:id="rId5"/>
    <sheet name="Overall Metrics" sheetId="7" r:id="rId6"/>
    <sheet name="Time Series Edges" sheetId="8" state="hidden" r:id="rId7"/>
    <sheet name="Misc" sheetId="2" state="hidden" r:id="rId8"/>
    <sheet name="Time Series" sheetId="9" r:id="rId9"/>
  </sheets>
  <definedNames>
    <definedName name="BinDivisor">'Overall Metrics'!$X$2</definedName>
    <definedName name="DynamicFilterColumnName" localSheetId="6">#REF!</definedName>
    <definedName name="DynamicFilterColumnName">#REF!</definedName>
    <definedName name="DynamicFilterForceCalculationRange" localSheetId="6">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6">#REF!</definedName>
    <definedName name="DynamicFilterTableName">#REF!</definedName>
    <definedName name="LOCAL_MYSQL_DATE_FORMAT" localSheetId="6"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0"/>
  </pivotCaches>
  <extLst>
    <ext xmlns:x14="http://schemas.microsoft.com/office/spreadsheetml/2009/9/main" uri="{BBE1A952-AA13-448e-AADC-164F8A28A991}">
      <x14:slicerCaches>
        <x14:slicerCache r:id="rId14"/>
        <x14:slicerCache r:id="rId15"/>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comments7.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sharedStrings.xml><?xml version="1.0" encoding="utf-8"?>
<sst xmlns="http://schemas.openxmlformats.org/spreadsheetml/2006/main" count="391" uniqueCount="286">
  <si>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</si>
  <si>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</si>
  <si>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</si>
  <si>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</si>
  <si>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</si>
  <si>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</si>
  <si>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</si>
  <si>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</si>
  <si>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</si>
  <si>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</si>
  <si>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</si>
  <si>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</si>
  <si>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</si>
  <si>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</si>
  <si>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</si>
  <si>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</si>
  <si>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</si>
  <si>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</si>
  <si>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</si>
  <si>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</si>
  <si>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</si>
  <si>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</si>
  <si>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</si>
  <si>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</si>
  <si>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</si>
  <si>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</si>
  <si>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</si>
  <si>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</si>
  <si>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</si>
  <si>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</si>
  <si>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</si>
  <si>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</si>
  <si>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</si>
  <si>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</si>
  <si>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</si>
  <si>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</si>
  <si>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</si>
  <si>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</si>
  <si>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</si>
  <si>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</si>
  <si>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</si>
  <si>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</si>
  <si>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</si>
  <si>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</si>
  <si>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</si>
  <si>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</si>
  <si>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</si>
  <si>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</si>
  <si>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</si>
  <si>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</si>
  <si>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</si>
  <si>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</si>
  <si>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</si>
  <si>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</si>
  <si>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</si>
  <si>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</si>
  <si>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</si>
  <si>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</si>
  <si>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</si>
  <si>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</si>
  <si>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</si>
  <si>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</si>
  <si>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</si>
  <si>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</si>
  <si>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</si>
  <si>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</si>
  <si>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</si>
  <si>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</si>
  <si>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</si>
  <si>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</si>
  <si>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</si>
  <si>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</si>
  <si>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</si>
  <si>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</si>
  <si>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</si>
  <si>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</si>
  <si>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</si>
  <si>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</si>
  <si>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</si>
  <si>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</si>
  <si>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</si>
  <si>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</si>
  <si>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</si>
  <si>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</si>
  <si>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</si>
  <si>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</si>
  <si>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</si>
  <si>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</si>
  <si>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</si>
  <si>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</si>
  <si>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</si>
  <si>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</si>
  <si>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</si>
  <si>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</si>
  <si>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</si>
  <si>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</si>
  <si>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</si>
  <si>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</si>
  <si>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</si>
  <si>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</si>
  <si>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</si>
  <si>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</si>
  <si>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</si>
  <si>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</si>
  <si>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</si>
  <si>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</si>
  <si>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</si>
  <si>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</si>
  <si>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</si>
  <si>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</si>
  <si>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</si>
  <si>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</si>
  <si>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</si>
  <si>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</si>
  <si>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</si>
  <si>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</si>
  <si>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</si>
  <si>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</si>
  <si>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</si>
  <si>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</si>
  <si>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</si>
  <si>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</si>
  <si>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</si>
  <si>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</si>
  <si>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</si>
  <si>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</si>
  <si>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</si>
  <si>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</si>
  <si>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</si>
  <si>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</si>
  <si>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</si>
  <si>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</si>
  <si>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</si>
  <si>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</si>
  <si>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</si>
  <si>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</si>
  <si>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</si>
  <si>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</si>
  <si>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</si>
  <si>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</si>
  <si>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</si>
  <si>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</si>
  <si>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</si>
  <si>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</si>
  <si>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</si>
  <si>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</si>
  <si>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</si>
  <si>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</si>
  <si>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</si>
  <si>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</si>
  <si>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</si>
  <si>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</si>
  <si>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</si>
  <si>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</si>
  <si>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</si>
  <si>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</si>
  <si>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</si>
  <si>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</si>
  <si>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</si>
  <si>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</si>
  <si>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</si>
  <si>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</si>
  <si>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</si>
  <si>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</si>
  <si>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</si>
  <si>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</si>
  <si>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</si>
  <si>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</si>
  <si>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</si>
  <si>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</si>
  <si>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</si>
  <si>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</si>
  <si>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</si>
  <si>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</si>
  <si>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</si>
  <si>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</si>
  <si>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</si>
  <si>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</si>
  <si>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</si>
  <si>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</si>
  <si>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</si>
  <si>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</si>
  <si>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</si>
  <si>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</si>
  <si>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</si>
  <si>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</si>
  <si>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</si>
  <si>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</si>
  <si>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</si>
  <si>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</si>
  <si>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</si>
  <si>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</si>
  <si>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</si>
  <si>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</si>
  <si>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</si>
  <si>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</si>
  <si>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</si>
  <si>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</si>
  <si>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</si>
  <si>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</si>
  <si>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</si>
  <si>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</si>
  <si>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</si>
  <si>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</si>
  <si>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</si>
  <si>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</si>
  <si>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</si>
  <si>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</si>
  <si>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</si>
  <si>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</si>
  <si>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</si>
  <si>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</si>
  <si>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</si>
  <si>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</si>
  <si>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</si>
  <si>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</si>
  <si>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</si>
  <si>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</si>
  <si>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</si>
  <si>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</si>
  <si>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</si>
  <si>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</si>
  <si>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</si>
  <si>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</si>
  <si>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</si>
  <si>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</si>
  <si>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</si>
  <si>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</si>
  <si>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</si>
  <si>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</si>
  <si>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</si>
  <si>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</si>
  <si>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</si>
  <si>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</si>
  <si>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</si>
  <si>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</si>
  <si>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</si>
  <si>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</si>
  <si>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</si>
  <si>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</si>
  <si>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</si>
  <si>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</si>
  <si>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</si>
  <si>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&lt;value&gt;jeremy.lipschultz@gmail.com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t>
  </si>
  <si>
    <t>Workbook Settings 5</t>
  </si>
  <si>
    <t>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t>
  </si>
  <si>
    <t>Workbook Settings 6</t>
  </si>
  <si>
    <t>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t>
  </si>
  <si>
    <t>Workbook Settings 7</t>
  </si>
  <si>
    <t>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t>
  </si>
  <si>
    <t>Workbook Settings 8</t>
  </si>
  <si>
    <t xml:space="preserve">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t>
  </si>
  <si>
    <t>Workbook Settings 9</t>
  </si>
  <si>
    <t>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t>
  </si>
  <si>
    <t>Workbook Settings 10</t>
  </si>
  <si>
    <t xml:space="preserve">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t>
  </si>
  <si>
    <t>Workbook Settings 11</t>
  </si>
  <si>
    <t>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t>
  </si>
  <si>
    <t>Workbook Settings 12</t>
  </si>
  <si>
    <t>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t>
  </si>
  <si>
    <t>Workbook Settings 13</t>
  </si>
  <si>
    <t>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t>
  </si>
  <si>
    <t>Workbook Settings 14</t>
  </si>
  <si>
    <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t>
  </si>
  <si>
    <t>Workbook Settings 15</t>
  </si>
  <si>
    <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t>
  </si>
  <si>
    <t>Workbook Settings 16</t>
  </si>
  <si>
    <t>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t>
  </si>
  <si>
    <t>Workbook Settings 17</t>
  </si>
  <si>
    <t xml:space="preserve">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</si>
  <si>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</si>
  <si>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</si>
  <si>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</si>
  <si>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</si>
  <si>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Vertex Group</t>
  </si>
  <si>
    <t>Vertex 1 Group</t>
  </si>
  <si>
    <t>Vertex 2 Group</t>
  </si>
  <si>
    <t>Top URLs in Tweet</t>
  </si>
  <si>
    <t>Count of Tweet Date (UTC)</t>
  </si>
  <si>
    <t>Row Labels</t>
  </si>
  <si>
    <t>(blank)</t>
  </si>
  <si>
    <t>Grand Total</t>
  </si>
  <si>
    <t>Autofill Workbook Results</t>
  </si>
  <si>
    <t>▓0▓0▓0▓True▓Black▓Black▓▓▓0▓0▓0▓0▓0▓False▓▓0▓0▓0▓0▓0▓False▓▓0▓0▓0▓True▓Black▓Black▓▓▓0▓0▓0▓0▓0▓False▓▓0▓0▓0▓0▓0▓False▓▓0▓0▓0▓0▓0▓False▓▓0▓0▓0▓0▓0▓False</t>
  </si>
  <si>
    <t>GraphSource░GraphServerTwitterSearch▓GraphTerm░#AEJMC22▓ImportDescription░The graph represents a network of 0 Twitter users whose tweets in the requested range contained "#AEJMC22", or who was replied to or mentioned in those tweets.  The network was obtained from the NodeXL Graph Server on Tuesday, 18 January 2022 at 08:29 UTC.
The requested start date was Tuesday, 18 January 2022 at 01:01 UTC and the maximum number of days (going backward) was 14.
The maximum number of tweets collected was 7,500.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</si>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</sst>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General"/>
    <numFmt numFmtId="178" formatCode="@"/>
    <numFmt numFmtId="179" formatCode="0"/>
    <numFmt numFmtId="180" formatCode="#,##0.00"/>
  </numFmts>
  <fonts count="11">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cellStyleXfs>
  <cellXfs count="86">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167" fontId="0" fillId="4" borderId="1" xfId="24" applyNumberFormat="1" applyFon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0" fontId="0" fillId="4" borderId="11" xfId="24" applyNumberFormat="1" applyBorder="1" applyAlignment="1">
      <alignment/>
    </xf>
    <xf numFmtId="49" fontId="0" fillId="0" borderId="0" xfId="0" applyNumberFormat="1" applyAlignment="1">
      <alignment/>
    </xf>
    <xf numFmtId="49" fontId="0" fillId="0" borderId="0" xfId="22" applyNumberFormat="1" applyFont="1" applyAlignment="1">
      <alignment/>
    </xf>
    <xf numFmtId="0" fontId="0" fillId="0" borderId="0" xfId="0" applyAlignment="1">
      <alignment/>
    </xf>
    <xf numFmtId="0" fontId="0" fillId="3" borderId="1" xfId="23" applyNumberFormat="1" applyFont="1" applyAlignment="1">
      <alignment/>
    </xf>
    <xf numFmtId="49" fontId="6" fillId="5" borderId="1" xfId="25" applyNumberFormat="1" applyAlignment="1">
      <alignment/>
    </xf>
    <xf numFmtId="0" fontId="0" fillId="0" borderId="0" xfId="0"/>
    <xf numFmtId="0" fontId="0" fillId="0" borderId="0" xfId="0" applyAlignment="1">
      <alignment horizontal="left"/>
    </xf>
  </cellXfs>
  <cellStyles count="14">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s>
  <dxfs count="224">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7" formatCode="General"/>
      <alignment horizontal="general" vertical="bottom" textRotation="0" wrapText="1" shrinkToFit="1" readingOrder="0"/>
    </dxf>
    <dxf>
      <numFmt numFmtId="179" formatCode="0"/>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64" formatCode="0.0"/>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dxf>
    <dxf>
      <numFmt numFmtId="177"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7" formatCode="General"/>
    </dxf>
    <dxf>
      <numFmt numFmtId="180" formatCode="#,##0.00"/>
    </dxf>
    <dxf>
      <alignment horizontal="general" vertical="bottom" textRotation="0" wrapText="1" shrinkToFit="1" readingOrder="0"/>
    </dxf>
    <dxf>
      <alignment horizontal="general" vertical="bottom" textRotation="0" wrapText="1" shrinkToFit="1" readingOrder="0"/>
    </dxf>
    <dxf>
      <numFmt numFmtId="178" formatCode="@"/>
    </dxf>
    <dxf>
      <numFmt numFmtId="178" formatCode="@"/>
    </dxf>
    <dxf>
      <numFmt numFmtId="167" formatCode="0.00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7" formatCode="General"/>
    </dxf>
    <dxf>
      <font>
        <b val="0"/>
        <i val="0"/>
        <u val="none"/>
        <strike val="0"/>
        <sz val="11"/>
        <name val="Calibri"/>
        <color theme="1"/>
        <condense val="0"/>
        <extend val="0"/>
      </font>
      <numFmt numFmtId="177" formatCode="General"/>
    </dxf>
    <dxf>
      <numFmt numFmtId="178" formatCode="@"/>
    </dxf>
    <dxf>
      <font>
        <b val="0"/>
        <i val="0"/>
        <u val="none"/>
        <strike val="0"/>
        <sz val="11"/>
        <name val="Calibri"/>
        <color theme="1"/>
        <condense val="0"/>
        <extend val="0"/>
      </font>
      <numFmt numFmtId="177" formatCode="General"/>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dxf>
    <dxf>
      <numFmt numFmtId="177" formatCode="General"/>
    </dxf>
    <dxf>
      <numFmt numFmtId="177" formatCode="General"/>
    </dxf>
    <dxf>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numFmt numFmtId="166" formatCode="#,##0.000"/>
    </dxf>
    <dxf>
      <numFmt numFmtId="166" formatCode="#,##0.000"/>
    </dxf>
    <dxf>
      <numFmt numFmtId="177" formatCode="General"/>
    </dxf>
    <dxf>
      <numFmt numFmtId="165" formatCode="#,##0.0"/>
    </dxf>
    <dxf>
      <numFmt numFmtId="165" formatCode="#,##0.0"/>
    </dxf>
    <dxf>
      <numFmt numFmtId="164" formatCode="0.0"/>
      <border>
        <left style="thin">
          <color theme="0"/>
        </left>
      </border>
    </dxf>
    <dxf>
      <numFmt numFmtId="178" formatCode="@"/>
      <alignment horizontal="general" vertical="bottom" textRotation="0" wrapText="1" shrinkToFit="1" readingOrder="0"/>
    </dxf>
    <dxf>
      <numFmt numFmtId="177" formatCode="General"/>
      <border>
        <right style="thin">
          <color theme="0"/>
        </right>
      </border>
    </dxf>
    <dxf>
      <numFmt numFmtId="177" formatCode="General"/>
    </dxf>
    <dxf>
      <numFmt numFmtId="178" formatCode="@"/>
    </dxf>
    <dxf>
      <numFmt numFmtId="177" formatCode="General"/>
      <border>
        <left style="thin">
          <color theme="0"/>
        </left>
      </border>
    </dxf>
    <dxf>
      <numFmt numFmtId="177" formatCode="General"/>
      <alignment horizontal="general" vertical="bottom" textRotation="0" wrapText="1" shrinkToFit="1" readingOrder="0"/>
    </dxf>
    <dxf>
      <numFmt numFmtId="179" formatCode="0"/>
      <border>
        <right style="thin">
          <color theme="0"/>
        </right>
      </border>
    </dxf>
    <dxf>
      <numFmt numFmtId="164" formatCode="0.0"/>
    </dxf>
    <dxf>
      <numFmt numFmtId="177" formatCode="General"/>
    </dxf>
    <dxf>
      <numFmt numFmtId="177" formatCode="General"/>
    </dxf>
    <dxf>
      <numFmt numFmtId="178" formatCode="@"/>
    </dxf>
    <dxf>
      <numFmt numFmtId="178" formatCode="@"/>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7" formatCode="General"/>
      <alignment horizontal="general" vertical="bottom" textRotation="0" wrapText="1" shrinkToFit="1" readingOrder="0"/>
    </dxf>
    <dxf>
      <numFmt numFmtId="179" formatCode="0"/>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64" formatCode="0.0"/>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223"/>
      <tableStyleElement type="headerRow" dxfId="222"/>
    </tableStyle>
    <tableStyle name="NodeXL Table" pivot="0" count="1">
      <tableStyleElement type="headerRow" dxfId="22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pivotCacheDefinition" Target="pivotCache/pivotCacheDefinition1.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customXml" Target="../customXml/item1.xml" /><Relationship Id="rId14" Type="http://schemas.microsoft.com/office/2007/relationships/slicerCache" Target="/xl/slicerCaches/slicerCache1.xml" /><Relationship Id="rId15" Type="http://schemas.microsoft.com/office/2007/relationships/slicerCache" Target="/xl/slicerCaches/slicerCache2.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9396011"/>
        <c:axId val="41910916"/>
      </c:barChart>
      <c:catAx>
        <c:axId val="49396011"/>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1910916"/>
        <c:crosses val="autoZero"/>
        <c:auto val="1"/>
        <c:lblOffset val="100"/>
        <c:noMultiLvlLbl val="0"/>
      </c:catAx>
      <c:valAx>
        <c:axId val="4191091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39601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#AEJMC22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Series'!$A$26:$A$27</c:f>
              <c:strCache>
                <c:ptCount val="1"/>
                <c:pt idx="0">
                  <c:v>(blank)</c:v>
                </c:pt>
              </c:strCache>
            </c:strRef>
          </c:cat>
          <c:val>
            <c:numRef>
              <c:f>'Time Series'!$B$26:$B$27</c:f>
              <c:numCache/>
            </c:numRef>
          </c:val>
        </c:ser>
        <c:axId val="6072053"/>
        <c:axId val="54648478"/>
      </c:barChart>
      <c:catAx>
        <c:axId val="6072053"/>
        <c:scaling>
          <c:orientation val="minMax"/>
        </c:scaling>
        <c:axPos val="b"/>
        <c:delete val="0"/>
        <c:numFmt formatCode="General" sourceLinked="1"/>
        <c:majorTickMark val="out"/>
        <c:minorTickMark val="none"/>
        <c:tickLblPos val="nextTo"/>
        <c:crossAx val="54648478"/>
        <c:crosses val="autoZero"/>
        <c:auto val="1"/>
        <c:lblOffset val="100"/>
        <c:noMultiLvlLbl val="0"/>
      </c:catAx>
      <c:valAx>
        <c:axId val="54648478"/>
        <c:scaling>
          <c:orientation val="minMax"/>
        </c:scaling>
        <c:axPos val="l"/>
        <c:majorGridlines/>
        <c:delete val="0"/>
        <c:numFmt formatCode="General" sourceLinked="1"/>
        <c:majorTickMark val="out"/>
        <c:minorTickMark val="none"/>
        <c:tickLblPos val="nextTo"/>
        <c:crossAx val="6072053"/>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41653925"/>
        <c:axId val="39341006"/>
      </c:barChart>
      <c:catAx>
        <c:axId val="41653925"/>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9341006"/>
        <c:crosses val="autoZero"/>
        <c:auto val="1"/>
        <c:lblOffset val="100"/>
        <c:noMultiLvlLbl val="0"/>
      </c:catAx>
      <c:valAx>
        <c:axId val="3934100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65392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18524735"/>
        <c:axId val="32504888"/>
      </c:barChart>
      <c:catAx>
        <c:axId val="18524735"/>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2504888"/>
        <c:crosses val="autoZero"/>
        <c:auto val="1"/>
        <c:lblOffset val="100"/>
        <c:noMultiLvlLbl val="0"/>
      </c:catAx>
      <c:valAx>
        <c:axId val="3250488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52473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24108537"/>
        <c:axId val="15650242"/>
      </c:barChart>
      <c:catAx>
        <c:axId val="24108537"/>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5650242"/>
        <c:crosses val="autoZero"/>
        <c:auto val="1"/>
        <c:lblOffset val="100"/>
        <c:noMultiLvlLbl val="0"/>
      </c:catAx>
      <c:valAx>
        <c:axId val="1565024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10853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6634451"/>
        <c:axId val="59710060"/>
      </c:barChart>
      <c:catAx>
        <c:axId val="6634451"/>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9710060"/>
        <c:crosses val="autoZero"/>
        <c:auto val="1"/>
        <c:lblOffset val="100"/>
        <c:noMultiLvlLbl val="0"/>
      </c:catAx>
      <c:valAx>
        <c:axId val="5971006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3445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519629"/>
        <c:axId val="4676662"/>
      </c:barChart>
      <c:catAx>
        <c:axId val="519629"/>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676662"/>
        <c:crosses val="autoZero"/>
        <c:auto val="1"/>
        <c:lblOffset val="100"/>
        <c:noMultiLvlLbl val="0"/>
      </c:catAx>
      <c:valAx>
        <c:axId val="467666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962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2089959"/>
        <c:axId val="43265312"/>
      </c:barChart>
      <c:catAx>
        <c:axId val="42089959"/>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3265312"/>
        <c:crosses val="autoZero"/>
        <c:auto val="1"/>
        <c:lblOffset val="100"/>
        <c:noMultiLvlLbl val="0"/>
      </c:catAx>
      <c:valAx>
        <c:axId val="4326531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08995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3843489"/>
        <c:axId val="14829354"/>
      </c:barChart>
      <c:catAx>
        <c:axId val="53843489"/>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4829354"/>
        <c:crosses val="autoZero"/>
        <c:auto val="1"/>
        <c:lblOffset val="100"/>
        <c:noMultiLvlLbl val="0"/>
      </c:catAx>
      <c:valAx>
        <c:axId val="1482935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84348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66355323"/>
        <c:axId val="60326996"/>
      </c:barChart>
      <c:catAx>
        <c:axId val="66355323"/>
        <c:scaling>
          <c:orientation val="minMax"/>
        </c:scaling>
        <c:axPos val="b"/>
        <c:delete val="1"/>
        <c:majorTickMark val="out"/>
        <c:minorTickMark val="none"/>
        <c:tickLblPos val="none"/>
        <c:crossAx val="60326996"/>
        <c:crosses val="autoZero"/>
        <c:auto val="1"/>
        <c:lblOffset val="100"/>
        <c:noMultiLvlLbl val="0"/>
      </c:catAx>
      <c:valAx>
        <c:axId val="60326996"/>
        <c:scaling>
          <c:orientation val="minMax"/>
        </c:scaling>
        <c:axPos val="l"/>
        <c:delete val="1"/>
        <c:majorTickMark val="out"/>
        <c:minorTickMark val="none"/>
        <c:tickLblPos val="none"/>
        <c:crossAx val="66355323"/>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1096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3763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16421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19069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1745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4412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29737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27060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428625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190500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 refreshedBy="Marc" refreshedVersion="5">
  <cacheSource type="worksheet">
    <worksheetSource ref="A2:BE3" sheet="Time Series Edges"/>
  </cacheSource>
  <cacheFields count="57">
    <cacheField name="Vertex 1" numFmtId="49">
      <sharedItems containsString="0" containsBlank="1" containsMixedTypes="1" count="0"/>
    </cacheField>
    <cacheField name="Vertex 2" numFmtId="49">
      <sharedItems containsString="0" containsBlank="1" containsMixedTypes="1"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String="0" containsBlank="1" containsMixedTypes="1"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String="0" containsBlank="1" count="1">
        <m/>
      </sharedItems>
    </cacheField>
    <cacheField name="Relationship Date (UTC)">
      <sharedItems containsString="0" containsBlank="1" containsMixedTypes="1" count="0"/>
    </cacheField>
    <cacheField name="Tweet">
      <sharedItems containsString="0" containsBlank="1" containsMixedTypes="1" count="0"/>
    </cacheField>
    <cacheField name="URLs in Tweet">
      <sharedItems containsString="0" containsBlank="1" containsMixedTypes="1" count="0"/>
    </cacheField>
    <cacheField name="Domains in Tweet">
      <sharedItems containsString="0" containsBlank="1" containsMixedTypes="1" count="0"/>
    </cacheField>
    <cacheField name="Hashtags in Tweet">
      <sharedItems containsString="0" containsBlank="1" count="1">
        <m/>
      </sharedItems>
    </cacheField>
    <cacheField name="Media in Tweet">
      <sharedItems containsString="0" containsBlank="1" containsMixedTypes="1" count="0"/>
    </cacheField>
    <cacheField name="Tweet Image File">
      <sharedItems containsString="0" containsBlank="1" containsMixedTypes="1" count="0"/>
    </cacheField>
    <cacheField name="Tweet Date (UTC)">
      <sharedItems containsString="0" containsBlank="1" count="1">
        <m/>
      </sharedItems>
    </cacheField>
    <cacheField name="Date">
      <sharedItems containsString="0" containsBlank="1" containsMixedTypes="1" count="0"/>
    </cacheField>
    <cacheField name="Time">
      <sharedItems containsString="0" containsBlank="1" containsMixedTypes="1" count="0"/>
    </cacheField>
    <cacheField name="Twitter Page for Tweet">
      <sharedItems containsString="0" containsBlank="1" containsMixedTypes="1" count="0"/>
    </cacheField>
    <cacheField name="Latitude">
      <sharedItems containsString="0" containsBlank="1" containsMixedTypes="1" count="0"/>
    </cacheField>
    <cacheField name="Longitude">
      <sharedItems containsString="0" containsBlank="1" containsMixedTypes="1" count="0"/>
    </cacheField>
    <cacheField name="Imported ID">
      <sharedItems containsString="0" containsBlank="1" containsMixedTypes="1" count="0"/>
    </cacheField>
    <cacheField name="In-Reply-To Tweet ID">
      <sharedItems containsString="0" containsBlank="1" containsMixedTypes="1" count="0"/>
    </cacheField>
    <cacheField name="Favorited">
      <sharedItems containsString="0" containsBlank="1" containsMixedTypes="1" count="0"/>
    </cacheField>
    <cacheField name="Favorite Count">
      <sharedItems containsString="0" containsBlank="1" containsMixedTypes="1" count="0"/>
    </cacheField>
    <cacheField name="In-Reply-To User ID">
      <sharedItems containsString="0" containsBlank="1" containsMixedTypes="1" count="0"/>
    </cacheField>
    <cacheField name="Is Quote Status">
      <sharedItems containsString="0" containsBlank="1" containsMixedTypes="1" count="0"/>
    </cacheField>
    <cacheField name="Language">
      <sharedItems containsString="0" containsBlank="1" containsMixedTypes="1" count="0"/>
    </cacheField>
    <cacheField name="Possibly Sensitive">
      <sharedItems containsString="0" containsBlank="1" containsMixedTypes="1" count="0"/>
    </cacheField>
    <cacheField name="Quoted Status ID">
      <sharedItems containsString="0" containsBlank="1" containsMixedTypes="1" count="0"/>
    </cacheField>
    <cacheField name="Retweeted">
      <sharedItems containsString="0" containsBlank="1" containsMixedTypes="1" count="0"/>
    </cacheField>
    <cacheField name="Retweet Count">
      <sharedItems containsString="0" containsBlank="1" containsMixedTypes="1" count="0"/>
    </cacheField>
    <cacheField name="Retweet ID">
      <sharedItems containsString="0" containsBlank="1" containsMixedTypes="1" count="0"/>
    </cacheField>
    <cacheField name="Source">
      <sharedItems containsString="0" containsBlank="1" containsMixedTypes="1" count="0"/>
    </cacheField>
    <cacheField name="Truncated">
      <sharedItems containsString="0" containsBlank="1" containsMixedTypes="1" count="0"/>
    </cacheField>
    <cacheField name="Unified Twitter ID">
      <sharedItems containsString="0" containsBlank="1" containsMixedTypes="1" count="0"/>
    </cacheField>
    <cacheField name="Imported Tweet Type">
      <sharedItems containsString="0" containsBlank="1" containsMixedTypes="1" count="0"/>
    </cacheField>
    <cacheField name="Added By Extended Analysis">
      <sharedItems containsString="0" containsBlank="1" containsMixedTypes="1" count="0"/>
    </cacheField>
    <cacheField name="Corrected By Extended Analysis">
      <sharedItems containsString="0" containsBlank="1" containsMixedTypes="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tring="0" containsBlank="1" containsMixedTypes="1" count="0"/>
    </cacheField>
    <cacheField name="Vertex 1 Group">
      <sharedItems containsMixedTypes="0" count="0"/>
    </cacheField>
    <cacheField name="Vertex 2 Group">
      <sharedItems containsMixedTypes="0"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
  <r>
    <m/>
    <m/>
    <m/>
    <m/>
    <m/>
    <m/>
    <m/>
    <m/>
    <m/>
    <m/>
    <m/>
    <n v="3"/>
    <m/>
    <m/>
    <x v="0"/>
    <m/>
    <m/>
    <m/>
    <m/>
    <x v="0"/>
    <m/>
    <m/>
    <x v="0"/>
    <m/>
    <m/>
    <m/>
    <m/>
    <m/>
    <m/>
    <m/>
    <m/>
    <m/>
    <m/>
    <m/>
    <m/>
    <m/>
    <m/>
    <m/>
    <m/>
    <m/>
    <m/>
    <m/>
    <m/>
    <m/>
    <m/>
    <m/>
    <m/>
    <m/>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7" firstHeaderRow="1" firstDataRow="1" firstDataCol="1"/>
  <pivotFields count="5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2">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2">
    <i>
      <x/>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9" name="TimeSeries"/>
  </pivotTables>
  <data>
    <tabular pivotCacheId="1">
      <items count="1">
        <i x="0" s="1" nd="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9" name="TimeSeries"/>
  </pivotTables>
  <data>
    <tabular pivotCacheId="1">
      <items count="1">
        <i x="0" s="1" nd="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E3" totalsRowShown="0" headerRowDxfId="220" dataDxfId="219">
  <autoFilter ref="A2:BE3"/>
  <tableColumns count="57">
    <tableColumn id="1" name="Vertex 1" dataDxfId="218"/>
    <tableColumn id="2" name="Vertex 2" dataDxfId="217"/>
    <tableColumn id="3" name="Color" dataDxfId="216"/>
    <tableColumn id="4" name="Width" dataDxfId="215"/>
    <tableColumn id="11" name="Style" dataDxfId="214"/>
    <tableColumn id="5" name="Opacity" dataDxfId="213"/>
    <tableColumn id="6" name="Visibility" dataDxfId="212"/>
    <tableColumn id="10" name="Label" dataDxfId="211"/>
    <tableColumn id="12" name="Label Text Color" dataDxfId="210"/>
    <tableColumn id="13" name="Label Font Size" dataDxfId="209"/>
    <tableColumn id="14" name="Reciprocated?" dataDxfId="60"/>
    <tableColumn id="7" name="ID" dataDxfId="208"/>
    <tableColumn id="9" name="Dynamic Filter" dataDxfId="207"/>
    <tableColumn id="8" name="Add Your Own Columns Here" dataDxfId="206"/>
    <tableColumn id="15" name="Relationship" dataDxfId="205"/>
    <tableColumn id="16" name="Relationship Date (UTC)" dataDxfId="204"/>
    <tableColumn id="17" name="Tweet" dataDxfId="203"/>
    <tableColumn id="18" name="URLs in Tweet" dataDxfId="202"/>
    <tableColumn id="19" name="Domains in Tweet" dataDxfId="201"/>
    <tableColumn id="20" name="Hashtags in Tweet" dataDxfId="200"/>
    <tableColumn id="21" name="Media in Tweet" dataDxfId="199"/>
    <tableColumn id="22" name="Tweet Image File" dataDxfId="198"/>
    <tableColumn id="23" name="Tweet Date (UTC)" dataDxfId="197"/>
    <tableColumn id="24" name="Date" dataDxfId="196"/>
    <tableColumn id="25" name="Time" dataDxfId="195"/>
    <tableColumn id="26" name="Twitter Page for Tweet" dataDxfId="194"/>
    <tableColumn id="27" name="Latitude" dataDxfId="193"/>
    <tableColumn id="28" name="Longitude" dataDxfId="192"/>
    <tableColumn id="29" name="Imported ID" dataDxfId="191"/>
    <tableColumn id="30" name="In-Reply-To Tweet ID" dataDxfId="190"/>
    <tableColumn id="31" name="Favorited" dataDxfId="189"/>
    <tableColumn id="32" name="Favorite Count" dataDxfId="188"/>
    <tableColumn id="33" name="In-Reply-To User ID" dataDxfId="187"/>
    <tableColumn id="34" name="Is Quote Status" dataDxfId="186"/>
    <tableColumn id="35" name="Language" dataDxfId="185"/>
    <tableColumn id="36" name="Possibly Sensitive" dataDxfId="184"/>
    <tableColumn id="37" name="Quoted Status ID" dataDxfId="183"/>
    <tableColumn id="38" name="Retweeted" dataDxfId="182"/>
    <tableColumn id="39" name="Retweet Count" dataDxfId="181"/>
    <tableColumn id="40" name="Retweet ID" dataDxfId="180"/>
    <tableColumn id="41" name="Source" dataDxfId="179"/>
    <tableColumn id="42" name="Truncated" dataDxfId="178"/>
    <tableColumn id="43" name="Unified Twitter ID" dataDxfId="177"/>
    <tableColumn id="44" name="Imported Tweet Type" dataDxfId="176"/>
    <tableColumn id="45" name="Added By Extended Analysis" dataDxfId="175"/>
    <tableColumn id="46" name="Corrected By Extended Analysis" dataDxfId="174"/>
    <tableColumn id="47" name="Place Bounding Box" dataDxfId="173"/>
    <tableColumn id="48" name="Place Country" dataDxfId="172"/>
    <tableColumn id="49" name="Place Country Code" dataDxfId="171"/>
    <tableColumn id="50" name="Place Full Name" dataDxfId="170"/>
    <tableColumn id="51" name="Place ID" dataDxfId="169"/>
    <tableColumn id="52" name="Place Name" dataDxfId="168"/>
    <tableColumn id="53" name="Place Type" dataDxfId="167"/>
    <tableColumn id="54" name="Place URL" dataDxfId="166"/>
    <tableColumn id="55" name="Edge Weight"/>
    <tableColumn id="56" name="Vertex 1 Group" dataDxfId="62">
      <calculatedColumnFormula>REPLACE(INDEX(GroupVertices[Group], MATCH(Edges[[#This Row],[Vertex 1]],GroupVertices[Vertex],0)),1,1,"")</calculatedColumnFormula>
    </tableColumn>
    <tableColumn id="57" name="Vertex 2 Group" dataDxfId="61">
      <calculatedColumnFormula>REPLACE(INDEX(GroupVertices[Group], MATCH(Edges[[#This Row],[Vertex 2]],GroupVertices[Vertex],0)),1,1,"")</calculatedColumnFormula>
    </tableColumn>
  </tableColumns>
  <tableStyleInfo name="NodeXL Table" showFirstColumn="0" showLastColumn="0" showRowStripes="0" showColumnStripes="0"/>
</table>
</file>

<file path=xl/tables/table10.xml><?xml version="1.0" encoding="utf-8"?>
<table xmlns="http://schemas.openxmlformats.org/spreadsheetml/2006/main" id="7" name="PerWorkbookSettings" displayName="PerWorkbookSettings" ref="J1:K26" totalsRowShown="0" headerRowDxfId="72">
  <autoFilter ref="J1:K26"/>
  <tableColumns count="2">
    <tableColumn id="1" name="Per-Workbook Setting"/>
    <tableColumn id="2" name="Value"/>
  </tableColumns>
  <tableStyleInfo name="TableStyleMedium9" showFirstColumn="0" showLastColumn="0" showRowStripes="1" showColumnStripes="0"/>
</table>
</file>

<file path=xl/tables/table11.xml><?xml version="1.0" encoding="utf-8"?>
<table xmlns="http://schemas.openxmlformats.org/spreadsheetml/2006/main" id="8" name="DynamicFilterSettings" displayName="DynamicFilterSettings" ref="M1:P2" totalsRowShown="0" headerRowDxfId="71">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2.xml><?xml version="1.0" encoding="utf-8"?>
<table xmlns="http://schemas.openxmlformats.org/spreadsheetml/2006/main" id="2" name="Vertices" displayName="Vertices" ref="A2:BA3" totalsRowShown="0" headerRowDxfId="165" dataDxfId="164">
  <autoFilter ref="A2:BA3"/>
  <tableColumns count="53">
    <tableColumn id="1" name="Vertex" dataDxfId="163"/>
    <tableColumn id="2" name="Color" dataDxfId="162"/>
    <tableColumn id="5" name="Shape" dataDxfId="161"/>
    <tableColumn id="6" name="Size" dataDxfId="160"/>
    <tableColumn id="4" name="Opacity" dataDxfId="159"/>
    <tableColumn id="7" name="Image File" dataDxfId="158"/>
    <tableColumn id="3" name="Visibility" dataDxfId="157"/>
    <tableColumn id="10" name="Label" dataDxfId="156"/>
    <tableColumn id="16" name="Label Fill Color" dataDxfId="155"/>
    <tableColumn id="9" name="Label Position" dataDxfId="154"/>
    <tableColumn id="8" name="Tooltip" dataDxfId="153"/>
    <tableColumn id="18" name="Layout Order" dataDxfId="152"/>
    <tableColumn id="13" name="X" dataDxfId="151"/>
    <tableColumn id="14" name="Y" dataDxfId="150"/>
    <tableColumn id="12" name="Locked?" dataDxfId="149"/>
    <tableColumn id="19" name="Polar R" dataDxfId="148"/>
    <tableColumn id="20" name="Polar Angle" dataDxfId="147"/>
    <tableColumn id="21" name="Degree" dataDxfId="146"/>
    <tableColumn id="22" name="In-Degree" dataDxfId="145"/>
    <tableColumn id="23" name="Out-Degree" dataDxfId="144"/>
    <tableColumn id="24" name="Betweenness Centrality" dataDxfId="143"/>
    <tableColumn id="25" name="Closeness Centrality" dataDxfId="142"/>
    <tableColumn id="26" name="Eigenvector Centrality" dataDxfId="141"/>
    <tableColumn id="15" name="PageRank" dataDxfId="140"/>
    <tableColumn id="27" name="Clustering Coefficient" dataDxfId="139"/>
    <tableColumn id="29" name="Reciprocated Vertex Pair Ratio" dataDxfId="138"/>
    <tableColumn id="11" name="ID" dataDxfId="137"/>
    <tableColumn id="28" name="Dynamic Filter" dataDxfId="136"/>
    <tableColumn id="17" name="Add Your Own Columns Here" dataDxfId="135"/>
    <tableColumn id="30" name="Name" dataDxfId="134"/>
    <tableColumn id="31" name="User ID" dataDxfId="133"/>
    <tableColumn id="32" name="Followed" dataDxfId="132"/>
    <tableColumn id="33" name="Followers" dataDxfId="131"/>
    <tableColumn id="34" name="Tweets" dataDxfId="130"/>
    <tableColumn id="35" name="Favorites" dataDxfId="129"/>
    <tableColumn id="36" name="Time Zone UTC Offset (Seconds)" dataDxfId="128"/>
    <tableColumn id="37" name="Description" dataDxfId="127"/>
    <tableColumn id="38" name="Location" dataDxfId="126"/>
    <tableColumn id="39" name="Web" dataDxfId="125"/>
    <tableColumn id="40" name="Time Zone" dataDxfId="124"/>
    <tableColumn id="41" name="Joined Twitter Date (UTC)" dataDxfId="123"/>
    <tableColumn id="42" name="Profile Banner Url" dataDxfId="122"/>
    <tableColumn id="43" name="Default Profile" dataDxfId="121"/>
    <tableColumn id="44" name="Default Profile Image" dataDxfId="120"/>
    <tableColumn id="45" name="Geo Enabled" dataDxfId="119"/>
    <tableColumn id="46" name="Language" dataDxfId="118"/>
    <tableColumn id="47" name="Listed Count" dataDxfId="117"/>
    <tableColumn id="48" name="Profile Background Image Url" dataDxfId="116"/>
    <tableColumn id="49" name="Verified" dataDxfId="115"/>
    <tableColumn id="50" name="Custom Menu Item Text" dataDxfId="114"/>
    <tableColumn id="51" name="Custom Menu Item Action" dataDxfId="113"/>
    <tableColumn id="52" name="Tweeted Search Term?" dataDxfId="64"/>
    <tableColumn id="53" name="Vertex Group" dataDxfId="63">
      <calculatedColumnFormula>REPLACE(INDEX(GroupVertices[Group], MATCH(Vertices[[#This Row],[Vertex]],GroupVertices[Vertex],0)),1,1,"")</calculatedColumnFormula>
    </tableColumn>
  </tableColumns>
  <tableStyleInfo name="NodeXL Table" showFirstColumn="0" showLastColumn="0" showRowStripes="0" showColumnStripes="0"/>
</table>
</file>

<file path=xl/tables/table3.xml><?xml version="1.0" encoding="utf-8"?>
<table xmlns="http://schemas.openxmlformats.org/spreadsheetml/2006/main" id="4" name="Groups" displayName="Groups" ref="A2:Y3" insertRow="1" totalsRowShown="0" headerRowDxfId="112">
  <autoFilter ref="A2:Y3"/>
  <tableColumns count="25">
    <tableColumn id="1" name="Group" dataDxfId="70"/>
    <tableColumn id="2" name="Vertex Color" dataDxfId="69"/>
    <tableColumn id="3" name="Vertex Shape" dataDxfId="68"/>
    <tableColumn id="22" name="Visibility" dataDxfId="111"/>
    <tableColumn id="4" name="Collapsed?"/>
    <tableColumn id="18" name="Label" dataDxfId="110"/>
    <tableColumn id="20" name="Collapsed X"/>
    <tableColumn id="21" name="Collapsed Y"/>
    <tableColumn id="6" name="ID" dataDxfId="109"/>
    <tableColumn id="19" name="Collapsed Properties" dataDxfId="108"/>
    <tableColumn id="5" name="Vertices" dataDxfId="107"/>
    <tableColumn id="7" name="Unique Edges" dataDxfId="106"/>
    <tableColumn id="8" name="Edges With Duplicates" dataDxfId="105"/>
    <tableColumn id="9" name="Total Edges" dataDxfId="104"/>
    <tableColumn id="10" name="Self-Loops" dataDxfId="103"/>
    <tableColumn id="24" name="Reciprocated Vertex Pair Ratio" dataDxfId="102"/>
    <tableColumn id="25" name="Reciprocated Edge Ratio" dataDxfId="101"/>
    <tableColumn id="11" name="Connected Components" dataDxfId="100"/>
    <tableColumn id="12" name="Single-Vertex Connected Components" dataDxfId="99"/>
    <tableColumn id="13" name="Maximum Vertices in a Connected Component" dataDxfId="98"/>
    <tableColumn id="14" name="Maximum Edges in a Connected Component" dataDxfId="97"/>
    <tableColumn id="15" name="Maximum Geodesic Distance (Diameter)" dataDxfId="96"/>
    <tableColumn id="16" name="Average Geodesic Distance" dataDxfId="95"/>
    <tableColumn id="17" name="Graph Density" dataDxfId="59"/>
    <tableColumn id="23" name="Top URLs in Tweet" dataDxfId="5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 totalsRowShown="0" headerRowDxfId="94" dataDxfId="93">
  <autoFilter ref="A1:C2"/>
  <tableColumns count="3">
    <tableColumn id="1" name="Group" dataDxfId="67"/>
    <tableColumn id="2" name="Vertex" dataDxfId="66"/>
    <tableColumn id="3" name="Vertex ID" dataDxfId="65">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92"/>
    <tableColumn id="2" name="Value" dataDxfId="91"/>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90"/>
    <tableColumn id="2" name="Degree Frequency" dataDxfId="89">
      <calculatedColumnFormula>COUNTIF(Vertices[Degree], "&gt;= " &amp; D2) - COUNTIF(Vertices[Degree], "&gt;=" &amp; D3)</calculatedColumnFormula>
    </tableColumn>
    <tableColumn id="3" name="In-Degree Bin" dataDxfId="88"/>
    <tableColumn id="4" name="In-Degree Frequency" dataDxfId="87">
      <calculatedColumnFormula>COUNTIF(Vertices[In-Degree], "&gt;= " &amp; F2) - COUNTIF(Vertices[In-Degree], "&gt;=" &amp; F3)</calculatedColumnFormula>
    </tableColumn>
    <tableColumn id="5" name="Out-Degree Bin" dataDxfId="86"/>
    <tableColumn id="6" name="Out-Degree Frequency" dataDxfId="85">
      <calculatedColumnFormula>COUNTIF(Vertices[Out-Degree], "&gt;= " &amp; H2) - COUNTIF(Vertices[Out-Degree], "&gt;=" &amp; H3)</calculatedColumnFormula>
    </tableColumn>
    <tableColumn id="7" name="Betweenness Centrality Bin" dataDxfId="84"/>
    <tableColumn id="8" name="Betweenness Centrality Frequency" dataDxfId="83">
      <calculatedColumnFormula>COUNTIF(Vertices[Betweenness Centrality], "&gt;= " &amp; J2) - COUNTIF(Vertices[Betweenness Centrality], "&gt;=" &amp; J3)</calculatedColumnFormula>
    </tableColumn>
    <tableColumn id="9" name="Closeness Centrality Bin" dataDxfId="82"/>
    <tableColumn id="10" name="Closeness Centrality Frequency" dataDxfId="81">
      <calculatedColumnFormula>COUNTIF(Vertices[Closeness Centrality], "&gt;= " &amp; L2) - COUNTIF(Vertices[Closeness Centrality], "&gt;=" &amp; L3)</calculatedColumnFormula>
    </tableColumn>
    <tableColumn id="11" name="Eigenvector Centrality Bin" dataDxfId="80"/>
    <tableColumn id="12" name="Eigenvector Centrality Frequency" dataDxfId="79">
      <calculatedColumnFormula>COUNTIF(Vertices[Eigenvector Centrality], "&gt;= " &amp; N2) - COUNTIF(Vertices[Eigenvector Centrality], "&gt;=" &amp; N3)</calculatedColumnFormula>
    </tableColumn>
    <tableColumn id="18" name="PageRank Bin" dataDxfId="78"/>
    <tableColumn id="17" name="PageRank Frequency" dataDxfId="77">
      <calculatedColumnFormula>COUNTIF(Vertices[Eigenvector Centrality], "&gt;= " &amp; P2) - COUNTIF(Vertices[Eigenvector Centrality], "&gt;=" &amp; P3)</calculatedColumnFormula>
    </tableColumn>
    <tableColumn id="13" name="Clustering Coefficient Bin" dataDxfId="76"/>
    <tableColumn id="14" name="Clustering Coefficient Frequency" dataDxfId="75">
      <calculatedColumnFormula>COUNTIF(Vertices[Clustering Coefficient], "&gt;= " &amp; R2) - COUNTIF(Vertices[Clustering Coefficient], "&gt;=" &amp; R3)</calculatedColumnFormula>
    </tableColumn>
    <tableColumn id="15" name="Dynamic Filter Bin" dataDxfId="74"/>
    <tableColumn id="16" name="Dynamic Filter Frequency" dataDxfId="73">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10" name="Edges11" displayName="Edges11" ref="A2:BE3" totalsRowShown="0" headerRowDxfId="57" dataDxfId="56">
  <autoFilter ref="A2:BE3"/>
  <tableColumns count="57">
    <tableColumn id="1" name="Vertex 1" dataDxfId="55"/>
    <tableColumn id="2" name="Vertex 2" dataDxfId="54"/>
    <tableColumn id="3" name="Color" dataDxfId="53"/>
    <tableColumn id="4" name="Width" dataDxfId="52"/>
    <tableColumn id="11" name="Style" dataDxfId="51"/>
    <tableColumn id="5" name="Opacity" dataDxfId="50"/>
    <tableColumn id="6" name="Visibility" dataDxfId="49"/>
    <tableColumn id="10" name="Label" dataDxfId="48"/>
    <tableColumn id="12" name="Label Text Color" dataDxfId="47"/>
    <tableColumn id="13" name="Label Font Size" dataDxfId="46"/>
    <tableColumn id="14" name="Reciprocated?" dataDxfId="45"/>
    <tableColumn id="7" name="ID" dataDxfId="44"/>
    <tableColumn id="9" name="Dynamic Filter" dataDxfId="43"/>
    <tableColumn id="8" name="Add Your Own Columns Here" dataDxfId="42"/>
    <tableColumn id="15" name="Relationship" dataDxfId="41"/>
    <tableColumn id="16" name="Relationship Date (UTC)" dataDxfId="40"/>
    <tableColumn id="17" name="Tweet" dataDxfId="39"/>
    <tableColumn id="18" name="URLs in Tweet" dataDxfId="38"/>
    <tableColumn id="19" name="Domains in Tweet" dataDxfId="37"/>
    <tableColumn id="20" name="Hashtags in Tweet" dataDxfId="36"/>
    <tableColumn id="21" name="Media in Tweet" dataDxfId="35"/>
    <tableColumn id="22" name="Tweet Image File" dataDxfId="34"/>
    <tableColumn id="23" name="Tweet Date (UTC)" dataDxfId="33"/>
    <tableColumn id="24" name="Date" dataDxfId="32"/>
    <tableColumn id="25" name="Time" dataDxfId="31"/>
    <tableColumn id="26" name="Twitter Page for Tweet" dataDxfId="30"/>
    <tableColumn id="27" name="Latitude" dataDxfId="29"/>
    <tableColumn id="28" name="Longitude" dataDxfId="28"/>
    <tableColumn id="29" name="Imported ID" dataDxfId="27"/>
    <tableColumn id="30" name="In-Reply-To Tweet ID" dataDxfId="26"/>
    <tableColumn id="31" name="Favorited" dataDxfId="25"/>
    <tableColumn id="32" name="Favorite Count" dataDxfId="24"/>
    <tableColumn id="33" name="In-Reply-To User ID" dataDxfId="23"/>
    <tableColumn id="34" name="Is Quote Status" dataDxfId="22"/>
    <tableColumn id="35" name="Language" dataDxfId="21"/>
    <tableColumn id="36" name="Possibly Sensitive" dataDxfId="20"/>
    <tableColumn id="37" name="Quoted Status ID" dataDxfId="19"/>
    <tableColumn id="38" name="Retweeted" dataDxfId="18"/>
    <tableColumn id="39" name="Retweet Count" dataDxfId="17"/>
    <tableColumn id="40" name="Retweet ID" dataDxfId="16"/>
    <tableColumn id="41" name="Source" dataDxfId="15"/>
    <tableColumn id="42" name="Truncated" dataDxfId="14"/>
    <tableColumn id="43" name="Unified Twitter ID" dataDxfId="13"/>
    <tableColumn id="44" name="Imported Tweet Type" dataDxfId="12"/>
    <tableColumn id="45" name="Added By Extended Analysis" dataDxfId="11"/>
    <tableColumn id="46" name="Corrected By Extended Analysis" dataDxfId="10"/>
    <tableColumn id="47" name="Place Bounding Box" dataDxfId="9"/>
    <tableColumn id="48" name="Place Country" dataDxfId="8"/>
    <tableColumn id="49" name="Place Country Code" dataDxfId="7"/>
    <tableColumn id="50" name="Place Full Name" dataDxfId="6"/>
    <tableColumn id="51" name="Place ID" dataDxfId="5"/>
    <tableColumn id="52" name="Place Name" dataDxfId="4"/>
    <tableColumn id="53" name="Place Type" dataDxfId="3"/>
    <tableColumn id="54" name="Place URL" dataDxfId="2"/>
    <tableColumn id="55" name="Edge Weight"/>
    <tableColumn id="56" name="Vertex 1 Group" dataDxfId="1">
      <calculatedColumnFormula>REPLACE(INDEX(GroupVertices[Group], MATCH(Edges11[[#This Row],[Vertex 1]],GroupVertices[Vertex],0)),1,1,"")</calculatedColumnFormula>
    </tableColumn>
    <tableColumn id="57" name="Vertex 2 Group" dataDxfId="0">
      <calculatedColumnFormula>REPLACE(INDEX(GroupVertices[Group], MATCH(Edges11[[#This Row],[Vertex 2]],GroupVertices[Vertex],0)),1,1,"")</calculatedColumnFormula>
    </tableColumn>
  </tableColumns>
  <tableStyleInfo name="NodeXL Table"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table" Target="../tables/table9.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0.xml" /><Relationship Id="rId2" Type="http://schemas.openxmlformats.org/officeDocument/2006/relationships/table" Target="../tables/table11.xml" /><Relationship Id="rId3" Type="http://schemas.openxmlformats.org/officeDocument/2006/relationships/drawing" Target="../drawings/drawing2.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E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customWidth="1"/>
    <col min="4" max="4" width="8.7109375" style="2" customWidth="1"/>
    <col min="5" max="5" width="7.7109375" style="2" customWidth="1"/>
    <col min="6" max="6" width="9.8515625" style="2" customWidth="1"/>
    <col min="7" max="7" width="11.00390625" style="3" customWidth="1"/>
    <col min="8" max="8" width="8.00390625" style="1" customWidth="1"/>
    <col min="9" max="9" width="12.28125" style="3" customWidth="1"/>
    <col min="10" max="10" width="12.421875" style="3" customWidth="1"/>
    <col min="11" max="11" width="15.57421875" style="3" customWidth="1"/>
    <col min="12" max="12" width="11.00390625" style="0" customWidth="1"/>
    <col min="13" max="13" width="10.8515625" style="0"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s>
  <sheetData>
    <row r="1" spans="3:14" ht="15">
      <c r="C1" s="17" t="s">
        <v>39</v>
      </c>
      <c r="D1" s="18"/>
      <c r="E1" s="18"/>
      <c r="F1" s="18"/>
      <c r="G1" s="17"/>
      <c r="H1" s="15" t="s">
        <v>43</v>
      </c>
      <c r="I1" s="65"/>
      <c r="J1" s="65"/>
      <c r="K1" s="34" t="s">
        <v>42</v>
      </c>
      <c r="L1" s="19" t="s">
        <v>40</v>
      </c>
      <c r="M1" s="19"/>
      <c r="N1" s="16" t="s">
        <v>41</v>
      </c>
    </row>
    <row r="2" spans="1:57" ht="30" customHeight="1">
      <c r="A2" s="79" t="s">
        <v>0</v>
      </c>
      <c r="B2" s="79" t="s">
        <v>1</v>
      </c>
      <c r="C2" s="13" t="s">
        <v>2</v>
      </c>
      <c r="D2" s="13" t="s">
        <v>3</v>
      </c>
      <c r="E2" s="13" t="s">
        <v>130</v>
      </c>
      <c r="F2" s="13" t="s">
        <v>4</v>
      </c>
      <c r="G2" s="13" t="s">
        <v>11</v>
      </c>
      <c r="H2" s="11" t="s">
        <v>46</v>
      </c>
      <c r="I2" s="13" t="s">
        <v>160</v>
      </c>
      <c r="J2" s="13" t="s">
        <v>161</v>
      </c>
      <c r="K2" s="13" t="s">
        <v>165</v>
      </c>
      <c r="L2" s="13" t="s">
        <v>12</v>
      </c>
      <c r="M2" s="13" t="s">
        <v>38</v>
      </c>
      <c r="N2" s="13" t="s">
        <v>26</v>
      </c>
      <c r="O2" s="81" t="s">
        <v>174</v>
      </c>
      <c r="P2" s="81" t="s">
        <v>175</v>
      </c>
      <c r="Q2" s="81" t="s">
        <v>176</v>
      </c>
      <c r="R2" s="81" t="s">
        <v>177</v>
      </c>
      <c r="S2" s="81" t="s">
        <v>178</v>
      </c>
      <c r="T2" s="81" t="s">
        <v>179</v>
      </c>
      <c r="U2" s="81" t="s">
        <v>180</v>
      </c>
      <c r="V2" s="81" t="s">
        <v>181</v>
      </c>
      <c r="W2" s="81" t="s">
        <v>182</v>
      </c>
      <c r="X2" s="81" t="s">
        <v>183</v>
      </c>
      <c r="Y2" s="81" t="s">
        <v>184</v>
      </c>
      <c r="Z2" s="81" t="s">
        <v>185</v>
      </c>
      <c r="AA2" s="81" t="s">
        <v>186</v>
      </c>
      <c r="AB2" s="81" t="s">
        <v>187</v>
      </c>
      <c r="AC2" s="81" t="s">
        <v>188</v>
      </c>
      <c r="AD2" s="81" t="s">
        <v>189</v>
      </c>
      <c r="AE2" s="81" t="s">
        <v>190</v>
      </c>
      <c r="AF2" s="81" t="s">
        <v>191</v>
      </c>
      <c r="AG2" s="81" t="s">
        <v>192</v>
      </c>
      <c r="AH2" s="81" t="s">
        <v>193</v>
      </c>
      <c r="AI2" s="81" t="s">
        <v>194</v>
      </c>
      <c r="AJ2" s="81" t="s">
        <v>195</v>
      </c>
      <c r="AK2" s="81" t="s">
        <v>196</v>
      </c>
      <c r="AL2" s="81" t="s">
        <v>197</v>
      </c>
      <c r="AM2" s="81" t="s">
        <v>198</v>
      </c>
      <c r="AN2" s="81" t="s">
        <v>199</v>
      </c>
      <c r="AO2" s="81" t="s">
        <v>200</v>
      </c>
      <c r="AP2" s="81" t="s">
        <v>201</v>
      </c>
      <c r="AQ2" s="81" t="s">
        <v>202</v>
      </c>
      <c r="AR2" s="81" t="s">
        <v>203</v>
      </c>
      <c r="AS2" s="81" t="s">
        <v>204</v>
      </c>
      <c r="AT2" s="81" t="s">
        <v>205</v>
      </c>
      <c r="AU2" s="81" t="s">
        <v>206</v>
      </c>
      <c r="AV2" s="81" t="s">
        <v>207</v>
      </c>
      <c r="AW2" s="81" t="s">
        <v>208</v>
      </c>
      <c r="AX2" s="81" t="s">
        <v>209</v>
      </c>
      <c r="AY2" s="81" t="s">
        <v>210</v>
      </c>
      <c r="AZ2" s="81" t="s">
        <v>211</v>
      </c>
      <c r="BA2" s="81" t="s">
        <v>212</v>
      </c>
      <c r="BB2" s="81" t="s">
        <v>213</v>
      </c>
      <c r="BC2" t="s">
        <v>273</v>
      </c>
      <c r="BD2" s="13" t="s">
        <v>275</v>
      </c>
      <c r="BE2" s="13" t="s">
        <v>276</v>
      </c>
    </row>
    <row r="3" spans="1:57" ht="15" customHeight="1">
      <c r="A3" s="80"/>
      <c r="B3" s="80"/>
      <c r="C3" s="53"/>
      <c r="D3" s="54"/>
      <c r="E3" s="66"/>
      <c r="F3" s="55"/>
      <c r="G3" s="53"/>
      <c r="H3" s="57"/>
      <c r="I3" s="56"/>
      <c r="J3" s="56"/>
      <c r="K3" s="35"/>
      <c r="L3" s="62">
        <v>3</v>
      </c>
      <c r="M3" s="62"/>
      <c r="N3" s="63"/>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D3" s="81" t="e">
        <f>REPLACE(INDEX(GroupVertices[Group],MATCH(Edges[[#This Row],[Vertex 1]],GroupVertices[Vertex],0)),1,1,"")</f>
        <v>#N/A</v>
      </c>
      <c r="BE3" s="81" t="e">
        <f>REPLACE(INDEX(GroupVertices[Group],MATCH(Edges[[#This Row],[Vertex 2]],GroupVertices[Vertex],0)),1,1,"")</f>
        <v>#N/A</v>
      </c>
    </row>
    <row r="4" ht="15" customHeight="1"/>
    <row r="6" ht="15"/>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
    <dataValidation allowBlank="1" showErrorMessage="1" sqref="N2:N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
    <dataValidation allowBlank="1" showInputMessage="1" promptTitle="Edge Color" prompt="To select an optional edge color, right-click and select Select Color on the right-click menu." sqref="C3"/>
    <dataValidation allowBlank="1" showInputMessage="1" promptTitle="Edge Width" prompt="Enter an optional edge width between 1 and 10." errorTitle="Invalid Edge Width" error="The optional edge width must be a whole number between 1 and 10." sqref="D3"/>
    <dataValidation allowBlank="1" showInputMessage="1" promptTitle="Edge Opacity" prompt="Enter an optional edge opacity between 0 (transparent) and 100 (opaque)." errorTitle="Invalid Edge Opacity" error="The optional edge opacity must be a whole number between 0 and 10." sqref="F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
      <formula1>ValidEdgeVisibilities</formula1>
    </dataValidation>
    <dataValidation allowBlank="1" showInputMessage="1" showErrorMessage="1" promptTitle="Vertex 1 Name" prompt="Enter the name of the edge's first vertex." sqref="A3"/>
    <dataValidation allowBlank="1" showInputMessage="1" showErrorMessage="1" promptTitle="Vertex 2 Name" prompt="Enter the name of the edge's second vertex." sqref="B3"/>
    <dataValidation allowBlank="1" showInputMessage="1" showErrorMessage="1" promptTitle="Edge Label" prompt="Enter an optional edge label." errorTitle="Invalid Edge Visibility" error="You have entered an unrecognized edge visibility.  Try selecting from the drop-down list instead." sqref="H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
  </dataValidations>
  <printOptions/>
  <pageMargins left="0.7" right="0.7" top="0.75" bottom="0.75" header="0.3" footer="0.3"/>
  <pageSetup horizontalDpi="600" verticalDpi="600" orientation="portrait" r:id="rId4"/>
  <legacyDrawing r:id="rId2"/>
  <tableParts>
    <tablePart r:id="rId3"/>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C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55"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214</v>
      </c>
      <c r="AE2" s="13" t="s">
        <v>215</v>
      </c>
      <c r="AF2" s="13" t="s">
        <v>216</v>
      </c>
      <c r="AG2" s="13" t="s">
        <v>217</v>
      </c>
      <c r="AH2" s="13" t="s">
        <v>218</v>
      </c>
      <c r="AI2" s="13" t="s">
        <v>219</v>
      </c>
      <c r="AJ2" s="13" t="s">
        <v>220</v>
      </c>
      <c r="AK2" s="13" t="s">
        <v>221</v>
      </c>
      <c r="AL2" s="13" t="s">
        <v>222</v>
      </c>
      <c r="AM2" s="13" t="s">
        <v>223</v>
      </c>
      <c r="AN2" s="13" t="s">
        <v>224</v>
      </c>
      <c r="AO2" s="13" t="s">
        <v>225</v>
      </c>
      <c r="AP2" s="13" t="s">
        <v>226</v>
      </c>
      <c r="AQ2" s="13" t="s">
        <v>227</v>
      </c>
      <c r="AR2" s="13" t="s">
        <v>228</v>
      </c>
      <c r="AS2" s="13" t="s">
        <v>229</v>
      </c>
      <c r="AT2" s="13" t="s">
        <v>194</v>
      </c>
      <c r="AU2" s="13" t="s">
        <v>230</v>
      </c>
      <c r="AV2" s="13" t="s">
        <v>231</v>
      </c>
      <c r="AW2" s="13" t="s">
        <v>232</v>
      </c>
      <c r="AX2" s="13" t="s">
        <v>233</v>
      </c>
      <c r="AY2" s="13" t="s">
        <v>234</v>
      </c>
      <c r="AZ2" s="13" t="s">
        <v>235</v>
      </c>
      <c r="BA2" s="13" t="s">
        <v>274</v>
      </c>
      <c r="BB2" s="3"/>
      <c r="BC2" s="3"/>
    </row>
    <row r="3" spans="1:55" ht="15" customHeight="1">
      <c r="A3" s="49"/>
      <c r="B3" s="53"/>
      <c r="C3" s="53"/>
      <c r="D3" s="54"/>
      <c r="E3" s="55"/>
      <c r="F3" s="82"/>
      <c r="G3" s="53"/>
      <c r="H3" s="57"/>
      <c r="I3" s="56"/>
      <c r="J3" s="56"/>
      <c r="K3" s="83"/>
      <c r="L3" s="59"/>
      <c r="M3" s="60"/>
      <c r="N3" s="60"/>
      <c r="O3" s="58"/>
      <c r="P3" s="61"/>
      <c r="Q3" s="61"/>
      <c r="R3" s="50"/>
      <c r="S3" s="50"/>
      <c r="T3" s="50"/>
      <c r="U3" s="50"/>
      <c r="V3" s="51"/>
      <c r="W3" s="51"/>
      <c r="X3" s="52"/>
      <c r="Y3" s="51"/>
      <c r="Z3" s="51"/>
      <c r="AA3" s="62">
        <v>3</v>
      </c>
      <c r="AB3" s="62"/>
      <c r="AC3" s="63"/>
      <c r="AD3" s="81"/>
      <c r="AE3" s="81"/>
      <c r="AF3" s="81"/>
      <c r="AG3" s="81"/>
      <c r="AH3" s="81"/>
      <c r="AI3" s="81"/>
      <c r="AJ3" s="81"/>
      <c r="AK3" s="81"/>
      <c r="AL3" s="81"/>
      <c r="AM3" s="81"/>
      <c r="AN3" s="81"/>
      <c r="AO3" s="81"/>
      <c r="AP3" s="81"/>
      <c r="AQ3" s="81"/>
      <c r="AR3" s="81"/>
      <c r="AS3" s="81"/>
      <c r="AT3" s="81"/>
      <c r="AU3" s="81"/>
      <c r="AV3" s="81"/>
      <c r="AW3" s="81"/>
      <c r="AX3" s="81"/>
      <c r="AY3" s="81"/>
      <c r="AZ3" s="81"/>
      <c r="BA3" s="81" t="e">
        <f>REPLACE(INDEX(GroupVertices[Group],MATCH(Vertices[[#This Row],[Vertex]],GroupVertices[Vertex],0)),1,1,"")</f>
        <v>#N/A</v>
      </c>
      <c r="BB3" s="3"/>
      <c r="BC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
    <dataValidation allowBlank="1" errorTitle="Invalid Vertex Visibility" error="You have entered an unrecognized vertex visibility.  Try selecting from the drop-down list instead." sqref="BB3"/>
    <dataValidation allowBlank="1" showErrorMessage="1" sqref="BB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
    <dataValidation allowBlank="1" showInputMessage="1" promptTitle="Vertex Tooltip" prompt="Enter optional text that will pop up when the mouse is hovered over the vertex." errorTitle="Invalid Vertex Image Key" sqref="K3"/>
    <dataValidation allowBlank="1" promptTitle="Vertex ID" prompt="This is a unique ID that gets filled in automatically.  Do not edit this column." errorTitle="Invalid Vertex Visibility" error="You have entered an unrecognized vertex visibility.  Try selecting from the drop-down list instead." sqref="AB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
    <dataValidation allowBlank="1" showInputMessage="1" promptTitle="Vertex Label Fill Color" prompt="To select an optional fill color for the Label shape, right-click and select Select Color on the right-click menu." sqref="I3"/>
    <dataValidation allowBlank="1" showInputMessage="1" promptTitle="Vertex Image File" prompt="Enter the path to an image file.  Hover over the column header for examples." errorTitle="Invalid Vertex Image Key" sqref="F3"/>
    <dataValidation allowBlank="1" showInputMessage="1" promptTitle="Vertex Color" prompt="To select an optional vertex color, right-click and select Select Color on the right-click menu." sqref="B3"/>
    <dataValidation allowBlank="1" showInputMessage="1" promptTitle="Vertex Opacity" prompt="Enter an optional vertex opacity between 0 (transparent) and 100 (opaque)." errorTitle="Invalid Vertex Opacity" error="The optional vertex opacity must be a whole number between 0 and 10." sqref="E3"/>
    <dataValidation type="list" allowBlank="1" showInputMessage="1" showErrorMessage="1" promptTitle="Vertex Shape" prompt="Select an optional vertex shape." errorTitle="Invalid Vertex Shape" error="You have entered an invalid vertex shape.  Try selecting from the drop-down list instead." sqref="C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
      <formula1>ValidVertexLabelPositions</formula1>
    </dataValidation>
    <dataValidation allowBlank="1" showInputMessage="1" showErrorMessage="1" promptTitle="Vertex Name" prompt="Enter the name of the vertex." sqref="A3"/>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customWidth="1"/>
    <col min="3" max="3" width="15.00390625" style="0" customWidth="1"/>
    <col min="4" max="4" width="11.140625" style="0" customWidth="1"/>
    <col min="5" max="5" width="13.00390625" style="0" customWidth="1"/>
    <col min="6" max="6" width="8.00390625" style="0" customWidth="1"/>
    <col min="7" max="8" width="13.57421875" style="0" customWidth="1"/>
    <col min="9" max="9" width="11.00390625" style="0" customWidth="1"/>
    <col min="10" max="10" width="12.57421875" style="0"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s>
  <sheetData>
    <row r="1" spans="2:24" ht="15">
      <c r="B1" s="68" t="s">
        <v>39</v>
      </c>
      <c r="C1" s="69"/>
      <c r="D1" s="69"/>
      <c r="E1" s="70"/>
      <c r="F1" s="67" t="s">
        <v>43</v>
      </c>
      <c r="G1" s="71" t="s">
        <v>44</v>
      </c>
      <c r="H1" s="72"/>
      <c r="I1" s="73" t="s">
        <v>40</v>
      </c>
      <c r="J1" s="74"/>
      <c r="K1" s="75" t="s">
        <v>42</v>
      </c>
      <c r="L1" s="76"/>
      <c r="M1" s="76"/>
      <c r="N1" s="76"/>
      <c r="O1" s="76"/>
      <c r="P1" s="76"/>
      <c r="Q1" s="76"/>
      <c r="R1" s="76"/>
      <c r="S1" s="76"/>
      <c r="T1" s="76"/>
      <c r="U1" s="76"/>
      <c r="V1" s="76"/>
      <c r="W1" s="76"/>
      <c r="X1" s="76"/>
    </row>
    <row r="2" spans="1:25" s="13" customFormat="1" ht="30" customHeight="1">
      <c r="A2" s="79" t="s">
        <v>144</v>
      </c>
      <c r="B2" s="81" t="s">
        <v>21</v>
      </c>
      <c r="C2" s="81"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277</v>
      </c>
    </row>
    <row r="3" spans="1:25" ht="15">
      <c r="A3" s="80"/>
      <c r="B3" s="82"/>
      <c r="C3" s="82"/>
      <c r="D3" s="14"/>
      <c r="E3" s="14"/>
      <c r="F3" s="15"/>
      <c r="G3" s="77"/>
      <c r="H3" s="77"/>
      <c r="I3" s="64"/>
      <c r="J3" s="64"/>
      <c r="K3" s="47"/>
      <c r="L3" s="47"/>
      <c r="M3" s="47"/>
      <c r="N3" s="47"/>
      <c r="O3" s="47"/>
      <c r="P3" s="47"/>
      <c r="Q3" s="47"/>
      <c r="R3" s="47"/>
      <c r="S3" s="47"/>
      <c r="T3" s="47"/>
      <c r="U3" s="47"/>
      <c r="V3" s="47"/>
      <c r="W3" s="48"/>
      <c r="X3" s="48"/>
      <c r="Y3" s="81"/>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79" t="s">
        <v>144</v>
      </c>
      <c r="B1" s="79" t="s">
        <v>5</v>
      </c>
      <c r="C1" s="11" t="s">
        <v>147</v>
      </c>
    </row>
    <row r="2" spans="1:3" ht="15">
      <c r="A2" s="81"/>
      <c r="B2" s="81"/>
      <c r="C2" s="81" t="e">
        <f>VLOOKUP(GroupVertices[[#This Row],[Vertex]],Vertices[],MATCH("ID",Vertices[[#Headers],[Vertex]:[Vertex Group]],0),FALSE)</f>
        <v>#N/A</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c r="B2" s="35"/>
      <c r="D2" s="32">
        <f>MIN(Vertices[Degree])</f>
        <v>0</v>
      </c>
      <c r="E2" s="3">
        <f>COUNTIF(Vertices[Degree],"&gt;= "&amp;D2)-COUNTIF(Vertices[Degree],"&gt;="&amp;D3)</f>
        <v>0</v>
      </c>
      <c r="F2" s="38">
        <f>MIN(Vertices[In-Degree])</f>
        <v>0</v>
      </c>
      <c r="G2" s="39">
        <f>COUNTIF(Vertices[In-Degree],"&gt;= "&amp;F2)-COUNTIF(Vertices[In-Degree],"&gt;="&amp;F3)</f>
        <v>0</v>
      </c>
      <c r="H2" s="38">
        <f>MIN(Vertices[Out-Degree])</f>
        <v>0</v>
      </c>
      <c r="I2" s="39">
        <f>COUNTIF(Vertices[Out-Degree],"&gt;= "&amp;H2)-COUNTIF(Vertices[Out-Degree],"&gt;="&amp;H3)</f>
        <v>0</v>
      </c>
      <c r="J2" s="38">
        <f>MIN(Vertices[Betweenness Centrality])</f>
        <v>0</v>
      </c>
      <c r="K2" s="39">
        <f>COUNTIF(Vertices[Betweenness Centrality],"&gt;= "&amp;J2)-COUNTIF(Vertices[Betweenness Centrality],"&gt;="&amp;J3)</f>
        <v>0</v>
      </c>
      <c r="L2" s="38">
        <f>MIN(Vertices[Closeness Centrality])</f>
        <v>0</v>
      </c>
      <c r="M2" s="39">
        <f>COUNTIF(Vertices[Closeness Centrality],"&gt;= "&amp;L2)-COUNTIF(Vertices[Closeness Centrality],"&gt;="&amp;L3)</f>
        <v>0</v>
      </c>
      <c r="N2" s="38">
        <f>MIN(Vertices[Eigenvector Centrality])</f>
        <v>0</v>
      </c>
      <c r="O2" s="39">
        <f>COUNTIF(Vertices[Eigenvector Centrality],"&gt;= "&amp;N2)-COUNTIF(Vertices[Eigenvector Centrality],"&gt;="&amp;N3)</f>
        <v>0</v>
      </c>
      <c r="P2" s="38">
        <f>MIN(Vertices[PageRank])</f>
        <v>0</v>
      </c>
      <c r="Q2" s="39">
        <f>COUNTIF(Vertices[PageRank],"&gt;= "&amp;P2)-COUNTIF(Vertices[PageRank],"&gt;="&amp;P3)</f>
        <v>0</v>
      </c>
      <c r="R2" s="38">
        <f>MIN(Vertices[Clustering Coefficient])</f>
        <v>0</v>
      </c>
      <c r="S2" s="44">
        <f>COUNTIF(Vertices[Clustering Coefficient],"&gt;= "&amp;R2)-COUNTIF(Vertices[Clustering Coefficient],"&gt;="&amp;R3)</f>
        <v>0</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35"/>
      <c r="B3" s="35"/>
      <c r="D3" s="33">
        <f aca="true" t="shared" si="1" ref="D3:D35">D2+($D$36-$D$2)/BinDivisor</f>
        <v>0</v>
      </c>
      <c r="E3" s="3">
        <f>COUNTIF(Vertices[Degree],"&gt;= "&amp;D3)-COUNTIF(Vertices[Degree],"&gt;="&amp;D4)</f>
        <v>0</v>
      </c>
      <c r="F3" s="40">
        <f aca="true" t="shared" si="2" ref="F3:F35">F2+($F$36-$F$2)/BinDivisor</f>
        <v>0</v>
      </c>
      <c r="G3" s="41">
        <f>COUNTIF(Vertices[In-Degree],"&gt;= "&amp;F3)-COUNTIF(Vertices[In-Degree],"&gt;="&amp;F4)</f>
        <v>0</v>
      </c>
      <c r="H3" s="40">
        <f aca="true" t="shared" si="3" ref="H3:H35">H2+($H$36-$H$2)/BinDivisor</f>
        <v>0</v>
      </c>
      <c r="I3" s="41">
        <f>COUNTIF(Vertices[Out-Degree],"&gt;= "&amp;H3)-COUNTIF(Vertices[Out-Degree],"&gt;="&amp;H4)</f>
        <v>0</v>
      </c>
      <c r="J3" s="40">
        <f aca="true" t="shared" si="4" ref="J3:J35">J2+($J$36-$J$2)/BinDivisor</f>
        <v>0</v>
      </c>
      <c r="K3" s="41">
        <f>COUNTIF(Vertices[Betweenness Centrality],"&gt;= "&amp;J3)-COUNTIF(Vertices[Betweenness Centrality],"&gt;="&amp;J4)</f>
        <v>0</v>
      </c>
      <c r="L3" s="40">
        <f aca="true" t="shared" si="5" ref="L3:L35">L2+($L$36-$L$2)/BinDivisor</f>
        <v>0</v>
      </c>
      <c r="M3" s="41">
        <f>COUNTIF(Vertices[Closeness Centrality],"&gt;= "&amp;L3)-COUNTIF(Vertices[Closeness Centrality],"&gt;="&amp;L4)</f>
        <v>0</v>
      </c>
      <c r="N3" s="40">
        <f aca="true" t="shared" si="6" ref="N3:N35">N2+($N$36-$N$2)/BinDivisor</f>
        <v>0</v>
      </c>
      <c r="O3" s="41">
        <f>COUNTIF(Vertices[Eigenvector Centrality],"&gt;= "&amp;N3)-COUNTIF(Vertices[Eigenvector Centrality],"&gt;="&amp;N4)</f>
        <v>0</v>
      </c>
      <c r="P3" s="40">
        <f aca="true" t="shared" si="7" ref="P3:P35">P2+($P$36-$P$2)/BinDivisor</f>
        <v>0</v>
      </c>
      <c r="Q3" s="41">
        <f>COUNTIF(Vertices[PageRank],"&gt;= "&amp;P3)-COUNTIF(Vertices[PageRank],"&gt;="&amp;P4)</f>
        <v>0</v>
      </c>
      <c r="R3" s="40">
        <f aca="true" t="shared" si="8" ref="R3:R35">R2+($R$36-$R$2)/BinDivisor</f>
        <v>0</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c r="B4" s="35"/>
      <c r="D4" s="33">
        <f t="shared" si="1"/>
        <v>0</v>
      </c>
      <c r="E4" s="3">
        <f>COUNTIF(Vertices[Degree],"&gt;= "&amp;D4)-COUNTIF(Vertices[Degree],"&gt;="&amp;D5)</f>
        <v>0</v>
      </c>
      <c r="F4" s="38">
        <f t="shared" si="2"/>
        <v>0</v>
      </c>
      <c r="G4" s="39">
        <f>COUNTIF(Vertices[In-Degree],"&gt;= "&amp;F4)-COUNTIF(Vertices[In-Degree],"&gt;="&amp;F5)</f>
        <v>0</v>
      </c>
      <c r="H4" s="38">
        <f t="shared" si="3"/>
        <v>0</v>
      </c>
      <c r="I4" s="39">
        <f>COUNTIF(Vertices[Out-Degree],"&gt;= "&amp;H4)-COUNTIF(Vertices[Out-Degree],"&gt;="&amp;H5)</f>
        <v>0</v>
      </c>
      <c r="J4" s="38">
        <f t="shared" si="4"/>
        <v>0</v>
      </c>
      <c r="K4" s="39">
        <f>COUNTIF(Vertices[Betweenness Centrality],"&gt;= "&amp;J4)-COUNTIF(Vertices[Betweenness Centrality],"&gt;="&amp;J5)</f>
        <v>0</v>
      </c>
      <c r="L4" s="38">
        <f t="shared" si="5"/>
        <v>0</v>
      </c>
      <c r="M4" s="39">
        <f>COUNTIF(Vertices[Closeness Centrality],"&gt;= "&amp;L4)-COUNTIF(Vertices[Closeness Centrality],"&gt;="&amp;L5)</f>
        <v>0</v>
      </c>
      <c r="N4" s="38">
        <f t="shared" si="6"/>
        <v>0</v>
      </c>
      <c r="O4" s="39">
        <f>COUNTIF(Vertices[Eigenvector Centrality],"&gt;= "&amp;N4)-COUNTIF(Vertices[Eigenvector Centrality],"&gt;="&amp;N5)</f>
        <v>0</v>
      </c>
      <c r="P4" s="38">
        <f t="shared" si="7"/>
        <v>0</v>
      </c>
      <c r="Q4" s="39">
        <f>COUNTIF(Vertices[PageRank],"&gt;= "&amp;P4)-COUNTIF(Vertices[PageRank],"&gt;="&amp;P5)</f>
        <v>0</v>
      </c>
      <c r="R4" s="38">
        <f t="shared" si="8"/>
        <v>0</v>
      </c>
      <c r="S4" s="44">
        <f>COUNTIF(Vertices[Clustering Coefficient],"&gt;= "&amp;R4)-COUNTIF(Vertices[Clustering Coefficient],"&gt;="&amp;R5)</f>
        <v>0</v>
      </c>
      <c r="T4" s="38" t="e">
        <f ca="1" t="shared" si="9"/>
        <v>#REF!</v>
      </c>
      <c r="U4" s="39" t="e">
        <f ca="1" t="shared" si="0"/>
        <v>#REF!</v>
      </c>
      <c r="W4" s="12" t="s">
        <v>126</v>
      </c>
      <c r="X4" s="12" t="s">
        <v>128</v>
      </c>
    </row>
    <row r="5" spans="1:21" ht="15">
      <c r="A5" s="35"/>
      <c r="B5" s="35"/>
      <c r="D5" s="33">
        <f t="shared" si="1"/>
        <v>0</v>
      </c>
      <c r="E5" s="3">
        <f>COUNTIF(Vertices[Degree],"&gt;= "&amp;D5)-COUNTIF(Vertices[Degree],"&gt;="&amp;D6)</f>
        <v>0</v>
      </c>
      <c r="F5" s="40">
        <f t="shared" si="2"/>
        <v>0</v>
      </c>
      <c r="G5" s="41">
        <f>COUNTIF(Vertices[In-Degree],"&gt;= "&amp;F5)-COUNTIF(Vertices[In-Degree],"&gt;="&amp;F6)</f>
        <v>0</v>
      </c>
      <c r="H5" s="40">
        <f t="shared" si="3"/>
        <v>0</v>
      </c>
      <c r="I5" s="41">
        <f>COUNTIF(Vertices[Out-Degree],"&gt;= "&amp;H5)-COUNTIF(Vertices[Out-Degree],"&gt;="&amp;H6)</f>
        <v>0</v>
      </c>
      <c r="J5" s="40">
        <f t="shared" si="4"/>
        <v>0</v>
      </c>
      <c r="K5" s="41">
        <f>COUNTIF(Vertices[Betweenness Centrality],"&gt;= "&amp;J5)-COUNTIF(Vertices[Betweenness Centrality],"&gt;="&amp;J6)</f>
        <v>0</v>
      </c>
      <c r="L5" s="40">
        <f t="shared" si="5"/>
        <v>0</v>
      </c>
      <c r="M5" s="41">
        <f>COUNTIF(Vertices[Closeness Centrality],"&gt;= "&amp;L5)-COUNTIF(Vertices[Closeness Centrality],"&gt;="&amp;L6)</f>
        <v>0</v>
      </c>
      <c r="N5" s="40">
        <f t="shared" si="6"/>
        <v>0</v>
      </c>
      <c r="O5" s="41">
        <f>COUNTIF(Vertices[Eigenvector Centrality],"&gt;= "&amp;N5)-COUNTIF(Vertices[Eigenvector Centrality],"&gt;="&amp;N6)</f>
        <v>0</v>
      </c>
      <c r="P5" s="40">
        <f t="shared" si="7"/>
        <v>0</v>
      </c>
      <c r="Q5" s="41">
        <f>COUNTIF(Vertices[PageRank],"&gt;= "&amp;P5)-COUNTIF(Vertices[PageRank],"&gt;="&amp;P6)</f>
        <v>0</v>
      </c>
      <c r="R5" s="40">
        <f t="shared" si="8"/>
        <v>0</v>
      </c>
      <c r="S5" s="45">
        <f>COUNTIF(Vertices[Clustering Coefficient],"&gt;= "&amp;R5)-COUNTIF(Vertices[Clustering Coefficient],"&gt;="&amp;R6)</f>
        <v>0</v>
      </c>
      <c r="T5" s="40" t="e">
        <f ca="1" t="shared" si="9"/>
        <v>#REF!</v>
      </c>
      <c r="U5" s="41" t="e">
        <f ca="1" t="shared" si="0"/>
        <v>#REF!</v>
      </c>
    </row>
    <row r="6" spans="1:21" ht="15">
      <c r="A6" s="35"/>
      <c r="B6" s="35"/>
      <c r="D6" s="33">
        <f t="shared" si="1"/>
        <v>0</v>
      </c>
      <c r="E6" s="3">
        <f>COUNTIF(Vertices[Degree],"&gt;= "&amp;D6)-COUNTIF(Vertices[Degree],"&gt;="&amp;D7)</f>
        <v>0</v>
      </c>
      <c r="F6" s="38">
        <f t="shared" si="2"/>
        <v>0</v>
      </c>
      <c r="G6" s="39">
        <f>COUNTIF(Vertices[In-Degree],"&gt;= "&amp;F6)-COUNTIF(Vertices[In-Degree],"&gt;="&amp;F7)</f>
        <v>0</v>
      </c>
      <c r="H6" s="38">
        <f t="shared" si="3"/>
        <v>0</v>
      </c>
      <c r="I6" s="39">
        <f>COUNTIF(Vertices[Out-Degree],"&gt;= "&amp;H6)-COUNTIF(Vertices[Out-Degree],"&gt;="&amp;H7)</f>
        <v>0</v>
      </c>
      <c r="J6" s="38">
        <f t="shared" si="4"/>
        <v>0</v>
      </c>
      <c r="K6" s="39">
        <f>COUNTIF(Vertices[Betweenness Centrality],"&gt;= "&amp;J6)-COUNTIF(Vertices[Betweenness Centrality],"&gt;="&amp;J7)</f>
        <v>0</v>
      </c>
      <c r="L6" s="38">
        <f t="shared" si="5"/>
        <v>0</v>
      </c>
      <c r="M6" s="39">
        <f>COUNTIF(Vertices[Closeness Centrality],"&gt;= "&amp;L6)-COUNTIF(Vertices[Closeness Centrality],"&gt;="&amp;L7)</f>
        <v>0</v>
      </c>
      <c r="N6" s="38">
        <f t="shared" si="6"/>
        <v>0</v>
      </c>
      <c r="O6" s="39">
        <f>COUNTIF(Vertices[Eigenvector Centrality],"&gt;= "&amp;N6)-COUNTIF(Vertices[Eigenvector Centrality],"&gt;="&amp;N7)</f>
        <v>0</v>
      </c>
      <c r="P6" s="38">
        <f t="shared" si="7"/>
        <v>0</v>
      </c>
      <c r="Q6" s="39">
        <f>COUNTIF(Vertices[PageRank],"&gt;= "&amp;P6)-COUNTIF(Vertices[PageRank],"&gt;="&amp;P7)</f>
        <v>0</v>
      </c>
      <c r="R6" s="38">
        <f t="shared" si="8"/>
        <v>0</v>
      </c>
      <c r="S6" s="44">
        <f>COUNTIF(Vertices[Clustering Coefficient],"&gt;= "&amp;R6)-COUNTIF(Vertices[Clustering Coefficient],"&gt;="&amp;R7)</f>
        <v>0</v>
      </c>
      <c r="T6" s="38" t="e">
        <f ca="1" t="shared" si="9"/>
        <v>#REF!</v>
      </c>
      <c r="U6" s="39" t="e">
        <f ca="1" t="shared" si="0"/>
        <v>#REF!</v>
      </c>
    </row>
    <row r="7" spans="1:21" ht="15">
      <c r="A7" s="35"/>
      <c r="B7" s="35"/>
      <c r="D7" s="33">
        <f t="shared" si="1"/>
        <v>0</v>
      </c>
      <c r="E7" s="3">
        <f>COUNTIF(Vertices[Degree],"&gt;= "&amp;D7)-COUNTIF(Vertices[Degree],"&gt;="&amp;D8)</f>
        <v>0</v>
      </c>
      <c r="F7" s="40">
        <f t="shared" si="2"/>
        <v>0</v>
      </c>
      <c r="G7" s="41">
        <f>COUNTIF(Vertices[In-Degree],"&gt;= "&amp;F7)-COUNTIF(Vertices[In-Degree],"&gt;="&amp;F8)</f>
        <v>0</v>
      </c>
      <c r="H7" s="40">
        <f t="shared" si="3"/>
        <v>0</v>
      </c>
      <c r="I7" s="41">
        <f>COUNTIF(Vertices[Out-Degree],"&gt;= "&amp;H7)-COUNTIF(Vertices[Out-Degree],"&gt;="&amp;H8)</f>
        <v>0</v>
      </c>
      <c r="J7" s="40">
        <f t="shared" si="4"/>
        <v>0</v>
      </c>
      <c r="K7" s="41">
        <f>COUNTIF(Vertices[Betweenness Centrality],"&gt;= "&amp;J7)-COUNTIF(Vertices[Betweenness Centrality],"&gt;="&amp;J8)</f>
        <v>0</v>
      </c>
      <c r="L7" s="40">
        <f t="shared" si="5"/>
        <v>0</v>
      </c>
      <c r="M7" s="41">
        <f>COUNTIF(Vertices[Closeness Centrality],"&gt;= "&amp;L7)-COUNTIF(Vertices[Closeness Centrality],"&gt;="&amp;L8)</f>
        <v>0</v>
      </c>
      <c r="N7" s="40">
        <f t="shared" si="6"/>
        <v>0</v>
      </c>
      <c r="O7" s="41">
        <f>COUNTIF(Vertices[Eigenvector Centrality],"&gt;= "&amp;N7)-COUNTIF(Vertices[Eigenvector Centrality],"&gt;="&amp;N8)</f>
        <v>0</v>
      </c>
      <c r="P7" s="40">
        <f t="shared" si="7"/>
        <v>0</v>
      </c>
      <c r="Q7" s="41">
        <f>COUNTIF(Vertices[PageRank],"&gt;= "&amp;P7)-COUNTIF(Vertices[PageRank],"&gt;="&amp;P8)</f>
        <v>0</v>
      </c>
      <c r="R7" s="40">
        <f t="shared" si="8"/>
        <v>0</v>
      </c>
      <c r="S7" s="45">
        <f>COUNTIF(Vertices[Clustering Coefficient],"&gt;= "&amp;R7)-COUNTIF(Vertices[Clustering Coefficient],"&gt;="&amp;R8)</f>
        <v>0</v>
      </c>
      <c r="T7" s="40" t="e">
        <f ca="1" t="shared" si="9"/>
        <v>#REF!</v>
      </c>
      <c r="U7" s="41" t="e">
        <f ca="1" t="shared" si="0"/>
        <v>#REF!</v>
      </c>
    </row>
    <row r="8" spans="1:21" ht="15">
      <c r="A8" s="35"/>
      <c r="B8" s="35"/>
      <c r="D8" s="33">
        <f t="shared" si="1"/>
        <v>0</v>
      </c>
      <c r="E8" s="3">
        <f>COUNTIF(Vertices[Degree],"&gt;= "&amp;D8)-COUNTIF(Vertices[Degree],"&gt;="&amp;D9)</f>
        <v>0</v>
      </c>
      <c r="F8" s="38">
        <f t="shared" si="2"/>
        <v>0</v>
      </c>
      <c r="G8" s="39">
        <f>COUNTIF(Vertices[In-Degree],"&gt;= "&amp;F8)-COUNTIF(Vertices[In-Degree],"&gt;="&amp;F9)</f>
        <v>0</v>
      </c>
      <c r="H8" s="38">
        <f t="shared" si="3"/>
        <v>0</v>
      </c>
      <c r="I8" s="39">
        <f>COUNTIF(Vertices[Out-Degree],"&gt;= "&amp;H8)-COUNTIF(Vertices[Out-Degree],"&gt;="&amp;H9)</f>
        <v>0</v>
      </c>
      <c r="J8" s="38">
        <f t="shared" si="4"/>
        <v>0</v>
      </c>
      <c r="K8" s="39">
        <f>COUNTIF(Vertices[Betweenness Centrality],"&gt;= "&amp;J8)-COUNTIF(Vertices[Betweenness Centrality],"&gt;="&amp;J9)</f>
        <v>0</v>
      </c>
      <c r="L8" s="38">
        <f t="shared" si="5"/>
        <v>0</v>
      </c>
      <c r="M8" s="39">
        <f>COUNTIF(Vertices[Closeness Centrality],"&gt;= "&amp;L8)-COUNTIF(Vertices[Closeness Centrality],"&gt;="&amp;L9)</f>
        <v>0</v>
      </c>
      <c r="N8" s="38">
        <f t="shared" si="6"/>
        <v>0</v>
      </c>
      <c r="O8" s="39">
        <f>COUNTIF(Vertices[Eigenvector Centrality],"&gt;= "&amp;N8)-COUNTIF(Vertices[Eigenvector Centrality],"&gt;="&amp;N9)</f>
        <v>0</v>
      </c>
      <c r="P8" s="38">
        <f t="shared" si="7"/>
        <v>0</v>
      </c>
      <c r="Q8" s="39">
        <f>COUNTIF(Vertices[PageRank],"&gt;= "&amp;P8)-COUNTIF(Vertices[PageRank],"&gt;="&amp;P9)</f>
        <v>0</v>
      </c>
      <c r="R8" s="38">
        <f t="shared" si="8"/>
        <v>0</v>
      </c>
      <c r="S8" s="44">
        <f>COUNTIF(Vertices[Clustering Coefficient],"&gt;= "&amp;R8)-COUNTIF(Vertices[Clustering Coefficient],"&gt;="&amp;R9)</f>
        <v>0</v>
      </c>
      <c r="T8" s="38" t="e">
        <f ca="1" t="shared" si="9"/>
        <v>#REF!</v>
      </c>
      <c r="U8" s="39" t="e">
        <f ca="1" t="shared" si="0"/>
        <v>#REF!</v>
      </c>
    </row>
    <row r="9" spans="1:21" ht="15">
      <c r="A9" s="35"/>
      <c r="B9" s="35"/>
      <c r="D9" s="33">
        <f t="shared" si="1"/>
        <v>0</v>
      </c>
      <c r="E9" s="3">
        <f>COUNTIF(Vertices[Degree],"&gt;= "&amp;D9)-COUNTIF(Vertices[Degree],"&gt;="&amp;D10)</f>
        <v>0</v>
      </c>
      <c r="F9" s="40">
        <f t="shared" si="2"/>
        <v>0</v>
      </c>
      <c r="G9" s="41">
        <f>COUNTIF(Vertices[In-Degree],"&gt;= "&amp;F9)-COUNTIF(Vertices[In-Degree],"&gt;="&amp;F10)</f>
        <v>0</v>
      </c>
      <c r="H9" s="40">
        <f t="shared" si="3"/>
        <v>0</v>
      </c>
      <c r="I9" s="41">
        <f>COUNTIF(Vertices[Out-Degree],"&gt;= "&amp;H9)-COUNTIF(Vertices[Out-Degree],"&gt;="&amp;H10)</f>
        <v>0</v>
      </c>
      <c r="J9" s="40">
        <f t="shared" si="4"/>
        <v>0</v>
      </c>
      <c r="K9" s="41">
        <f>COUNTIF(Vertices[Betweenness Centrality],"&gt;= "&amp;J9)-COUNTIF(Vertices[Betweenness Centrality],"&gt;="&amp;J10)</f>
        <v>0</v>
      </c>
      <c r="L9" s="40">
        <f t="shared" si="5"/>
        <v>0</v>
      </c>
      <c r="M9" s="41">
        <f>COUNTIF(Vertices[Closeness Centrality],"&gt;= "&amp;L9)-COUNTIF(Vertices[Closeness Centrality],"&gt;="&amp;L10)</f>
        <v>0</v>
      </c>
      <c r="N9" s="40">
        <f t="shared" si="6"/>
        <v>0</v>
      </c>
      <c r="O9" s="41">
        <f>COUNTIF(Vertices[Eigenvector Centrality],"&gt;= "&amp;N9)-COUNTIF(Vertices[Eigenvector Centrality],"&gt;="&amp;N10)</f>
        <v>0</v>
      </c>
      <c r="P9" s="40">
        <f t="shared" si="7"/>
        <v>0</v>
      </c>
      <c r="Q9" s="41">
        <f>COUNTIF(Vertices[PageRank],"&gt;= "&amp;P9)-COUNTIF(Vertices[PageRank],"&gt;="&amp;P10)</f>
        <v>0</v>
      </c>
      <c r="R9" s="40">
        <f t="shared" si="8"/>
        <v>0</v>
      </c>
      <c r="S9" s="45">
        <f>COUNTIF(Vertices[Clustering Coefficient],"&gt;= "&amp;R9)-COUNTIF(Vertices[Clustering Coefficient],"&gt;="&amp;R10)</f>
        <v>0</v>
      </c>
      <c r="T9" s="40" t="e">
        <f ca="1" t="shared" si="9"/>
        <v>#REF!</v>
      </c>
      <c r="U9" s="41" t="e">
        <f ca="1" t="shared" si="0"/>
        <v>#REF!</v>
      </c>
    </row>
    <row r="10" spans="1:21" ht="15">
      <c r="A10" s="35"/>
      <c r="B10" s="35"/>
      <c r="D10" s="33">
        <f t="shared" si="1"/>
        <v>0</v>
      </c>
      <c r="E10" s="3">
        <f>COUNTIF(Vertices[Degree],"&gt;= "&amp;D10)-COUNTIF(Vertices[Degree],"&gt;="&amp;D11)</f>
        <v>0</v>
      </c>
      <c r="F10" s="38">
        <f t="shared" si="2"/>
        <v>0</v>
      </c>
      <c r="G10" s="39">
        <f>COUNTIF(Vertices[In-Degree],"&gt;= "&amp;F10)-COUNTIF(Vertices[In-Degree],"&gt;="&amp;F11)</f>
        <v>0</v>
      </c>
      <c r="H10" s="38">
        <f t="shared" si="3"/>
        <v>0</v>
      </c>
      <c r="I10" s="39">
        <f>COUNTIF(Vertices[Out-Degree],"&gt;= "&amp;H10)-COUNTIF(Vertices[Out-Degree],"&gt;="&amp;H11)</f>
        <v>0</v>
      </c>
      <c r="J10" s="38">
        <f t="shared" si="4"/>
        <v>0</v>
      </c>
      <c r="K10" s="39">
        <f>COUNTIF(Vertices[Betweenness Centrality],"&gt;= "&amp;J10)-COUNTIF(Vertices[Betweenness Centrality],"&gt;="&amp;J11)</f>
        <v>0</v>
      </c>
      <c r="L10" s="38">
        <f t="shared" si="5"/>
        <v>0</v>
      </c>
      <c r="M10" s="39">
        <f>COUNTIF(Vertices[Closeness Centrality],"&gt;= "&amp;L10)-COUNTIF(Vertices[Closeness Centrality],"&gt;="&amp;L11)</f>
        <v>0</v>
      </c>
      <c r="N10" s="38">
        <f t="shared" si="6"/>
        <v>0</v>
      </c>
      <c r="O10" s="39">
        <f>COUNTIF(Vertices[Eigenvector Centrality],"&gt;= "&amp;N10)-COUNTIF(Vertices[Eigenvector Centrality],"&gt;="&amp;N11)</f>
        <v>0</v>
      </c>
      <c r="P10" s="38">
        <f t="shared" si="7"/>
        <v>0</v>
      </c>
      <c r="Q10" s="39">
        <f>COUNTIF(Vertices[PageRank],"&gt;= "&amp;P10)-COUNTIF(Vertices[PageRank],"&gt;="&amp;P11)</f>
        <v>0</v>
      </c>
      <c r="R10" s="38">
        <f t="shared" si="8"/>
        <v>0</v>
      </c>
      <c r="S10" s="44">
        <f>COUNTIF(Vertices[Clustering Coefficient],"&gt;= "&amp;R10)-COUNTIF(Vertices[Clustering Coefficient],"&gt;="&amp;R11)</f>
        <v>0</v>
      </c>
      <c r="T10" s="38" t="e">
        <f ca="1" t="shared" si="9"/>
        <v>#REF!</v>
      </c>
      <c r="U10" s="39" t="e">
        <f ca="1" t="shared" si="0"/>
        <v>#REF!</v>
      </c>
    </row>
    <row r="11" spans="1:21" ht="15">
      <c r="A11" s="35"/>
      <c r="B11" s="35"/>
      <c r="D11" s="33">
        <f t="shared" si="1"/>
        <v>0</v>
      </c>
      <c r="E11" s="3">
        <f>COUNTIF(Vertices[Degree],"&gt;= "&amp;D11)-COUNTIF(Vertices[Degree],"&gt;="&amp;D12)</f>
        <v>0</v>
      </c>
      <c r="F11" s="40">
        <f t="shared" si="2"/>
        <v>0</v>
      </c>
      <c r="G11" s="41">
        <f>COUNTIF(Vertices[In-Degree],"&gt;= "&amp;F11)-COUNTIF(Vertices[In-Degree],"&gt;="&amp;F12)</f>
        <v>0</v>
      </c>
      <c r="H11" s="40">
        <f t="shared" si="3"/>
        <v>0</v>
      </c>
      <c r="I11" s="41">
        <f>COUNTIF(Vertices[Out-Degree],"&gt;= "&amp;H11)-COUNTIF(Vertices[Out-Degree],"&gt;="&amp;H12)</f>
        <v>0</v>
      </c>
      <c r="J11" s="40">
        <f t="shared" si="4"/>
        <v>0</v>
      </c>
      <c r="K11" s="41">
        <f>COUNTIF(Vertices[Betweenness Centrality],"&gt;= "&amp;J11)-COUNTIF(Vertices[Betweenness Centrality],"&gt;="&amp;J12)</f>
        <v>0</v>
      </c>
      <c r="L11" s="40">
        <f t="shared" si="5"/>
        <v>0</v>
      </c>
      <c r="M11" s="41">
        <f>COUNTIF(Vertices[Closeness Centrality],"&gt;= "&amp;L11)-COUNTIF(Vertices[Closeness Centrality],"&gt;="&amp;L12)</f>
        <v>0</v>
      </c>
      <c r="N11" s="40">
        <f t="shared" si="6"/>
        <v>0</v>
      </c>
      <c r="O11" s="41">
        <f>COUNTIF(Vertices[Eigenvector Centrality],"&gt;= "&amp;N11)-COUNTIF(Vertices[Eigenvector Centrality],"&gt;="&amp;N12)</f>
        <v>0</v>
      </c>
      <c r="P11" s="40">
        <f t="shared" si="7"/>
        <v>0</v>
      </c>
      <c r="Q11" s="41">
        <f>COUNTIF(Vertices[PageRank],"&gt;= "&amp;P11)-COUNTIF(Vertices[PageRank],"&gt;="&amp;P12)</f>
        <v>0</v>
      </c>
      <c r="R11" s="40">
        <f t="shared" si="8"/>
        <v>0</v>
      </c>
      <c r="S11" s="45">
        <f>COUNTIF(Vertices[Clustering Coefficient],"&gt;= "&amp;R11)-COUNTIF(Vertices[Clustering Coefficient],"&gt;="&amp;R12)</f>
        <v>0</v>
      </c>
      <c r="T11" s="40" t="e">
        <f ca="1" t="shared" si="9"/>
        <v>#REF!</v>
      </c>
      <c r="U11" s="41" t="e">
        <f ca="1" t="shared" si="0"/>
        <v>#REF!</v>
      </c>
    </row>
    <row r="12" spans="1:21" ht="15">
      <c r="A12" s="35"/>
      <c r="B12" s="35"/>
      <c r="D12" s="33">
        <f t="shared" si="1"/>
        <v>0</v>
      </c>
      <c r="E12" s="3">
        <f>COUNTIF(Vertices[Degree],"&gt;= "&amp;D12)-COUNTIF(Vertices[Degree],"&gt;="&amp;D13)</f>
        <v>0</v>
      </c>
      <c r="F12" s="38">
        <f t="shared" si="2"/>
        <v>0</v>
      </c>
      <c r="G12" s="39">
        <f>COUNTIF(Vertices[In-Degree],"&gt;= "&amp;F12)-COUNTIF(Vertices[In-Degree],"&gt;="&amp;F13)</f>
        <v>0</v>
      </c>
      <c r="H12" s="38">
        <f t="shared" si="3"/>
        <v>0</v>
      </c>
      <c r="I12" s="39">
        <f>COUNTIF(Vertices[Out-Degree],"&gt;= "&amp;H12)-COUNTIF(Vertices[Out-Degree],"&gt;="&amp;H13)</f>
        <v>0</v>
      </c>
      <c r="J12" s="38">
        <f t="shared" si="4"/>
        <v>0</v>
      </c>
      <c r="K12" s="39">
        <f>COUNTIF(Vertices[Betweenness Centrality],"&gt;= "&amp;J12)-COUNTIF(Vertices[Betweenness Centrality],"&gt;="&amp;J13)</f>
        <v>0</v>
      </c>
      <c r="L12" s="38">
        <f t="shared" si="5"/>
        <v>0</v>
      </c>
      <c r="M12" s="39">
        <f>COUNTIF(Vertices[Closeness Centrality],"&gt;= "&amp;L12)-COUNTIF(Vertices[Closeness Centrality],"&gt;="&amp;L13)</f>
        <v>0</v>
      </c>
      <c r="N12" s="38">
        <f t="shared" si="6"/>
        <v>0</v>
      </c>
      <c r="O12" s="39">
        <f>COUNTIF(Vertices[Eigenvector Centrality],"&gt;= "&amp;N12)-COUNTIF(Vertices[Eigenvector Centrality],"&gt;="&amp;N13)</f>
        <v>0</v>
      </c>
      <c r="P12" s="38">
        <f t="shared" si="7"/>
        <v>0</v>
      </c>
      <c r="Q12" s="39">
        <f>COUNTIF(Vertices[PageRank],"&gt;= "&amp;P12)-COUNTIF(Vertices[PageRank],"&gt;="&amp;P13)</f>
        <v>0</v>
      </c>
      <c r="R12" s="38">
        <f t="shared" si="8"/>
        <v>0</v>
      </c>
      <c r="S12" s="44">
        <f>COUNTIF(Vertices[Clustering Coefficient],"&gt;= "&amp;R12)-COUNTIF(Vertices[Clustering Coefficient],"&gt;="&amp;R13)</f>
        <v>0</v>
      </c>
      <c r="T12" s="38" t="e">
        <f ca="1" t="shared" si="9"/>
        <v>#REF!</v>
      </c>
      <c r="U12" s="39" t="e">
        <f ca="1" t="shared" si="0"/>
        <v>#REF!</v>
      </c>
    </row>
    <row r="13" spans="1:21" ht="15">
      <c r="A13" s="35"/>
      <c r="B13" s="35"/>
      <c r="D13" s="33">
        <f t="shared" si="1"/>
        <v>0</v>
      </c>
      <c r="E13" s="3">
        <f>COUNTIF(Vertices[Degree],"&gt;= "&amp;D13)-COUNTIF(Vertices[Degree],"&gt;="&amp;D14)</f>
        <v>0</v>
      </c>
      <c r="F13" s="40">
        <f t="shared" si="2"/>
        <v>0</v>
      </c>
      <c r="G13" s="41">
        <f>COUNTIF(Vertices[In-Degree],"&gt;= "&amp;F13)-COUNTIF(Vertices[In-Degree],"&gt;="&amp;F14)</f>
        <v>0</v>
      </c>
      <c r="H13" s="40">
        <f t="shared" si="3"/>
        <v>0</v>
      </c>
      <c r="I13" s="41">
        <f>COUNTIF(Vertices[Out-Degree],"&gt;= "&amp;H13)-COUNTIF(Vertices[Out-Degree],"&gt;="&amp;H14)</f>
        <v>0</v>
      </c>
      <c r="J13" s="40">
        <f t="shared" si="4"/>
        <v>0</v>
      </c>
      <c r="K13" s="41">
        <f>COUNTIF(Vertices[Betweenness Centrality],"&gt;= "&amp;J13)-COUNTIF(Vertices[Betweenness Centrality],"&gt;="&amp;J14)</f>
        <v>0</v>
      </c>
      <c r="L13" s="40">
        <f t="shared" si="5"/>
        <v>0</v>
      </c>
      <c r="M13" s="41">
        <f>COUNTIF(Vertices[Closeness Centrality],"&gt;= "&amp;L13)-COUNTIF(Vertices[Closeness Centrality],"&gt;="&amp;L14)</f>
        <v>0</v>
      </c>
      <c r="N13" s="40">
        <f t="shared" si="6"/>
        <v>0</v>
      </c>
      <c r="O13" s="41">
        <f>COUNTIF(Vertices[Eigenvector Centrality],"&gt;= "&amp;N13)-COUNTIF(Vertices[Eigenvector Centrality],"&gt;="&amp;N14)</f>
        <v>0</v>
      </c>
      <c r="P13" s="40">
        <f t="shared" si="7"/>
        <v>0</v>
      </c>
      <c r="Q13" s="41">
        <f>COUNTIF(Vertices[PageRank],"&gt;= "&amp;P13)-COUNTIF(Vertices[PageRank],"&gt;="&amp;P14)</f>
        <v>0</v>
      </c>
      <c r="R13" s="40">
        <f t="shared" si="8"/>
        <v>0</v>
      </c>
      <c r="S13" s="45">
        <f>COUNTIF(Vertices[Clustering Coefficient],"&gt;= "&amp;R13)-COUNTIF(Vertices[Clustering Coefficient],"&gt;="&amp;R14)</f>
        <v>0</v>
      </c>
      <c r="T13" s="40" t="e">
        <f ca="1" t="shared" si="9"/>
        <v>#REF!</v>
      </c>
      <c r="U13" s="41" t="e">
        <f ca="1" t="shared" si="0"/>
        <v>#REF!</v>
      </c>
    </row>
    <row r="14" spans="1:21" ht="15">
      <c r="A14" s="35"/>
      <c r="B14" s="35"/>
      <c r="D14" s="33">
        <f t="shared" si="1"/>
        <v>0</v>
      </c>
      <c r="E14" s="3">
        <f>COUNTIF(Vertices[Degree],"&gt;= "&amp;D14)-COUNTIF(Vertices[Degree],"&gt;="&amp;D15)</f>
        <v>0</v>
      </c>
      <c r="F14" s="38">
        <f t="shared" si="2"/>
        <v>0</v>
      </c>
      <c r="G14" s="39">
        <f>COUNTIF(Vertices[In-Degree],"&gt;= "&amp;F14)-COUNTIF(Vertices[In-Degree],"&gt;="&amp;F15)</f>
        <v>0</v>
      </c>
      <c r="H14" s="38">
        <f t="shared" si="3"/>
        <v>0</v>
      </c>
      <c r="I14" s="39">
        <f>COUNTIF(Vertices[Out-Degree],"&gt;= "&amp;H14)-COUNTIF(Vertices[Out-Degree],"&gt;="&amp;H15)</f>
        <v>0</v>
      </c>
      <c r="J14" s="38">
        <f t="shared" si="4"/>
        <v>0</v>
      </c>
      <c r="K14" s="39">
        <f>COUNTIF(Vertices[Betweenness Centrality],"&gt;= "&amp;J14)-COUNTIF(Vertices[Betweenness Centrality],"&gt;="&amp;J15)</f>
        <v>0</v>
      </c>
      <c r="L14" s="38">
        <f t="shared" si="5"/>
        <v>0</v>
      </c>
      <c r="M14" s="39">
        <f>COUNTIF(Vertices[Closeness Centrality],"&gt;= "&amp;L14)-COUNTIF(Vertices[Closeness Centrality],"&gt;="&amp;L15)</f>
        <v>0</v>
      </c>
      <c r="N14" s="38">
        <f t="shared" si="6"/>
        <v>0</v>
      </c>
      <c r="O14" s="39">
        <f>COUNTIF(Vertices[Eigenvector Centrality],"&gt;= "&amp;N14)-COUNTIF(Vertices[Eigenvector Centrality],"&gt;="&amp;N15)</f>
        <v>0</v>
      </c>
      <c r="P14" s="38">
        <f t="shared" si="7"/>
        <v>0</v>
      </c>
      <c r="Q14" s="39">
        <f>COUNTIF(Vertices[PageRank],"&gt;= "&amp;P14)-COUNTIF(Vertices[PageRank],"&gt;="&amp;P15)</f>
        <v>0</v>
      </c>
      <c r="R14" s="38">
        <f t="shared" si="8"/>
        <v>0</v>
      </c>
      <c r="S14" s="44">
        <f>COUNTIF(Vertices[Clustering Coefficient],"&gt;= "&amp;R14)-COUNTIF(Vertices[Clustering Coefficient],"&gt;="&amp;R15)</f>
        <v>0</v>
      </c>
      <c r="T14" s="38" t="e">
        <f ca="1" t="shared" si="9"/>
        <v>#REF!</v>
      </c>
      <c r="U14" s="39" t="e">
        <f ca="1" t="shared" si="0"/>
        <v>#REF!</v>
      </c>
    </row>
    <row r="15" spans="1:21" ht="15">
      <c r="A15" s="35"/>
      <c r="B15" s="35"/>
      <c r="D15" s="33">
        <f t="shared" si="1"/>
        <v>0</v>
      </c>
      <c r="E15" s="3">
        <f>COUNTIF(Vertices[Degree],"&gt;= "&amp;D15)-COUNTIF(Vertices[Degree],"&gt;="&amp;D16)</f>
        <v>0</v>
      </c>
      <c r="F15" s="40">
        <f t="shared" si="2"/>
        <v>0</v>
      </c>
      <c r="G15" s="41">
        <f>COUNTIF(Vertices[In-Degree],"&gt;= "&amp;F15)-COUNTIF(Vertices[In-Degree],"&gt;="&amp;F16)</f>
        <v>0</v>
      </c>
      <c r="H15" s="40">
        <f t="shared" si="3"/>
        <v>0</v>
      </c>
      <c r="I15" s="41">
        <f>COUNTIF(Vertices[Out-Degree],"&gt;= "&amp;H15)-COUNTIF(Vertices[Out-Degree],"&gt;="&amp;H16)</f>
        <v>0</v>
      </c>
      <c r="J15" s="40">
        <f t="shared" si="4"/>
        <v>0</v>
      </c>
      <c r="K15" s="41">
        <f>COUNTIF(Vertices[Betweenness Centrality],"&gt;= "&amp;J15)-COUNTIF(Vertices[Betweenness Centrality],"&gt;="&amp;J16)</f>
        <v>0</v>
      </c>
      <c r="L15" s="40">
        <f t="shared" si="5"/>
        <v>0</v>
      </c>
      <c r="M15" s="41">
        <f>COUNTIF(Vertices[Closeness Centrality],"&gt;= "&amp;L15)-COUNTIF(Vertices[Closeness Centrality],"&gt;="&amp;L16)</f>
        <v>0</v>
      </c>
      <c r="N15" s="40">
        <f t="shared" si="6"/>
        <v>0</v>
      </c>
      <c r="O15" s="41">
        <f>COUNTIF(Vertices[Eigenvector Centrality],"&gt;= "&amp;N15)-COUNTIF(Vertices[Eigenvector Centrality],"&gt;="&amp;N16)</f>
        <v>0</v>
      </c>
      <c r="P15" s="40">
        <f t="shared" si="7"/>
        <v>0</v>
      </c>
      <c r="Q15" s="41">
        <f>COUNTIF(Vertices[PageRank],"&gt;= "&amp;P15)-COUNTIF(Vertices[PageRank],"&gt;="&amp;P16)</f>
        <v>0</v>
      </c>
      <c r="R15" s="40">
        <f t="shared" si="8"/>
        <v>0</v>
      </c>
      <c r="S15" s="45">
        <f>COUNTIF(Vertices[Clustering Coefficient],"&gt;= "&amp;R15)-COUNTIF(Vertices[Clustering Coefficient],"&gt;="&amp;R16)</f>
        <v>0</v>
      </c>
      <c r="T15" s="40" t="e">
        <f ca="1" t="shared" si="9"/>
        <v>#REF!</v>
      </c>
      <c r="U15" s="41" t="e">
        <f ca="1" t="shared" si="0"/>
        <v>#REF!</v>
      </c>
    </row>
    <row r="16" spans="1:21" ht="15">
      <c r="A16" s="35"/>
      <c r="B16" s="35"/>
      <c r="D16" s="33">
        <f t="shared" si="1"/>
        <v>0</v>
      </c>
      <c r="E16" s="3">
        <f>COUNTIF(Vertices[Degree],"&gt;= "&amp;D16)-COUNTIF(Vertices[Degree],"&gt;="&amp;D17)</f>
        <v>0</v>
      </c>
      <c r="F16" s="38">
        <f t="shared" si="2"/>
        <v>0</v>
      </c>
      <c r="G16" s="39">
        <f>COUNTIF(Vertices[In-Degree],"&gt;= "&amp;F16)-COUNTIF(Vertices[In-Degree],"&gt;="&amp;F17)</f>
        <v>0</v>
      </c>
      <c r="H16" s="38">
        <f t="shared" si="3"/>
        <v>0</v>
      </c>
      <c r="I16" s="39">
        <f>COUNTIF(Vertices[Out-Degree],"&gt;= "&amp;H16)-COUNTIF(Vertices[Out-Degree],"&gt;="&amp;H17)</f>
        <v>0</v>
      </c>
      <c r="J16" s="38">
        <f t="shared" si="4"/>
        <v>0</v>
      </c>
      <c r="K16" s="39">
        <f>COUNTIF(Vertices[Betweenness Centrality],"&gt;= "&amp;J16)-COUNTIF(Vertices[Betweenness Centrality],"&gt;="&amp;J17)</f>
        <v>0</v>
      </c>
      <c r="L16" s="38">
        <f t="shared" si="5"/>
        <v>0</v>
      </c>
      <c r="M16" s="39">
        <f>COUNTIF(Vertices[Closeness Centrality],"&gt;= "&amp;L16)-COUNTIF(Vertices[Closeness Centrality],"&gt;="&amp;L17)</f>
        <v>0</v>
      </c>
      <c r="N16" s="38">
        <f t="shared" si="6"/>
        <v>0</v>
      </c>
      <c r="O16" s="39">
        <f>COUNTIF(Vertices[Eigenvector Centrality],"&gt;= "&amp;N16)-COUNTIF(Vertices[Eigenvector Centrality],"&gt;="&amp;N17)</f>
        <v>0</v>
      </c>
      <c r="P16" s="38">
        <f t="shared" si="7"/>
        <v>0</v>
      </c>
      <c r="Q16" s="39">
        <f>COUNTIF(Vertices[PageRank],"&gt;= "&amp;P16)-COUNTIF(Vertices[PageRank],"&gt;="&amp;P17)</f>
        <v>0</v>
      </c>
      <c r="R16" s="38">
        <f t="shared" si="8"/>
        <v>0</v>
      </c>
      <c r="S16" s="44">
        <f>COUNTIF(Vertices[Clustering Coefficient],"&gt;= "&amp;R16)-COUNTIF(Vertices[Clustering Coefficient],"&gt;="&amp;R17)</f>
        <v>0</v>
      </c>
      <c r="T16" s="38" t="e">
        <f ca="1" t="shared" si="9"/>
        <v>#REF!</v>
      </c>
      <c r="U16" s="39" t="e">
        <f ca="1" t="shared" si="0"/>
        <v>#REF!</v>
      </c>
    </row>
    <row r="17" spans="1:21" ht="15">
      <c r="A17" s="35"/>
      <c r="B17" s="35"/>
      <c r="D17" s="33">
        <f t="shared" si="1"/>
        <v>0</v>
      </c>
      <c r="E17" s="3">
        <f>COUNTIF(Vertices[Degree],"&gt;= "&amp;D17)-COUNTIF(Vertices[Degree],"&gt;="&amp;D18)</f>
        <v>0</v>
      </c>
      <c r="F17" s="40">
        <f t="shared" si="2"/>
        <v>0</v>
      </c>
      <c r="G17" s="41">
        <f>COUNTIF(Vertices[In-Degree],"&gt;= "&amp;F17)-COUNTIF(Vertices[In-Degree],"&gt;="&amp;F18)</f>
        <v>0</v>
      </c>
      <c r="H17" s="40">
        <f t="shared" si="3"/>
        <v>0</v>
      </c>
      <c r="I17" s="41">
        <f>COUNTIF(Vertices[Out-Degree],"&gt;= "&amp;H17)-COUNTIF(Vertices[Out-Degree],"&gt;="&amp;H18)</f>
        <v>0</v>
      </c>
      <c r="J17" s="40">
        <f t="shared" si="4"/>
        <v>0</v>
      </c>
      <c r="K17" s="41">
        <f>COUNTIF(Vertices[Betweenness Centrality],"&gt;= "&amp;J17)-COUNTIF(Vertices[Betweenness Centrality],"&gt;="&amp;J18)</f>
        <v>0</v>
      </c>
      <c r="L17" s="40">
        <f t="shared" si="5"/>
        <v>0</v>
      </c>
      <c r="M17" s="41">
        <f>COUNTIF(Vertices[Closeness Centrality],"&gt;= "&amp;L17)-COUNTIF(Vertices[Closeness Centrality],"&gt;="&amp;L18)</f>
        <v>0</v>
      </c>
      <c r="N17" s="40">
        <f t="shared" si="6"/>
        <v>0</v>
      </c>
      <c r="O17" s="41">
        <f>COUNTIF(Vertices[Eigenvector Centrality],"&gt;= "&amp;N17)-COUNTIF(Vertices[Eigenvector Centrality],"&gt;="&amp;N18)</f>
        <v>0</v>
      </c>
      <c r="P17" s="40">
        <f t="shared" si="7"/>
        <v>0</v>
      </c>
      <c r="Q17" s="41">
        <f>COUNTIF(Vertices[PageRank],"&gt;= "&amp;P17)-COUNTIF(Vertices[PageRank],"&gt;="&amp;P18)</f>
        <v>0</v>
      </c>
      <c r="R17" s="40">
        <f t="shared" si="8"/>
        <v>0</v>
      </c>
      <c r="S17" s="45">
        <f>COUNTIF(Vertices[Clustering Coefficient],"&gt;= "&amp;R17)-COUNTIF(Vertices[Clustering Coefficient],"&gt;="&amp;R18)</f>
        <v>0</v>
      </c>
      <c r="T17" s="40" t="e">
        <f ca="1" t="shared" si="9"/>
        <v>#REF!</v>
      </c>
      <c r="U17" s="41" t="e">
        <f ca="1" t="shared" si="0"/>
        <v>#REF!</v>
      </c>
    </row>
    <row r="18" spans="1:21" ht="15">
      <c r="A18" s="35"/>
      <c r="B18" s="35"/>
      <c r="D18" s="33">
        <f t="shared" si="1"/>
        <v>0</v>
      </c>
      <c r="E18" s="3">
        <f>COUNTIF(Vertices[Degree],"&gt;= "&amp;D18)-COUNTIF(Vertices[Degree],"&gt;="&amp;D19)</f>
        <v>0</v>
      </c>
      <c r="F18" s="38">
        <f t="shared" si="2"/>
        <v>0</v>
      </c>
      <c r="G18" s="39">
        <f>COUNTIF(Vertices[In-Degree],"&gt;= "&amp;F18)-COUNTIF(Vertices[In-Degree],"&gt;="&amp;F19)</f>
        <v>0</v>
      </c>
      <c r="H18" s="38">
        <f t="shared" si="3"/>
        <v>0</v>
      </c>
      <c r="I18" s="39">
        <f>COUNTIF(Vertices[Out-Degree],"&gt;= "&amp;H18)-COUNTIF(Vertices[Out-Degree],"&gt;="&amp;H19)</f>
        <v>0</v>
      </c>
      <c r="J18" s="38">
        <f t="shared" si="4"/>
        <v>0</v>
      </c>
      <c r="K18" s="39">
        <f>COUNTIF(Vertices[Betweenness Centrality],"&gt;= "&amp;J18)-COUNTIF(Vertices[Betweenness Centrality],"&gt;="&amp;J19)</f>
        <v>0</v>
      </c>
      <c r="L18" s="38">
        <f t="shared" si="5"/>
        <v>0</v>
      </c>
      <c r="M18" s="39">
        <f>COUNTIF(Vertices[Closeness Centrality],"&gt;= "&amp;L18)-COUNTIF(Vertices[Closeness Centrality],"&gt;="&amp;L19)</f>
        <v>0</v>
      </c>
      <c r="N18" s="38">
        <f t="shared" si="6"/>
        <v>0</v>
      </c>
      <c r="O18" s="39">
        <f>COUNTIF(Vertices[Eigenvector Centrality],"&gt;= "&amp;N18)-COUNTIF(Vertices[Eigenvector Centrality],"&gt;="&amp;N19)</f>
        <v>0</v>
      </c>
      <c r="P18" s="38">
        <f t="shared" si="7"/>
        <v>0</v>
      </c>
      <c r="Q18" s="39">
        <f>COUNTIF(Vertices[PageRank],"&gt;= "&amp;P18)-COUNTIF(Vertices[PageRank],"&gt;="&amp;P19)</f>
        <v>0</v>
      </c>
      <c r="R18" s="38">
        <f t="shared" si="8"/>
        <v>0</v>
      </c>
      <c r="S18" s="44">
        <f>COUNTIF(Vertices[Clustering Coefficient],"&gt;= "&amp;R18)-COUNTIF(Vertices[Clustering Coefficient],"&gt;="&amp;R19)</f>
        <v>0</v>
      </c>
      <c r="T18" s="38" t="e">
        <f ca="1" t="shared" si="9"/>
        <v>#REF!</v>
      </c>
      <c r="U18" s="39" t="e">
        <f ca="1" t="shared" si="0"/>
        <v>#REF!</v>
      </c>
    </row>
    <row r="19" spans="1:21" ht="15">
      <c r="A19" s="35"/>
      <c r="B19" s="35"/>
      <c r="D19" s="33">
        <f t="shared" si="1"/>
        <v>0</v>
      </c>
      <c r="E19" s="3">
        <f>COUNTIF(Vertices[Degree],"&gt;= "&amp;D19)-COUNTIF(Vertices[Degree],"&gt;="&amp;D20)</f>
        <v>0</v>
      </c>
      <c r="F19" s="40">
        <f t="shared" si="2"/>
        <v>0</v>
      </c>
      <c r="G19" s="41">
        <f>COUNTIF(Vertices[In-Degree],"&gt;= "&amp;F19)-COUNTIF(Vertices[In-Degree],"&gt;="&amp;F20)</f>
        <v>0</v>
      </c>
      <c r="H19" s="40">
        <f t="shared" si="3"/>
        <v>0</v>
      </c>
      <c r="I19" s="41">
        <f>COUNTIF(Vertices[Out-Degree],"&gt;= "&amp;H19)-COUNTIF(Vertices[Out-Degree],"&gt;="&amp;H20)</f>
        <v>0</v>
      </c>
      <c r="J19" s="40">
        <f t="shared" si="4"/>
        <v>0</v>
      </c>
      <c r="K19" s="41">
        <f>COUNTIF(Vertices[Betweenness Centrality],"&gt;= "&amp;J19)-COUNTIF(Vertices[Betweenness Centrality],"&gt;="&amp;J20)</f>
        <v>0</v>
      </c>
      <c r="L19" s="40">
        <f t="shared" si="5"/>
        <v>0</v>
      </c>
      <c r="M19" s="41">
        <f>COUNTIF(Vertices[Closeness Centrality],"&gt;= "&amp;L19)-COUNTIF(Vertices[Closeness Centrality],"&gt;="&amp;L20)</f>
        <v>0</v>
      </c>
      <c r="N19" s="40">
        <f t="shared" si="6"/>
        <v>0</v>
      </c>
      <c r="O19" s="41">
        <f>COUNTIF(Vertices[Eigenvector Centrality],"&gt;= "&amp;N19)-COUNTIF(Vertices[Eigenvector Centrality],"&gt;="&amp;N20)</f>
        <v>0</v>
      </c>
      <c r="P19" s="40">
        <f t="shared" si="7"/>
        <v>0</v>
      </c>
      <c r="Q19" s="41">
        <f>COUNTIF(Vertices[PageRank],"&gt;= "&amp;P19)-COUNTIF(Vertices[PageRank],"&gt;="&amp;P20)</f>
        <v>0</v>
      </c>
      <c r="R19" s="40">
        <f t="shared" si="8"/>
        <v>0</v>
      </c>
      <c r="S19" s="45">
        <f>COUNTIF(Vertices[Clustering Coefficient],"&gt;= "&amp;R19)-COUNTIF(Vertices[Clustering Coefficient],"&gt;="&amp;R20)</f>
        <v>0</v>
      </c>
      <c r="T19" s="40" t="e">
        <f ca="1" t="shared" si="9"/>
        <v>#REF!</v>
      </c>
      <c r="U19" s="41" t="e">
        <f ca="1" t="shared" si="0"/>
        <v>#REF!</v>
      </c>
    </row>
    <row r="20" spans="1:21" ht="15">
      <c r="A20" s="35"/>
      <c r="B20" s="35"/>
      <c r="D20" s="33">
        <f t="shared" si="1"/>
        <v>0</v>
      </c>
      <c r="E20" s="3">
        <f>COUNTIF(Vertices[Degree],"&gt;= "&amp;D20)-COUNTIF(Vertices[Degree],"&gt;="&amp;D21)</f>
        <v>0</v>
      </c>
      <c r="F20" s="38">
        <f t="shared" si="2"/>
        <v>0</v>
      </c>
      <c r="G20" s="39">
        <f>COUNTIF(Vertices[In-Degree],"&gt;= "&amp;F20)-COUNTIF(Vertices[In-Degree],"&gt;="&amp;F21)</f>
        <v>0</v>
      </c>
      <c r="H20" s="38">
        <f t="shared" si="3"/>
        <v>0</v>
      </c>
      <c r="I20" s="39">
        <f>COUNTIF(Vertices[Out-Degree],"&gt;= "&amp;H20)-COUNTIF(Vertices[Out-Degree],"&gt;="&amp;H21)</f>
        <v>0</v>
      </c>
      <c r="J20" s="38">
        <f t="shared" si="4"/>
        <v>0</v>
      </c>
      <c r="K20" s="39">
        <f>COUNTIF(Vertices[Betweenness Centrality],"&gt;= "&amp;J20)-COUNTIF(Vertices[Betweenness Centrality],"&gt;="&amp;J21)</f>
        <v>0</v>
      </c>
      <c r="L20" s="38">
        <f t="shared" si="5"/>
        <v>0</v>
      </c>
      <c r="M20" s="39">
        <f>COUNTIF(Vertices[Closeness Centrality],"&gt;= "&amp;L20)-COUNTIF(Vertices[Closeness Centrality],"&gt;="&amp;L21)</f>
        <v>0</v>
      </c>
      <c r="N20" s="38">
        <f t="shared" si="6"/>
        <v>0</v>
      </c>
      <c r="O20" s="39">
        <f>COUNTIF(Vertices[Eigenvector Centrality],"&gt;= "&amp;N20)-COUNTIF(Vertices[Eigenvector Centrality],"&gt;="&amp;N21)</f>
        <v>0</v>
      </c>
      <c r="P20" s="38">
        <f t="shared" si="7"/>
        <v>0</v>
      </c>
      <c r="Q20" s="39">
        <f>COUNTIF(Vertices[PageRank],"&gt;= "&amp;P20)-COUNTIF(Vertices[PageRank],"&gt;="&amp;P21)</f>
        <v>0</v>
      </c>
      <c r="R20" s="38">
        <f t="shared" si="8"/>
        <v>0</v>
      </c>
      <c r="S20" s="44">
        <f>COUNTIF(Vertices[Clustering Coefficient],"&gt;= "&amp;R20)-COUNTIF(Vertices[Clustering Coefficient],"&gt;="&amp;R21)</f>
        <v>0</v>
      </c>
      <c r="T20" s="38" t="e">
        <f ca="1" t="shared" si="9"/>
        <v>#REF!</v>
      </c>
      <c r="U20" s="39" t="e">
        <f ca="1" t="shared" si="0"/>
        <v>#REF!</v>
      </c>
    </row>
    <row r="21" spans="1:21" ht="15">
      <c r="A21" s="35"/>
      <c r="B21" s="35"/>
      <c r="D21" s="33">
        <f t="shared" si="1"/>
        <v>0</v>
      </c>
      <c r="E21" s="3">
        <f>COUNTIF(Vertices[Degree],"&gt;= "&amp;D21)-COUNTIF(Vertices[Degree],"&gt;="&amp;D22)</f>
        <v>0</v>
      </c>
      <c r="F21" s="40">
        <f t="shared" si="2"/>
        <v>0</v>
      </c>
      <c r="G21" s="41">
        <f>COUNTIF(Vertices[In-Degree],"&gt;= "&amp;F21)-COUNTIF(Vertices[In-Degree],"&gt;="&amp;F22)</f>
        <v>0</v>
      </c>
      <c r="H21" s="40">
        <f t="shared" si="3"/>
        <v>0</v>
      </c>
      <c r="I21" s="41">
        <f>COUNTIF(Vertices[Out-Degree],"&gt;= "&amp;H21)-COUNTIF(Vertices[Out-Degree],"&gt;="&amp;H22)</f>
        <v>0</v>
      </c>
      <c r="J21" s="40">
        <f t="shared" si="4"/>
        <v>0</v>
      </c>
      <c r="K21" s="41">
        <f>COUNTIF(Vertices[Betweenness Centrality],"&gt;= "&amp;J21)-COUNTIF(Vertices[Betweenness Centrality],"&gt;="&amp;J22)</f>
        <v>0</v>
      </c>
      <c r="L21" s="40">
        <f t="shared" si="5"/>
        <v>0</v>
      </c>
      <c r="M21" s="41">
        <f>COUNTIF(Vertices[Closeness Centrality],"&gt;= "&amp;L21)-COUNTIF(Vertices[Closeness Centrality],"&gt;="&amp;L22)</f>
        <v>0</v>
      </c>
      <c r="N21" s="40">
        <f t="shared" si="6"/>
        <v>0</v>
      </c>
      <c r="O21" s="41">
        <f>COUNTIF(Vertices[Eigenvector Centrality],"&gt;= "&amp;N21)-COUNTIF(Vertices[Eigenvector Centrality],"&gt;="&amp;N22)</f>
        <v>0</v>
      </c>
      <c r="P21" s="40">
        <f t="shared" si="7"/>
        <v>0</v>
      </c>
      <c r="Q21" s="41">
        <f>COUNTIF(Vertices[PageRank],"&gt;= "&amp;P21)-COUNTIF(Vertices[PageRank],"&gt;="&amp;P22)</f>
        <v>0</v>
      </c>
      <c r="R21" s="40">
        <f t="shared" si="8"/>
        <v>0</v>
      </c>
      <c r="S21" s="45">
        <f>COUNTIF(Vertices[Clustering Coefficient],"&gt;= "&amp;R21)-COUNTIF(Vertices[Clustering Coefficient],"&gt;="&amp;R22)</f>
        <v>0</v>
      </c>
      <c r="T21" s="40" t="e">
        <f ca="1" t="shared" si="9"/>
        <v>#REF!</v>
      </c>
      <c r="U21" s="41" t="e">
        <f ca="1" t="shared" si="0"/>
        <v>#REF!</v>
      </c>
    </row>
    <row r="22" spans="1:21" ht="15">
      <c r="A22" s="35"/>
      <c r="B22" s="35"/>
      <c r="D22" s="33">
        <f t="shared" si="1"/>
        <v>0</v>
      </c>
      <c r="E22" s="3">
        <f>COUNTIF(Vertices[Degree],"&gt;= "&amp;D22)-COUNTIF(Vertices[Degree],"&gt;="&amp;D23)</f>
        <v>0</v>
      </c>
      <c r="F22" s="38">
        <f t="shared" si="2"/>
        <v>0</v>
      </c>
      <c r="G22" s="39">
        <f>COUNTIF(Vertices[In-Degree],"&gt;= "&amp;F22)-COUNTIF(Vertices[In-Degree],"&gt;="&amp;F23)</f>
        <v>0</v>
      </c>
      <c r="H22" s="38">
        <f t="shared" si="3"/>
        <v>0</v>
      </c>
      <c r="I22" s="39">
        <f>COUNTIF(Vertices[Out-Degree],"&gt;= "&amp;H22)-COUNTIF(Vertices[Out-Degree],"&gt;="&amp;H23)</f>
        <v>0</v>
      </c>
      <c r="J22" s="38">
        <f t="shared" si="4"/>
        <v>0</v>
      </c>
      <c r="K22" s="39">
        <f>COUNTIF(Vertices[Betweenness Centrality],"&gt;= "&amp;J22)-COUNTIF(Vertices[Betweenness Centrality],"&gt;="&amp;J23)</f>
        <v>0</v>
      </c>
      <c r="L22" s="38">
        <f t="shared" si="5"/>
        <v>0</v>
      </c>
      <c r="M22" s="39">
        <f>COUNTIF(Vertices[Closeness Centrality],"&gt;= "&amp;L22)-COUNTIF(Vertices[Closeness Centrality],"&gt;="&amp;L23)</f>
        <v>0</v>
      </c>
      <c r="N22" s="38">
        <f t="shared" si="6"/>
        <v>0</v>
      </c>
      <c r="O22" s="39">
        <f>COUNTIF(Vertices[Eigenvector Centrality],"&gt;= "&amp;N22)-COUNTIF(Vertices[Eigenvector Centrality],"&gt;="&amp;N23)</f>
        <v>0</v>
      </c>
      <c r="P22" s="38">
        <f t="shared" si="7"/>
        <v>0</v>
      </c>
      <c r="Q22" s="39">
        <f>COUNTIF(Vertices[PageRank],"&gt;= "&amp;P22)-COUNTIF(Vertices[PageRank],"&gt;="&amp;P23)</f>
        <v>0</v>
      </c>
      <c r="R22" s="38">
        <f t="shared" si="8"/>
        <v>0</v>
      </c>
      <c r="S22" s="44">
        <f>COUNTIF(Vertices[Clustering Coefficient],"&gt;= "&amp;R22)-COUNTIF(Vertices[Clustering Coefficient],"&gt;="&amp;R23)</f>
        <v>0</v>
      </c>
      <c r="T22" s="38" t="e">
        <f ca="1" t="shared" si="9"/>
        <v>#REF!</v>
      </c>
      <c r="U22" s="39" t="e">
        <f ca="1" t="shared" si="0"/>
        <v>#REF!</v>
      </c>
    </row>
    <row r="23" spans="1:21" ht="15">
      <c r="A23" s="35"/>
      <c r="B23" s="35"/>
      <c r="D23" s="33">
        <f t="shared" si="1"/>
        <v>0</v>
      </c>
      <c r="E23" s="3">
        <f>COUNTIF(Vertices[Degree],"&gt;= "&amp;D23)-COUNTIF(Vertices[Degree],"&gt;="&amp;D24)</f>
        <v>0</v>
      </c>
      <c r="F23" s="40">
        <f t="shared" si="2"/>
        <v>0</v>
      </c>
      <c r="G23" s="41">
        <f>COUNTIF(Vertices[In-Degree],"&gt;= "&amp;F23)-COUNTIF(Vertices[In-Degree],"&gt;="&amp;F24)</f>
        <v>0</v>
      </c>
      <c r="H23" s="40">
        <f t="shared" si="3"/>
        <v>0</v>
      </c>
      <c r="I23" s="41">
        <f>COUNTIF(Vertices[Out-Degree],"&gt;= "&amp;H23)-COUNTIF(Vertices[Out-Degree],"&gt;="&amp;H24)</f>
        <v>0</v>
      </c>
      <c r="J23" s="40">
        <f t="shared" si="4"/>
        <v>0</v>
      </c>
      <c r="K23" s="41">
        <f>COUNTIF(Vertices[Betweenness Centrality],"&gt;= "&amp;J23)-COUNTIF(Vertices[Betweenness Centrality],"&gt;="&amp;J24)</f>
        <v>0</v>
      </c>
      <c r="L23" s="40">
        <f t="shared" si="5"/>
        <v>0</v>
      </c>
      <c r="M23" s="41">
        <f>COUNTIF(Vertices[Closeness Centrality],"&gt;= "&amp;L23)-COUNTIF(Vertices[Closeness Centrality],"&gt;="&amp;L24)</f>
        <v>0</v>
      </c>
      <c r="N23" s="40">
        <f t="shared" si="6"/>
        <v>0</v>
      </c>
      <c r="O23" s="41">
        <f>COUNTIF(Vertices[Eigenvector Centrality],"&gt;= "&amp;N23)-COUNTIF(Vertices[Eigenvector Centrality],"&gt;="&amp;N24)</f>
        <v>0</v>
      </c>
      <c r="P23" s="40">
        <f t="shared" si="7"/>
        <v>0</v>
      </c>
      <c r="Q23" s="41">
        <f>COUNTIF(Vertices[PageRank],"&gt;= "&amp;P23)-COUNTIF(Vertices[PageRank],"&gt;="&amp;P24)</f>
        <v>0</v>
      </c>
      <c r="R23" s="40">
        <f t="shared" si="8"/>
        <v>0</v>
      </c>
      <c r="S23" s="45">
        <f>COUNTIF(Vertices[Clustering Coefficient],"&gt;= "&amp;R23)-COUNTIF(Vertices[Clustering Coefficient],"&gt;="&amp;R24)</f>
        <v>0</v>
      </c>
      <c r="T23" s="40" t="e">
        <f ca="1" t="shared" si="9"/>
        <v>#REF!</v>
      </c>
      <c r="U23" s="41" t="e">
        <f ca="1" t="shared" si="0"/>
        <v>#REF!</v>
      </c>
    </row>
    <row r="24" spans="1:21" ht="15">
      <c r="A24" s="35"/>
      <c r="B24" s="35"/>
      <c r="D24" s="33">
        <f t="shared" si="1"/>
        <v>0</v>
      </c>
      <c r="E24" s="3">
        <f>COUNTIF(Vertices[Degree],"&gt;= "&amp;D24)-COUNTIF(Vertices[Degree],"&gt;="&amp;D25)</f>
        <v>0</v>
      </c>
      <c r="F24" s="38">
        <f t="shared" si="2"/>
        <v>0</v>
      </c>
      <c r="G24" s="39">
        <f>COUNTIF(Vertices[In-Degree],"&gt;= "&amp;F24)-COUNTIF(Vertices[In-Degree],"&gt;="&amp;F25)</f>
        <v>0</v>
      </c>
      <c r="H24" s="38">
        <f t="shared" si="3"/>
        <v>0</v>
      </c>
      <c r="I24" s="39">
        <f>COUNTIF(Vertices[Out-Degree],"&gt;= "&amp;H24)-COUNTIF(Vertices[Out-Degree],"&gt;="&amp;H25)</f>
        <v>0</v>
      </c>
      <c r="J24" s="38">
        <f t="shared" si="4"/>
        <v>0</v>
      </c>
      <c r="K24" s="39">
        <f>COUNTIF(Vertices[Betweenness Centrality],"&gt;= "&amp;J24)-COUNTIF(Vertices[Betweenness Centrality],"&gt;="&amp;J25)</f>
        <v>0</v>
      </c>
      <c r="L24" s="38">
        <f t="shared" si="5"/>
        <v>0</v>
      </c>
      <c r="M24" s="39">
        <f>COUNTIF(Vertices[Closeness Centrality],"&gt;= "&amp;L24)-COUNTIF(Vertices[Closeness Centrality],"&gt;="&amp;L25)</f>
        <v>0</v>
      </c>
      <c r="N24" s="38">
        <f t="shared" si="6"/>
        <v>0</v>
      </c>
      <c r="O24" s="39">
        <f>COUNTIF(Vertices[Eigenvector Centrality],"&gt;= "&amp;N24)-COUNTIF(Vertices[Eigenvector Centrality],"&gt;="&amp;N25)</f>
        <v>0</v>
      </c>
      <c r="P24" s="38">
        <f t="shared" si="7"/>
        <v>0</v>
      </c>
      <c r="Q24" s="39">
        <f>COUNTIF(Vertices[PageRank],"&gt;= "&amp;P24)-COUNTIF(Vertices[PageRank],"&gt;="&amp;P25)</f>
        <v>0</v>
      </c>
      <c r="R24" s="38">
        <f t="shared" si="8"/>
        <v>0</v>
      </c>
      <c r="S24" s="44">
        <f>COUNTIF(Vertices[Clustering Coefficient],"&gt;= "&amp;R24)-COUNTIF(Vertices[Clustering Coefficient],"&gt;="&amp;R25)</f>
        <v>0</v>
      </c>
      <c r="T24" s="38" t="e">
        <f ca="1" t="shared" si="9"/>
        <v>#REF!</v>
      </c>
      <c r="U24" s="39" t="e">
        <f ca="1" t="shared" si="0"/>
        <v>#REF!</v>
      </c>
    </row>
    <row r="25" spans="1:21" ht="15">
      <c r="A25" s="35"/>
      <c r="B25" s="35"/>
      <c r="D25" s="33">
        <f t="shared" si="1"/>
        <v>0</v>
      </c>
      <c r="E25" s="3">
        <f>COUNTIF(Vertices[Degree],"&gt;= "&amp;D25)-COUNTIF(Vertices[Degree],"&gt;="&amp;D26)</f>
        <v>0</v>
      </c>
      <c r="F25" s="40">
        <f t="shared" si="2"/>
        <v>0</v>
      </c>
      <c r="G25" s="41">
        <f>COUNTIF(Vertices[In-Degree],"&gt;= "&amp;F25)-COUNTIF(Vertices[In-Degree],"&gt;="&amp;F26)</f>
        <v>0</v>
      </c>
      <c r="H25" s="40">
        <f t="shared" si="3"/>
        <v>0</v>
      </c>
      <c r="I25" s="41">
        <f>COUNTIF(Vertices[Out-Degree],"&gt;= "&amp;H25)-COUNTIF(Vertices[Out-Degree],"&gt;="&amp;H26)</f>
        <v>0</v>
      </c>
      <c r="J25" s="40">
        <f t="shared" si="4"/>
        <v>0</v>
      </c>
      <c r="K25" s="41">
        <f>COUNTIF(Vertices[Betweenness Centrality],"&gt;= "&amp;J25)-COUNTIF(Vertices[Betweenness Centrality],"&gt;="&amp;J26)</f>
        <v>0</v>
      </c>
      <c r="L25" s="40">
        <f t="shared" si="5"/>
        <v>0</v>
      </c>
      <c r="M25" s="41">
        <f>COUNTIF(Vertices[Closeness Centrality],"&gt;= "&amp;L25)-COUNTIF(Vertices[Closeness Centrality],"&gt;="&amp;L26)</f>
        <v>0</v>
      </c>
      <c r="N25" s="40">
        <f t="shared" si="6"/>
        <v>0</v>
      </c>
      <c r="O25" s="41">
        <f>COUNTIF(Vertices[Eigenvector Centrality],"&gt;= "&amp;N25)-COUNTIF(Vertices[Eigenvector Centrality],"&gt;="&amp;N26)</f>
        <v>0</v>
      </c>
      <c r="P25" s="40">
        <f t="shared" si="7"/>
        <v>0</v>
      </c>
      <c r="Q25" s="41">
        <f>COUNTIF(Vertices[PageRank],"&gt;= "&amp;P25)-COUNTIF(Vertices[PageRank],"&gt;="&amp;P26)</f>
        <v>0</v>
      </c>
      <c r="R25" s="40">
        <f t="shared" si="8"/>
        <v>0</v>
      </c>
      <c r="S25" s="45">
        <f>COUNTIF(Vertices[Clustering Coefficient],"&gt;= "&amp;R25)-COUNTIF(Vertices[Clustering Coefficient],"&gt;="&amp;R26)</f>
        <v>0</v>
      </c>
      <c r="T25" s="40" t="e">
        <f ca="1" t="shared" si="9"/>
        <v>#REF!</v>
      </c>
      <c r="U25" s="41" t="e">
        <f ca="1" t="shared" si="0"/>
        <v>#REF!</v>
      </c>
    </row>
    <row r="26" spans="1:21" ht="15">
      <c r="A26" s="35"/>
      <c r="B26" s="35"/>
      <c r="D26" s="33">
        <f t="shared" si="1"/>
        <v>0</v>
      </c>
      <c r="E26" s="3">
        <f>COUNTIF(Vertices[Degree],"&gt;= "&amp;D26)-COUNTIF(Vertices[Degree],"&gt;="&amp;D27)</f>
        <v>0</v>
      </c>
      <c r="F26" s="38">
        <f t="shared" si="2"/>
        <v>0</v>
      </c>
      <c r="G26" s="39">
        <f>COUNTIF(Vertices[In-Degree],"&gt;= "&amp;F26)-COUNTIF(Vertices[In-Degree],"&gt;="&amp;F27)</f>
        <v>0</v>
      </c>
      <c r="H26" s="38">
        <f t="shared" si="3"/>
        <v>0</v>
      </c>
      <c r="I26" s="39">
        <f>COUNTIF(Vertices[Out-Degree],"&gt;= "&amp;H26)-COUNTIF(Vertices[Out-Degree],"&gt;="&amp;H27)</f>
        <v>0</v>
      </c>
      <c r="J26" s="38">
        <f t="shared" si="4"/>
        <v>0</v>
      </c>
      <c r="K26" s="39">
        <f>COUNTIF(Vertices[Betweenness Centrality],"&gt;= "&amp;J26)-COUNTIF(Vertices[Betweenness Centrality],"&gt;="&amp;J27)</f>
        <v>0</v>
      </c>
      <c r="L26" s="38">
        <f t="shared" si="5"/>
        <v>0</v>
      </c>
      <c r="M26" s="39">
        <f>COUNTIF(Vertices[Closeness Centrality],"&gt;= "&amp;L26)-COUNTIF(Vertices[Closeness Centrality],"&gt;="&amp;L27)</f>
        <v>0</v>
      </c>
      <c r="N26" s="38">
        <f t="shared" si="6"/>
        <v>0</v>
      </c>
      <c r="O26" s="39">
        <f>COUNTIF(Vertices[Eigenvector Centrality],"&gt;= "&amp;N26)-COUNTIF(Vertices[Eigenvector Centrality],"&gt;="&amp;N27)</f>
        <v>0</v>
      </c>
      <c r="P26" s="38">
        <f t="shared" si="7"/>
        <v>0</v>
      </c>
      <c r="Q26" s="39">
        <f>COUNTIF(Vertices[PageRank],"&gt;= "&amp;P26)-COUNTIF(Vertices[PageRank],"&gt;="&amp;P27)</f>
        <v>0</v>
      </c>
      <c r="R26" s="38">
        <f t="shared" si="8"/>
        <v>0</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78"/>
      <c r="B27" s="78"/>
      <c r="D27" s="33">
        <f t="shared" si="1"/>
        <v>0</v>
      </c>
      <c r="E27" s="3">
        <f>COUNTIF(Vertices[Degree],"&gt;= "&amp;D27)-COUNTIF(Vertices[Degree],"&gt;="&amp;D28)</f>
        <v>0</v>
      </c>
      <c r="F27" s="40">
        <f t="shared" si="2"/>
        <v>0</v>
      </c>
      <c r="G27" s="41">
        <f>COUNTIF(Vertices[In-Degree],"&gt;= "&amp;F27)-COUNTIF(Vertices[In-Degree],"&gt;="&amp;F28)</f>
        <v>0</v>
      </c>
      <c r="H27" s="40">
        <f t="shared" si="3"/>
        <v>0</v>
      </c>
      <c r="I27" s="41">
        <f>COUNTIF(Vertices[Out-Degree],"&gt;= "&amp;H27)-COUNTIF(Vertices[Out-Degree],"&gt;="&amp;H28)</f>
        <v>0</v>
      </c>
      <c r="J27" s="40">
        <f t="shared" si="4"/>
        <v>0</v>
      </c>
      <c r="K27" s="41">
        <f>COUNTIF(Vertices[Betweenness Centrality],"&gt;= "&amp;J27)-COUNTIF(Vertices[Betweenness Centrality],"&gt;="&amp;J28)</f>
        <v>0</v>
      </c>
      <c r="L27" s="40">
        <f t="shared" si="5"/>
        <v>0</v>
      </c>
      <c r="M27" s="41">
        <f>COUNTIF(Vertices[Closeness Centrality],"&gt;= "&amp;L27)-COUNTIF(Vertices[Closeness Centrality],"&gt;="&amp;L28)</f>
        <v>0</v>
      </c>
      <c r="N27" s="40">
        <f t="shared" si="6"/>
        <v>0</v>
      </c>
      <c r="O27" s="41">
        <f>COUNTIF(Vertices[Eigenvector Centrality],"&gt;= "&amp;N27)-COUNTIF(Vertices[Eigenvector Centrality],"&gt;="&amp;N28)</f>
        <v>0</v>
      </c>
      <c r="P27" s="40">
        <f t="shared" si="7"/>
        <v>0</v>
      </c>
      <c r="Q27" s="41">
        <f>COUNTIF(Vertices[PageRank],"&gt;= "&amp;P27)-COUNTIF(Vertices[PageRank],"&gt;="&amp;P28)</f>
        <v>0</v>
      </c>
      <c r="R27" s="40">
        <f t="shared" si="8"/>
        <v>0</v>
      </c>
      <c r="S27" s="45">
        <f>COUNTIF(Vertices[Clustering Coefficient],"&gt;= "&amp;R27)-COUNTIF(Vertices[Clustering Coefficient],"&gt;="&amp;R28)</f>
        <v>0</v>
      </c>
      <c r="T27" s="40" t="e">
        <f ca="1" t="shared" si="9"/>
        <v>#REF!</v>
      </c>
      <c r="U27" s="41" t="e">
        <f ca="1" t="shared" si="10"/>
        <v>#REF!</v>
      </c>
    </row>
    <row r="28" spans="1:21" ht="15">
      <c r="A28" s="35"/>
      <c r="B28" s="35"/>
      <c r="D28" s="33">
        <f t="shared" si="1"/>
        <v>0</v>
      </c>
      <c r="E28" s="3">
        <f>COUNTIF(Vertices[Degree],"&gt;= "&amp;D28)-COUNTIF(Vertices[Degree],"&gt;="&amp;D29)</f>
        <v>0</v>
      </c>
      <c r="F28" s="38">
        <f t="shared" si="2"/>
        <v>0</v>
      </c>
      <c r="G28" s="39">
        <f>COUNTIF(Vertices[In-Degree],"&gt;= "&amp;F28)-COUNTIF(Vertices[In-Degree],"&gt;="&amp;F29)</f>
        <v>0</v>
      </c>
      <c r="H28" s="38">
        <f t="shared" si="3"/>
        <v>0</v>
      </c>
      <c r="I28" s="39">
        <f>COUNTIF(Vertices[Out-Degree],"&gt;= "&amp;H28)-COUNTIF(Vertices[Out-Degree],"&gt;="&amp;H29)</f>
        <v>0</v>
      </c>
      <c r="J28" s="38">
        <f t="shared" si="4"/>
        <v>0</v>
      </c>
      <c r="K28" s="39">
        <f>COUNTIF(Vertices[Betweenness Centrality],"&gt;= "&amp;J28)-COUNTIF(Vertices[Betweenness Centrality],"&gt;="&amp;J29)</f>
        <v>0</v>
      </c>
      <c r="L28" s="38">
        <f t="shared" si="5"/>
        <v>0</v>
      </c>
      <c r="M28" s="39">
        <f>COUNTIF(Vertices[Closeness Centrality],"&gt;= "&amp;L28)-COUNTIF(Vertices[Closeness Centrality],"&gt;="&amp;L29)</f>
        <v>0</v>
      </c>
      <c r="N28" s="38">
        <f t="shared" si="6"/>
        <v>0</v>
      </c>
      <c r="O28" s="39">
        <f>COUNTIF(Vertices[Eigenvector Centrality],"&gt;= "&amp;N28)-COUNTIF(Vertices[Eigenvector Centrality],"&gt;="&amp;N29)</f>
        <v>0</v>
      </c>
      <c r="P28" s="38">
        <f t="shared" si="7"/>
        <v>0</v>
      </c>
      <c r="Q28" s="39">
        <f>COUNTIF(Vertices[PageRank],"&gt;= "&amp;P28)-COUNTIF(Vertices[PageRank],"&gt;="&amp;P29)</f>
        <v>0</v>
      </c>
      <c r="R28" s="38">
        <f t="shared" si="8"/>
        <v>0</v>
      </c>
      <c r="S28" s="44">
        <f>COUNTIF(Vertices[Clustering Coefficient],"&gt;= "&amp;R28)-COUNTIF(Vertices[Clustering Coefficient],"&gt;="&amp;R29)</f>
        <v>0</v>
      </c>
      <c r="T28" s="38" t="e">
        <f ca="1" t="shared" si="9"/>
        <v>#REF!</v>
      </c>
      <c r="U28" s="39" t="e">
        <f ca="1" t="shared" si="10"/>
        <v>#REF!</v>
      </c>
    </row>
    <row r="29" spans="1:21" ht="15">
      <c r="A29" s="35"/>
      <c r="B29" s="35"/>
      <c r="D29" s="33">
        <f t="shared" si="1"/>
        <v>0</v>
      </c>
      <c r="E29" s="3">
        <f>COUNTIF(Vertices[Degree],"&gt;= "&amp;D29)-COUNTIF(Vertices[Degree],"&gt;="&amp;D30)</f>
        <v>0</v>
      </c>
      <c r="F29" s="40">
        <f t="shared" si="2"/>
        <v>0</v>
      </c>
      <c r="G29" s="41">
        <f>COUNTIF(Vertices[In-Degree],"&gt;= "&amp;F29)-COUNTIF(Vertices[In-Degree],"&gt;="&amp;F30)</f>
        <v>0</v>
      </c>
      <c r="H29" s="40">
        <f t="shared" si="3"/>
        <v>0</v>
      </c>
      <c r="I29" s="41">
        <f>COUNTIF(Vertices[Out-Degree],"&gt;= "&amp;H29)-COUNTIF(Vertices[Out-Degree],"&gt;="&amp;H30)</f>
        <v>0</v>
      </c>
      <c r="J29" s="40">
        <f t="shared" si="4"/>
        <v>0</v>
      </c>
      <c r="K29" s="41">
        <f>COUNTIF(Vertices[Betweenness Centrality],"&gt;= "&amp;J29)-COUNTIF(Vertices[Betweenness Centrality],"&gt;="&amp;J30)</f>
        <v>0</v>
      </c>
      <c r="L29" s="40">
        <f t="shared" si="5"/>
        <v>0</v>
      </c>
      <c r="M29" s="41">
        <f>COUNTIF(Vertices[Closeness Centrality],"&gt;= "&amp;L29)-COUNTIF(Vertices[Closeness Centrality],"&gt;="&amp;L30)</f>
        <v>0</v>
      </c>
      <c r="N29" s="40">
        <f t="shared" si="6"/>
        <v>0</v>
      </c>
      <c r="O29" s="41">
        <f>COUNTIF(Vertices[Eigenvector Centrality],"&gt;= "&amp;N29)-COUNTIF(Vertices[Eigenvector Centrality],"&gt;="&amp;N30)</f>
        <v>0</v>
      </c>
      <c r="P29" s="40">
        <f t="shared" si="7"/>
        <v>0</v>
      </c>
      <c r="Q29" s="41">
        <f>COUNTIF(Vertices[PageRank],"&gt;= "&amp;P29)-COUNTIF(Vertices[PageRank],"&gt;="&amp;P30)</f>
        <v>0</v>
      </c>
      <c r="R29" s="40">
        <f t="shared" si="8"/>
        <v>0</v>
      </c>
      <c r="S29" s="45">
        <f>COUNTIF(Vertices[Clustering Coefficient],"&gt;= "&amp;R29)-COUNTIF(Vertices[Clustering Coefficient],"&gt;="&amp;R30)</f>
        <v>0</v>
      </c>
      <c r="T29" s="40" t="e">
        <f ca="1" t="shared" si="9"/>
        <v>#REF!</v>
      </c>
      <c r="U29" s="41" t="e">
        <f ca="1" t="shared" si="10"/>
        <v>#REF!</v>
      </c>
    </row>
    <row r="30" spans="1:21" ht="15">
      <c r="A30" s="35"/>
      <c r="B30" s="35"/>
      <c r="D30" s="33">
        <f t="shared" si="1"/>
        <v>0</v>
      </c>
      <c r="E30" s="3">
        <f>COUNTIF(Vertices[Degree],"&gt;= "&amp;D30)-COUNTIF(Vertices[Degree],"&gt;="&amp;D31)</f>
        <v>0</v>
      </c>
      <c r="F30" s="38">
        <f t="shared" si="2"/>
        <v>0</v>
      </c>
      <c r="G30" s="39">
        <f>COUNTIF(Vertices[In-Degree],"&gt;= "&amp;F30)-COUNTIF(Vertices[In-Degree],"&gt;="&amp;F31)</f>
        <v>0</v>
      </c>
      <c r="H30" s="38">
        <f t="shared" si="3"/>
        <v>0</v>
      </c>
      <c r="I30" s="39">
        <f>COUNTIF(Vertices[Out-Degree],"&gt;= "&amp;H30)-COUNTIF(Vertices[Out-Degree],"&gt;="&amp;H31)</f>
        <v>0</v>
      </c>
      <c r="J30" s="38">
        <f t="shared" si="4"/>
        <v>0</v>
      </c>
      <c r="K30" s="39">
        <f>COUNTIF(Vertices[Betweenness Centrality],"&gt;= "&amp;J30)-COUNTIF(Vertices[Betweenness Centrality],"&gt;="&amp;J31)</f>
        <v>0</v>
      </c>
      <c r="L30" s="38">
        <f t="shared" si="5"/>
        <v>0</v>
      </c>
      <c r="M30" s="39">
        <f>COUNTIF(Vertices[Closeness Centrality],"&gt;= "&amp;L30)-COUNTIF(Vertices[Closeness Centrality],"&gt;="&amp;L31)</f>
        <v>0</v>
      </c>
      <c r="N30" s="38">
        <f t="shared" si="6"/>
        <v>0</v>
      </c>
      <c r="O30" s="39">
        <f>COUNTIF(Vertices[Eigenvector Centrality],"&gt;= "&amp;N30)-COUNTIF(Vertices[Eigenvector Centrality],"&gt;="&amp;N31)</f>
        <v>0</v>
      </c>
      <c r="P30" s="38">
        <f t="shared" si="7"/>
        <v>0</v>
      </c>
      <c r="Q30" s="39">
        <f>COUNTIF(Vertices[PageRank],"&gt;= "&amp;P30)-COUNTIF(Vertices[PageRank],"&gt;="&amp;P31)</f>
        <v>0</v>
      </c>
      <c r="R30" s="38">
        <f t="shared" si="8"/>
        <v>0</v>
      </c>
      <c r="S30" s="44">
        <f>COUNTIF(Vertices[Clustering Coefficient],"&gt;= "&amp;R30)-COUNTIF(Vertices[Clustering Coefficient],"&gt;="&amp;R31)</f>
        <v>0</v>
      </c>
      <c r="T30" s="38" t="e">
        <f ca="1" t="shared" si="9"/>
        <v>#REF!</v>
      </c>
      <c r="U30" s="39" t="e">
        <f ca="1" t="shared" si="10"/>
        <v>#REF!</v>
      </c>
    </row>
    <row r="31" spans="1:21" ht="15">
      <c r="A31" s="35"/>
      <c r="B31" s="35"/>
      <c r="D31" s="33">
        <f t="shared" si="1"/>
        <v>0</v>
      </c>
      <c r="E31" s="3">
        <f>COUNTIF(Vertices[Degree],"&gt;= "&amp;D31)-COUNTIF(Vertices[Degree],"&gt;="&amp;D32)</f>
        <v>0</v>
      </c>
      <c r="F31" s="40">
        <f t="shared" si="2"/>
        <v>0</v>
      </c>
      <c r="G31" s="41">
        <f>COUNTIF(Vertices[In-Degree],"&gt;= "&amp;F31)-COUNTIF(Vertices[In-Degree],"&gt;="&amp;F32)</f>
        <v>0</v>
      </c>
      <c r="H31" s="40">
        <f t="shared" si="3"/>
        <v>0</v>
      </c>
      <c r="I31" s="41">
        <f>COUNTIF(Vertices[Out-Degree],"&gt;= "&amp;H31)-COUNTIF(Vertices[Out-Degree],"&gt;="&amp;H32)</f>
        <v>0</v>
      </c>
      <c r="J31" s="40">
        <f t="shared" si="4"/>
        <v>0</v>
      </c>
      <c r="K31" s="41">
        <f>COUNTIF(Vertices[Betweenness Centrality],"&gt;= "&amp;J31)-COUNTIF(Vertices[Betweenness Centrality],"&gt;="&amp;J32)</f>
        <v>0</v>
      </c>
      <c r="L31" s="40">
        <f t="shared" si="5"/>
        <v>0</v>
      </c>
      <c r="M31" s="41">
        <f>COUNTIF(Vertices[Closeness Centrality],"&gt;= "&amp;L31)-COUNTIF(Vertices[Closeness Centrality],"&gt;="&amp;L32)</f>
        <v>0</v>
      </c>
      <c r="N31" s="40">
        <f t="shared" si="6"/>
        <v>0</v>
      </c>
      <c r="O31" s="41">
        <f>COUNTIF(Vertices[Eigenvector Centrality],"&gt;= "&amp;N31)-COUNTIF(Vertices[Eigenvector Centrality],"&gt;="&amp;N32)</f>
        <v>0</v>
      </c>
      <c r="P31" s="40">
        <f t="shared" si="7"/>
        <v>0</v>
      </c>
      <c r="Q31" s="41">
        <f>COUNTIF(Vertices[PageRank],"&gt;= "&amp;P31)-COUNTIF(Vertices[PageRank],"&gt;="&amp;P32)</f>
        <v>0</v>
      </c>
      <c r="R31" s="40">
        <f t="shared" si="8"/>
        <v>0</v>
      </c>
      <c r="S31" s="45">
        <f>COUNTIF(Vertices[Clustering Coefficient],"&gt;= "&amp;R31)-COUNTIF(Vertices[Clustering Coefficient],"&gt;="&amp;R32)</f>
        <v>0</v>
      </c>
      <c r="T31" s="40" t="e">
        <f ca="1" t="shared" si="9"/>
        <v>#REF!</v>
      </c>
      <c r="U31" s="41" t="e">
        <f ca="1" t="shared" si="10"/>
        <v>#REF!</v>
      </c>
    </row>
    <row r="32" spans="1:21" ht="15">
      <c r="A32" s="35"/>
      <c r="B32" s="35"/>
      <c r="D32" s="33">
        <f t="shared" si="1"/>
        <v>0</v>
      </c>
      <c r="E32" s="3">
        <f>COUNTIF(Vertices[Degree],"&gt;= "&amp;D32)-COUNTIF(Vertices[Degree],"&gt;="&amp;D33)</f>
        <v>0</v>
      </c>
      <c r="F32" s="38">
        <f t="shared" si="2"/>
        <v>0</v>
      </c>
      <c r="G32" s="39">
        <f>COUNTIF(Vertices[In-Degree],"&gt;= "&amp;F32)-COUNTIF(Vertices[In-Degree],"&gt;="&amp;F33)</f>
        <v>0</v>
      </c>
      <c r="H32" s="38">
        <f t="shared" si="3"/>
        <v>0</v>
      </c>
      <c r="I32" s="39">
        <f>COUNTIF(Vertices[Out-Degree],"&gt;= "&amp;H32)-COUNTIF(Vertices[Out-Degree],"&gt;="&amp;H33)</f>
        <v>0</v>
      </c>
      <c r="J32" s="38">
        <f t="shared" si="4"/>
        <v>0</v>
      </c>
      <c r="K32" s="39">
        <f>COUNTIF(Vertices[Betweenness Centrality],"&gt;= "&amp;J32)-COUNTIF(Vertices[Betweenness Centrality],"&gt;="&amp;J33)</f>
        <v>0</v>
      </c>
      <c r="L32" s="38">
        <f t="shared" si="5"/>
        <v>0</v>
      </c>
      <c r="M32" s="39">
        <f>COUNTIF(Vertices[Closeness Centrality],"&gt;= "&amp;L32)-COUNTIF(Vertices[Closeness Centrality],"&gt;="&amp;L33)</f>
        <v>0</v>
      </c>
      <c r="N32" s="38">
        <f t="shared" si="6"/>
        <v>0</v>
      </c>
      <c r="O32" s="39">
        <f>COUNTIF(Vertices[Eigenvector Centrality],"&gt;= "&amp;N32)-COUNTIF(Vertices[Eigenvector Centrality],"&gt;="&amp;N33)</f>
        <v>0</v>
      </c>
      <c r="P32" s="38">
        <f t="shared" si="7"/>
        <v>0</v>
      </c>
      <c r="Q32" s="39">
        <f>COUNTIF(Vertices[PageRank],"&gt;= "&amp;P32)-COUNTIF(Vertices[PageRank],"&gt;="&amp;P33)</f>
        <v>0</v>
      </c>
      <c r="R32" s="38">
        <f t="shared" si="8"/>
        <v>0</v>
      </c>
      <c r="S32" s="44">
        <f>COUNTIF(Vertices[Clustering Coefficient],"&gt;= "&amp;R32)-COUNTIF(Vertices[Clustering Coefficient],"&gt;="&amp;R33)</f>
        <v>0</v>
      </c>
      <c r="T32" s="38" t="e">
        <f ca="1" t="shared" si="9"/>
        <v>#REF!</v>
      </c>
      <c r="U32" s="39" t="e">
        <f ca="1" t="shared" si="10"/>
        <v>#REF!</v>
      </c>
    </row>
    <row r="33" spans="1:21" ht="15">
      <c r="A33" s="78"/>
      <c r="B33" s="78"/>
      <c r="D33" s="33">
        <f t="shared" si="1"/>
        <v>0</v>
      </c>
      <c r="E33" s="3">
        <f>COUNTIF(Vertices[Degree],"&gt;= "&amp;D33)-COUNTIF(Vertices[Degree],"&gt;="&amp;D34)</f>
        <v>0</v>
      </c>
      <c r="F33" s="40">
        <f t="shared" si="2"/>
        <v>0</v>
      </c>
      <c r="G33" s="41">
        <f>COUNTIF(Vertices[In-Degree],"&gt;= "&amp;F33)-COUNTIF(Vertices[In-Degree],"&gt;="&amp;F34)</f>
        <v>0</v>
      </c>
      <c r="H33" s="40">
        <f t="shared" si="3"/>
        <v>0</v>
      </c>
      <c r="I33" s="41">
        <f>COUNTIF(Vertices[Out-Degree],"&gt;= "&amp;H33)-COUNTIF(Vertices[Out-Degree],"&gt;="&amp;H34)</f>
        <v>0</v>
      </c>
      <c r="J33" s="40">
        <f t="shared" si="4"/>
        <v>0</v>
      </c>
      <c r="K33" s="41">
        <f>COUNTIF(Vertices[Betweenness Centrality],"&gt;= "&amp;J33)-COUNTIF(Vertices[Betweenness Centrality],"&gt;="&amp;J34)</f>
        <v>0</v>
      </c>
      <c r="L33" s="40">
        <f t="shared" si="5"/>
        <v>0</v>
      </c>
      <c r="M33" s="41">
        <f>COUNTIF(Vertices[Closeness Centrality],"&gt;= "&amp;L33)-COUNTIF(Vertices[Closeness Centrality],"&gt;="&amp;L34)</f>
        <v>0</v>
      </c>
      <c r="N33" s="40">
        <f t="shared" si="6"/>
        <v>0</v>
      </c>
      <c r="O33" s="41">
        <f>COUNTIF(Vertices[Eigenvector Centrality],"&gt;= "&amp;N33)-COUNTIF(Vertices[Eigenvector Centrality],"&gt;="&amp;N34)</f>
        <v>0</v>
      </c>
      <c r="P33" s="40">
        <f t="shared" si="7"/>
        <v>0</v>
      </c>
      <c r="Q33" s="41">
        <f>COUNTIF(Vertices[PageRank],"&gt;= "&amp;P33)-COUNTIF(Vertices[PageRank],"&gt;="&amp;P34)</f>
        <v>0</v>
      </c>
      <c r="R33" s="40">
        <f t="shared" si="8"/>
        <v>0</v>
      </c>
      <c r="S33" s="45">
        <f>COUNTIF(Vertices[Clustering Coefficient],"&gt;= "&amp;R33)-COUNTIF(Vertices[Clustering Coefficient],"&gt;="&amp;R34)</f>
        <v>0</v>
      </c>
      <c r="T33" s="40" t="e">
        <f ca="1" t="shared" si="9"/>
        <v>#REF!</v>
      </c>
      <c r="U33" s="41" t="e">
        <f ca="1" t="shared" si="10"/>
        <v>#REF!</v>
      </c>
    </row>
    <row r="34" spans="1:21" ht="15">
      <c r="A34" s="35"/>
      <c r="B34" s="35"/>
      <c r="D34" s="33">
        <f t="shared" si="1"/>
        <v>0</v>
      </c>
      <c r="E34" s="3">
        <f>COUNTIF(Vertices[Degree],"&gt;= "&amp;D34)-COUNTIF(Vertices[Degree],"&gt;="&amp;D35)</f>
        <v>0</v>
      </c>
      <c r="F34" s="38">
        <f t="shared" si="2"/>
        <v>0</v>
      </c>
      <c r="G34" s="39">
        <f>COUNTIF(Vertices[In-Degree],"&gt;= "&amp;F34)-COUNTIF(Vertices[In-Degree],"&gt;="&amp;F35)</f>
        <v>0</v>
      </c>
      <c r="H34" s="38">
        <f t="shared" si="3"/>
        <v>0</v>
      </c>
      <c r="I34" s="39">
        <f>COUNTIF(Vertices[Out-Degree],"&gt;= "&amp;H34)-COUNTIF(Vertices[Out-Degree],"&gt;="&amp;H35)</f>
        <v>0</v>
      </c>
      <c r="J34" s="38">
        <f t="shared" si="4"/>
        <v>0</v>
      </c>
      <c r="K34" s="39">
        <f>COUNTIF(Vertices[Betweenness Centrality],"&gt;= "&amp;J34)-COUNTIF(Vertices[Betweenness Centrality],"&gt;="&amp;J35)</f>
        <v>0</v>
      </c>
      <c r="L34" s="38">
        <f t="shared" si="5"/>
        <v>0</v>
      </c>
      <c r="M34" s="39">
        <f>COUNTIF(Vertices[Closeness Centrality],"&gt;= "&amp;L34)-COUNTIF(Vertices[Closeness Centrality],"&gt;="&amp;L35)</f>
        <v>0</v>
      </c>
      <c r="N34" s="38">
        <f t="shared" si="6"/>
        <v>0</v>
      </c>
      <c r="O34" s="39">
        <f>COUNTIF(Vertices[Eigenvector Centrality],"&gt;= "&amp;N34)-COUNTIF(Vertices[Eigenvector Centrality],"&gt;="&amp;N35)</f>
        <v>0</v>
      </c>
      <c r="P34" s="38">
        <f t="shared" si="7"/>
        <v>0</v>
      </c>
      <c r="Q34" s="39">
        <f>COUNTIF(Vertices[PageRank],"&gt;= "&amp;P34)-COUNTIF(Vertices[PageRank],"&gt;="&amp;P35)</f>
        <v>0</v>
      </c>
      <c r="R34" s="38">
        <f t="shared" si="8"/>
        <v>0</v>
      </c>
      <c r="S34" s="44">
        <f>COUNTIF(Vertices[Clustering Coefficient],"&gt;= "&amp;R34)-COUNTIF(Vertices[Clustering Coefficient],"&gt;="&amp;R35)</f>
        <v>0</v>
      </c>
      <c r="T34" s="38" t="e">
        <f ca="1" t="shared" si="9"/>
        <v>#REF!</v>
      </c>
      <c r="U34" s="39" t="e">
        <f ca="1" t="shared" si="10"/>
        <v>#REF!</v>
      </c>
    </row>
    <row r="35" spans="1:21" ht="15">
      <c r="A35" s="35"/>
      <c r="B35" s="35"/>
      <c r="D35" s="33">
        <f t="shared" si="1"/>
        <v>0</v>
      </c>
      <c r="E35" s="3">
        <f>COUNTIF(Vertices[Degree],"&gt;= "&amp;D35)-COUNTIF(Vertices[Degree],"&gt;="&amp;D36)</f>
        <v>0</v>
      </c>
      <c r="F35" s="40">
        <f t="shared" si="2"/>
        <v>0</v>
      </c>
      <c r="G35" s="41">
        <f>COUNTIF(Vertices[In-Degree],"&gt;= "&amp;F35)-COUNTIF(Vertices[In-Degree],"&gt;="&amp;F36)</f>
        <v>0</v>
      </c>
      <c r="H35" s="40">
        <f t="shared" si="3"/>
        <v>0</v>
      </c>
      <c r="I35" s="41">
        <f>COUNTIF(Vertices[Out-Degree],"&gt;= "&amp;H35)-COUNTIF(Vertices[Out-Degree],"&gt;="&amp;H36)</f>
        <v>0</v>
      </c>
      <c r="J35" s="40">
        <f t="shared" si="4"/>
        <v>0</v>
      </c>
      <c r="K35" s="41">
        <f>COUNTIF(Vertices[Betweenness Centrality],"&gt;= "&amp;J35)-COUNTIF(Vertices[Betweenness Centrality],"&gt;="&amp;J36)</f>
        <v>0</v>
      </c>
      <c r="L35" s="40">
        <f t="shared" si="5"/>
        <v>0</v>
      </c>
      <c r="M35" s="41">
        <f>COUNTIF(Vertices[Closeness Centrality],"&gt;= "&amp;L35)-COUNTIF(Vertices[Closeness Centrality],"&gt;="&amp;L36)</f>
        <v>0</v>
      </c>
      <c r="N35" s="40">
        <f t="shared" si="6"/>
        <v>0</v>
      </c>
      <c r="O35" s="41">
        <f>COUNTIF(Vertices[Eigenvector Centrality],"&gt;= "&amp;N35)-COUNTIF(Vertices[Eigenvector Centrality],"&gt;="&amp;N36)</f>
        <v>0</v>
      </c>
      <c r="P35" s="40">
        <f t="shared" si="7"/>
        <v>0</v>
      </c>
      <c r="Q35" s="41">
        <f>COUNTIF(Vertices[PageRank],"&gt;= "&amp;P35)-COUNTIF(Vertices[PageRank],"&gt;="&amp;P36)</f>
        <v>0</v>
      </c>
      <c r="R35" s="40">
        <f t="shared" si="8"/>
        <v>0</v>
      </c>
      <c r="S35" s="45">
        <f>COUNTIF(Vertices[Clustering Coefficient],"&gt;= "&amp;R35)-COUNTIF(Vertices[Clustering Coefficient],"&gt;="&amp;R36)</f>
        <v>0</v>
      </c>
      <c r="T35" s="40" t="e">
        <f ca="1" t="shared" si="9"/>
        <v>#REF!</v>
      </c>
      <c r="U35" s="41" t="e">
        <f ca="1" t="shared" si="10"/>
        <v>#REF!</v>
      </c>
    </row>
    <row r="36" spans="1:21" ht="15">
      <c r="A36" s="35"/>
      <c r="B36" s="35"/>
      <c r="D36" s="33">
        <f>MAX(Vertices[Degree])</f>
        <v>0</v>
      </c>
      <c r="E36" s="3">
        <f>COUNTIF(Vertices[Degree],"&gt;= "&amp;D36)-COUNTIF(Vertices[Degree],"&gt;="&amp;#REF!)</f>
        <v>0</v>
      </c>
      <c r="F36" s="42">
        <f>MAX(Vertices[In-Degree])</f>
        <v>0</v>
      </c>
      <c r="G36" s="43">
        <f>COUNTIF(Vertices[In-Degree],"&gt;= "&amp;F36)-COUNTIF(Vertices[In-Degree],"&gt;="&amp;#REF!)</f>
        <v>0</v>
      </c>
      <c r="H36" s="42">
        <f>MAX(Vertices[Out-Degree])</f>
        <v>0</v>
      </c>
      <c r="I36" s="43">
        <f>COUNTIF(Vertices[Out-Degree],"&gt;= "&amp;H36)-COUNTIF(Vertices[Out-Degree],"&gt;="&amp;#REF!)</f>
        <v>0</v>
      </c>
      <c r="J36" s="42">
        <f>MAX(Vertices[Betweenness Centrality])</f>
        <v>0</v>
      </c>
      <c r="K36" s="43">
        <f>COUNTIF(Vertices[Betweenness Centrality],"&gt;= "&amp;J36)-COUNTIF(Vertices[Betweenness Centrality],"&gt;="&amp;#REF!)</f>
        <v>0</v>
      </c>
      <c r="L36" s="42">
        <f>MAX(Vertices[Closeness Centrality])</f>
        <v>0</v>
      </c>
      <c r="M36" s="43">
        <f>COUNTIF(Vertices[Closeness Centrality],"&gt;= "&amp;L36)-COUNTIF(Vertices[Closeness Centrality],"&gt;="&amp;#REF!)</f>
        <v>0</v>
      </c>
      <c r="N36" s="42">
        <f>MAX(Vertices[Eigenvector Centrality])</f>
        <v>0</v>
      </c>
      <c r="O36" s="43">
        <f>COUNTIF(Vertices[Eigenvector Centrality],"&gt;= "&amp;N36)-COUNTIF(Vertices[Eigenvector Centrality],"&gt;="&amp;#REF!)</f>
        <v>0</v>
      </c>
      <c r="P36" s="42">
        <f>MAX(Vertices[PageRank])</f>
        <v>0</v>
      </c>
      <c r="Q36" s="43">
        <f>COUNTIF(Vertices[PageRank],"&gt;= "&amp;P36)-COUNTIF(Vertices[PageRank],"&gt;="&amp;#REF!)</f>
        <v>0</v>
      </c>
      <c r="R36" s="42">
        <f>MAX(Vertices[Clustering Coefficient])</f>
        <v>0</v>
      </c>
      <c r="S36" s="46">
        <f>COUNTIF(Vertices[Clustering Coefficient],"&gt;= "&amp;R36)-COUNTIF(Vertices[Clustering Coefficient],"&gt;="&amp;#REF!)</f>
        <v>0</v>
      </c>
      <c r="T36" s="42" t="e">
        <f ca="1">MAX(INDIRECT(DynamicFilterSourceColumnRange))</f>
        <v>#REF!</v>
      </c>
      <c r="U36" s="43" t="e">
        <f ca="1">COUNTIF(INDIRECT(DynamicFilterSourceColumnRange),"&gt;= "&amp;T36)-COUNTIF(INDIRECT(DynamicFilterSourceColumnRange),"&gt;="&amp;#REF!)</f>
        <v>#REF!</v>
      </c>
    </row>
    <row r="37" spans="1:2" ht="15">
      <c r="A37" s="78"/>
      <c r="B37" s="78"/>
    </row>
    <row r="38" spans="1:2" ht="15">
      <c r="A38" s="78"/>
      <c r="B38" s="78"/>
    </row>
    <row r="39" spans="1:2" ht="15">
      <c r="A39" s="78"/>
      <c r="B39" s="78"/>
    </row>
    <row r="40" spans="1:2" ht="15">
      <c r="A40" s="78"/>
      <c r="B40" s="78"/>
    </row>
    <row r="41" spans="1:2" ht="15">
      <c r="A41" s="78"/>
      <c r="B41" s="78"/>
    </row>
    <row r="42" spans="1:2" ht="15">
      <c r="A42" s="35"/>
      <c r="B42" s="35"/>
    </row>
    <row r="43" spans="1:2" ht="15">
      <c r="A43" s="35"/>
      <c r="B43" s="35"/>
    </row>
    <row r="44" spans="1:2" ht="15">
      <c r="A44" s="35"/>
      <c r="B44" s="35"/>
    </row>
    <row r="45" spans="1:2" ht="15">
      <c r="A45" s="35"/>
      <c r="B45" s="35"/>
    </row>
    <row r="46" spans="1:2" ht="15">
      <c r="A46" s="35"/>
      <c r="B46" s="35"/>
    </row>
    <row r="47" spans="1:2" ht="15">
      <c r="A47" s="35"/>
      <c r="B47" s="35"/>
    </row>
    <row r="48" spans="1:2" ht="15">
      <c r="A48" s="35"/>
      <c r="B48" s="35"/>
    </row>
    <row r="49" spans="1:2" ht="15">
      <c r="A49" s="35"/>
      <c r="B49" s="35"/>
    </row>
    <row r="50" spans="1:2" ht="15">
      <c r="A50" s="78"/>
      <c r="B50" s="78"/>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t="str">
        <f>IF(COUNT(Vertices[In-Degree])&gt;0,F2,NoMetricMessage)</f>
        <v>Not Available</v>
      </c>
    </row>
    <row r="82" spans="1:2" ht="15">
      <c r="A82" s="34" t="s">
        <v>89</v>
      </c>
      <c r="B82" s="47" t="str">
        <f>IF(COUNT(Vertices[In-Degree])&gt;0,F36,NoMetricMessage)</f>
        <v>Not Available</v>
      </c>
    </row>
    <row r="83" spans="1:2" ht="15">
      <c r="A83" s="34" t="s">
        <v>90</v>
      </c>
      <c r="B83" s="48" t="str">
        <f>_xlfn.IFERROR(AVERAGE(Vertices[In-Degree]),NoMetricMessage)</f>
        <v>Not Available</v>
      </c>
    </row>
    <row r="84" spans="1:2" ht="15">
      <c r="A84" s="34" t="s">
        <v>91</v>
      </c>
      <c r="B84" s="48" t="str">
        <f>_xlfn.IFERROR(MEDIAN(Vertices[In-Degree]),NoMetricMessage)</f>
        <v>Not Available</v>
      </c>
    </row>
    <row r="95" spans="1:2" ht="15">
      <c r="A95" s="34" t="s">
        <v>94</v>
      </c>
      <c r="B95" s="47" t="str">
        <f>IF(COUNT(Vertices[Out-Degree])&gt;0,H2,NoMetricMessage)</f>
        <v>Not Available</v>
      </c>
    </row>
    <row r="96" spans="1:2" ht="15">
      <c r="A96" s="34" t="s">
        <v>95</v>
      </c>
      <c r="B96" s="47" t="str">
        <f>IF(COUNT(Vertices[Out-Degree])&gt;0,H36,NoMetricMessage)</f>
        <v>Not Available</v>
      </c>
    </row>
    <row r="97" spans="1:2" ht="15">
      <c r="A97" s="34" t="s">
        <v>96</v>
      </c>
      <c r="B97" s="48" t="str">
        <f>_xlfn.IFERROR(AVERAGE(Vertices[Out-Degree]),NoMetricMessage)</f>
        <v>Not Available</v>
      </c>
    </row>
    <row r="98" spans="1:2" ht="15">
      <c r="A98" s="34" t="s">
        <v>97</v>
      </c>
      <c r="B98" s="48" t="str">
        <f>_xlfn.IFERROR(MEDIAN(Vertices[Out-Degree]),NoMetricMessage)</f>
        <v>Not Available</v>
      </c>
    </row>
    <row r="109" spans="1:2" ht="15">
      <c r="A109" s="34" t="s">
        <v>100</v>
      </c>
      <c r="B109" s="48" t="str">
        <f>IF(COUNT(Vertices[Betweenness Centrality])&gt;0,J2,NoMetricMessage)</f>
        <v>Not Available</v>
      </c>
    </row>
    <row r="110" spans="1:2" ht="15">
      <c r="A110" s="34" t="s">
        <v>101</v>
      </c>
      <c r="B110" s="48" t="str">
        <f>IF(COUNT(Vertices[Betweenness Centrality])&gt;0,J36,NoMetricMessage)</f>
        <v>Not Available</v>
      </c>
    </row>
    <row r="111" spans="1:2" ht="15">
      <c r="A111" s="34" t="s">
        <v>102</v>
      </c>
      <c r="B111" s="48" t="str">
        <f>_xlfn.IFERROR(AVERAGE(Vertices[Betweenness Centrality]),NoMetricMessage)</f>
        <v>Not Available</v>
      </c>
    </row>
    <row r="112" spans="1:2" ht="15">
      <c r="A112" s="34" t="s">
        <v>103</v>
      </c>
      <c r="B112" s="48" t="str">
        <f>_xlfn.IFERROR(MEDIAN(Vertices[Betweenness Centrality]),NoMetricMessage)</f>
        <v>Not Available</v>
      </c>
    </row>
    <row r="123" spans="1:2" ht="15">
      <c r="A123" s="34" t="s">
        <v>106</v>
      </c>
      <c r="B123" s="48" t="str">
        <f>IF(COUNT(Vertices[Closeness Centrality])&gt;0,L2,NoMetricMessage)</f>
        <v>Not Available</v>
      </c>
    </row>
    <row r="124" spans="1:2" ht="15">
      <c r="A124" s="34" t="s">
        <v>107</v>
      </c>
      <c r="B124" s="48" t="str">
        <f>IF(COUNT(Vertices[Closeness Centrality])&gt;0,L36,NoMetricMessage)</f>
        <v>Not Available</v>
      </c>
    </row>
    <row r="125" spans="1:2" ht="15">
      <c r="A125" s="34" t="s">
        <v>108</v>
      </c>
      <c r="B125" s="48" t="str">
        <f>_xlfn.IFERROR(AVERAGE(Vertices[Closeness Centrality]),NoMetricMessage)</f>
        <v>Not Available</v>
      </c>
    </row>
    <row r="126" spans="1:2" ht="15">
      <c r="A126" s="34" t="s">
        <v>109</v>
      </c>
      <c r="B126" s="48" t="str">
        <f>_xlfn.IFERROR(MEDIAN(Vertices[Closeness Centrality]),NoMetricMessage)</f>
        <v>Not Available</v>
      </c>
    </row>
    <row r="137" spans="1:2" ht="15">
      <c r="A137" s="34" t="s">
        <v>112</v>
      </c>
      <c r="B137" s="48" t="str">
        <f>IF(COUNT(Vertices[Eigenvector Centrality])&gt;0,N2,NoMetricMessage)</f>
        <v>Not Available</v>
      </c>
    </row>
    <row r="138" spans="1:2" ht="15">
      <c r="A138" s="34" t="s">
        <v>113</v>
      </c>
      <c r="B138" s="48" t="str">
        <f>IF(COUNT(Vertices[Eigenvector Centrality])&gt;0,N36,NoMetricMessage)</f>
        <v>Not Available</v>
      </c>
    </row>
    <row r="139" spans="1:2" ht="15">
      <c r="A139" s="34" t="s">
        <v>114</v>
      </c>
      <c r="B139" s="48" t="str">
        <f>_xlfn.IFERROR(AVERAGE(Vertices[Eigenvector Centrality]),NoMetricMessage)</f>
        <v>Not Available</v>
      </c>
    </row>
    <row r="140" spans="1:2" ht="15">
      <c r="A140" s="34" t="s">
        <v>115</v>
      </c>
      <c r="B140" s="48" t="str">
        <f>_xlfn.IFERROR(MEDIAN(Vertices[Eigenvector Centrality]),NoMetricMessage)</f>
        <v>Not Available</v>
      </c>
    </row>
    <row r="151" spans="1:2" ht="15">
      <c r="A151" s="34" t="s">
        <v>140</v>
      </c>
      <c r="B151" s="48" t="str">
        <f>IF(COUNT(Vertices[PageRank])&gt;0,P2,NoMetricMessage)</f>
        <v>Not Available</v>
      </c>
    </row>
    <row r="152" spans="1:2" ht="15">
      <c r="A152" s="34" t="s">
        <v>141</v>
      </c>
      <c r="B152" s="48" t="str">
        <f>IF(COUNT(Vertices[PageRank])&gt;0,P36,NoMetricMessage)</f>
        <v>Not Available</v>
      </c>
    </row>
    <row r="153" spans="1:2" ht="15">
      <c r="A153" s="34" t="s">
        <v>142</v>
      </c>
      <c r="B153" s="48" t="str">
        <f>_xlfn.IFERROR(AVERAGE(Vertices[PageRank]),NoMetricMessage)</f>
        <v>Not Available</v>
      </c>
    </row>
    <row r="154" spans="1:2" ht="15">
      <c r="A154" s="34" t="s">
        <v>143</v>
      </c>
      <c r="B154" s="48" t="str">
        <f>_xlfn.IFERROR(MEDIAN(Vertices[PageRank]),NoMetricMessage)</f>
        <v>Not Available</v>
      </c>
    </row>
    <row r="165" spans="1:2" ht="15">
      <c r="A165" s="34" t="s">
        <v>118</v>
      </c>
      <c r="B165" s="48" t="str">
        <f>IF(COUNT(Vertices[Clustering Coefficient])&gt;0,R2,NoMetricMessage)</f>
        <v>Not Available</v>
      </c>
    </row>
    <row r="166" spans="1:2" ht="15">
      <c r="A166" s="34" t="s">
        <v>119</v>
      </c>
      <c r="B166" s="48" t="str">
        <f>IF(COUNT(Vertices[Clustering Coefficient])&gt;0,R36,NoMetricMessage)</f>
        <v>Not Available</v>
      </c>
    </row>
    <row r="167" spans="1:2" ht="15">
      <c r="A167" s="34" t="s">
        <v>120</v>
      </c>
      <c r="B167" s="48" t="str">
        <f>_xlfn.IFERROR(AVERAGE(Vertices[Clustering Coefficient]),NoMetricMessage)</f>
        <v>Not Available</v>
      </c>
    </row>
    <row r="168" spans="1:2" ht="15">
      <c r="A168" s="34" t="s">
        <v>121</v>
      </c>
      <c r="B168" s="48" t="str">
        <f>_xlfn.IFERROR(MEDIAN(Vertices[Clustering Coefficient]),NoMetricMessage)</f>
        <v>Not Available</v>
      </c>
    </row>
  </sheetData>
  <printOptions/>
  <pageMargins left="0.7" right="0.7" top="0.75" bottom="0.75" header="0.3" footer="0.3"/>
  <pageSetup horizontalDpi="600" verticalDpi="600" orientation="portrait" r:id="rId8"/>
  <drawing r:id="rId7"/>
  <legacyDrawing r:id="rId2"/>
  <tableParts>
    <tablePart r:id="rId3"/>
    <tablePart r:id="rId5"/>
    <tablePart r:id="rId4"/>
    <tablePart r:id="rId6"/>
  </tablePart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E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customWidth="1"/>
    <col min="4" max="4" width="8.7109375" style="2" customWidth="1"/>
    <col min="5" max="5" width="7.7109375" style="2" customWidth="1"/>
    <col min="6" max="6" width="9.8515625" style="2" customWidth="1"/>
    <col min="7" max="7" width="11.00390625" style="3" customWidth="1"/>
    <col min="8" max="8" width="8.00390625" style="1" customWidth="1"/>
    <col min="9" max="9" width="12.28125" style="3" customWidth="1"/>
    <col min="10" max="10" width="12.421875" style="3" customWidth="1"/>
    <col min="11" max="11" width="15.57421875" style="3" customWidth="1"/>
    <col min="12" max="12" width="11.00390625" style="0" customWidth="1"/>
    <col min="13" max="13" width="10.8515625" style="0"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s>
  <sheetData>
    <row r="1" spans="3:14" ht="15">
      <c r="C1" s="17" t="s">
        <v>39</v>
      </c>
      <c r="D1" s="18"/>
      <c r="E1" s="18"/>
      <c r="F1" s="18"/>
      <c r="G1" s="17"/>
      <c r="H1" s="15" t="s">
        <v>43</v>
      </c>
      <c r="I1" s="65"/>
      <c r="J1" s="65"/>
      <c r="K1" s="34" t="s">
        <v>42</v>
      </c>
      <c r="L1" s="19" t="s">
        <v>40</v>
      </c>
      <c r="M1" s="19"/>
      <c r="N1" s="16" t="s">
        <v>41</v>
      </c>
    </row>
    <row r="2" spans="1:57" ht="30" customHeight="1">
      <c r="A2" s="79" t="s">
        <v>0</v>
      </c>
      <c r="B2" s="79" t="s">
        <v>1</v>
      </c>
      <c r="C2" s="13" t="s">
        <v>2</v>
      </c>
      <c r="D2" s="13" t="s">
        <v>3</v>
      </c>
      <c r="E2" s="13" t="s">
        <v>130</v>
      </c>
      <c r="F2" s="13" t="s">
        <v>4</v>
      </c>
      <c r="G2" s="13" t="s">
        <v>11</v>
      </c>
      <c r="H2" s="11" t="s">
        <v>46</v>
      </c>
      <c r="I2" s="13" t="s">
        <v>160</v>
      </c>
      <c r="J2" s="13" t="s">
        <v>161</v>
      </c>
      <c r="K2" s="13" t="s">
        <v>165</v>
      </c>
      <c r="L2" s="13" t="s">
        <v>12</v>
      </c>
      <c r="M2" s="13" t="s">
        <v>38</v>
      </c>
      <c r="N2" s="13" t="s">
        <v>26</v>
      </c>
      <c r="O2" s="81" t="s">
        <v>174</v>
      </c>
      <c r="P2" s="81" t="s">
        <v>175</v>
      </c>
      <c r="Q2" s="81" t="s">
        <v>176</v>
      </c>
      <c r="R2" s="81" t="s">
        <v>177</v>
      </c>
      <c r="S2" s="81" t="s">
        <v>178</v>
      </c>
      <c r="T2" s="81" t="s">
        <v>179</v>
      </c>
      <c r="U2" s="81" t="s">
        <v>180</v>
      </c>
      <c r="V2" s="81" t="s">
        <v>181</v>
      </c>
      <c r="W2" s="81" t="s">
        <v>182</v>
      </c>
      <c r="X2" s="81" t="s">
        <v>183</v>
      </c>
      <c r="Y2" s="81" t="s">
        <v>184</v>
      </c>
      <c r="Z2" s="81" t="s">
        <v>185</v>
      </c>
      <c r="AA2" s="81" t="s">
        <v>186</v>
      </c>
      <c r="AB2" s="81" t="s">
        <v>187</v>
      </c>
      <c r="AC2" s="81" t="s">
        <v>188</v>
      </c>
      <c r="AD2" s="81" t="s">
        <v>189</v>
      </c>
      <c r="AE2" s="81" t="s">
        <v>190</v>
      </c>
      <c r="AF2" s="81" t="s">
        <v>191</v>
      </c>
      <c r="AG2" s="81" t="s">
        <v>192</v>
      </c>
      <c r="AH2" s="81" t="s">
        <v>193</v>
      </c>
      <c r="AI2" s="81" t="s">
        <v>194</v>
      </c>
      <c r="AJ2" s="81" t="s">
        <v>195</v>
      </c>
      <c r="AK2" s="81" t="s">
        <v>196</v>
      </c>
      <c r="AL2" s="81" t="s">
        <v>197</v>
      </c>
      <c r="AM2" s="81" t="s">
        <v>198</v>
      </c>
      <c r="AN2" s="81" t="s">
        <v>199</v>
      </c>
      <c r="AO2" s="81" t="s">
        <v>200</v>
      </c>
      <c r="AP2" s="81" t="s">
        <v>201</v>
      </c>
      <c r="AQ2" s="81" t="s">
        <v>202</v>
      </c>
      <c r="AR2" s="81" t="s">
        <v>203</v>
      </c>
      <c r="AS2" s="81" t="s">
        <v>204</v>
      </c>
      <c r="AT2" s="81" t="s">
        <v>205</v>
      </c>
      <c r="AU2" s="81" t="s">
        <v>206</v>
      </c>
      <c r="AV2" s="81" t="s">
        <v>207</v>
      </c>
      <c r="AW2" s="81" t="s">
        <v>208</v>
      </c>
      <c r="AX2" s="81" t="s">
        <v>209</v>
      </c>
      <c r="AY2" s="81" t="s">
        <v>210</v>
      </c>
      <c r="AZ2" s="81" t="s">
        <v>211</v>
      </c>
      <c r="BA2" s="81" t="s">
        <v>212</v>
      </c>
      <c r="BB2" s="81" t="s">
        <v>213</v>
      </c>
      <c r="BC2" t="s">
        <v>273</v>
      </c>
      <c r="BD2" s="13" t="s">
        <v>275</v>
      </c>
      <c r="BE2" s="13" t="s">
        <v>276</v>
      </c>
    </row>
    <row r="3" spans="1:57" ht="15" customHeight="1">
      <c r="A3" s="80"/>
      <c r="B3" s="80"/>
      <c r="C3" s="53"/>
      <c r="D3" s="54"/>
      <c r="E3" s="66"/>
      <c r="F3" s="55"/>
      <c r="G3" s="53"/>
      <c r="H3" s="57"/>
      <c r="I3" s="56"/>
      <c r="J3" s="56"/>
      <c r="K3" s="35"/>
      <c r="L3" s="62">
        <v>3</v>
      </c>
      <c r="M3" s="62"/>
      <c r="N3" s="63"/>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D3" s="81" t="e">
        <f>REPLACE(INDEX(GroupVertices[Group],MATCH(Edges11[[#This Row],[Vertex 1]],GroupVertices[Vertex],0)),1,1,"")</f>
        <v>#N/A</v>
      </c>
      <c r="BE3" s="81" t="e">
        <f>REPLACE(INDEX(GroupVertices[Group],MATCH(Edges11[[#This Row],[Vertex 2]],GroupVertices[Vertex],0)),1,1,"")</f>
        <v>#N/A</v>
      </c>
    </row>
    <row r="4" ht="15" customHeight="1"/>
    <row r="6" ht="15"/>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
    <dataValidation allowBlank="1" showInputMessage="1" showErrorMessage="1" promptTitle="Vertex 2 Name" prompt="Enter the name of the edge's second vertex." sqref="B3"/>
    <dataValidation allowBlank="1" showInputMessage="1" showErrorMessage="1" promptTitle="Vertex 1 Name" prompt="Enter the name of the edge's first vertex." sqref="A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
    <dataValidation allowBlank="1" showInputMessage="1" promptTitle="Edge Width" prompt="Enter an optional edge width between 1 and 10." errorTitle="Invalid Edge Width" error="The optional edge width must be a whole number between 1 and 10." sqref="D3"/>
    <dataValidation allowBlank="1" showInputMessage="1" promptTitle="Edge Color" prompt="To select an optional edge color, right-click and select Select Color on the right-click menu." sqref="C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
    <dataValidation allowBlank="1" showErrorMessage="1" sqref="N2:N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
  </dataValidations>
  <printOptions/>
  <pageMargins left="0.7" right="0.7" top="0.75" bottom="0.75" header="0.3" footer="0.3"/>
  <pageSetup horizontalDpi="600" verticalDpi="600" orientation="portrait" r:id="rId4"/>
  <legacyDrawing r:id="rId2"/>
  <tableParts>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236</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237</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238</v>
      </c>
      <c r="K7" s="13" t="s">
        <v>239</v>
      </c>
    </row>
    <row r="8" spans="1:11" ht="409.5">
      <c r="A8"/>
      <c r="B8">
        <v>2</v>
      </c>
      <c r="C8">
        <v>2</v>
      </c>
      <c r="D8" t="s">
        <v>61</v>
      </c>
      <c r="E8" t="s">
        <v>61</v>
      </c>
      <c r="H8" t="s">
        <v>73</v>
      </c>
      <c r="J8" t="s">
        <v>240</v>
      </c>
      <c r="K8" s="13" t="s">
        <v>241</v>
      </c>
    </row>
    <row r="9" spans="1:11" ht="409.5">
      <c r="A9"/>
      <c r="B9">
        <v>3</v>
      </c>
      <c r="C9">
        <v>4</v>
      </c>
      <c r="D9" t="s">
        <v>62</v>
      </c>
      <c r="E9" t="s">
        <v>62</v>
      </c>
      <c r="H9" t="s">
        <v>74</v>
      </c>
      <c r="J9" t="s">
        <v>242</v>
      </c>
      <c r="K9" s="13" t="s">
        <v>243</v>
      </c>
    </row>
    <row r="10" spans="1:11" ht="409.5">
      <c r="A10"/>
      <c r="B10">
        <v>4</v>
      </c>
      <c r="D10" t="s">
        <v>63</v>
      </c>
      <c r="E10" t="s">
        <v>63</v>
      </c>
      <c r="H10" t="s">
        <v>75</v>
      </c>
      <c r="J10" t="s">
        <v>244</v>
      </c>
      <c r="K10" s="13" t="s">
        <v>245</v>
      </c>
    </row>
    <row r="11" spans="1:11" ht="15">
      <c r="A11"/>
      <c r="B11">
        <v>5</v>
      </c>
      <c r="D11" t="s">
        <v>46</v>
      </c>
      <c r="E11">
        <v>1</v>
      </c>
      <c r="H11" t="s">
        <v>76</v>
      </c>
      <c r="J11" t="s">
        <v>246</v>
      </c>
      <c r="K11" t="s">
        <v>247</v>
      </c>
    </row>
    <row r="12" spans="1:11" ht="15">
      <c r="A12"/>
      <c r="B12"/>
      <c r="D12" t="s">
        <v>64</v>
      </c>
      <c r="E12">
        <v>2</v>
      </c>
      <c r="H12">
        <v>0</v>
      </c>
      <c r="J12" t="s">
        <v>248</v>
      </c>
      <c r="K12" t="s">
        <v>249</v>
      </c>
    </row>
    <row r="13" spans="1:11" ht="15">
      <c r="A13"/>
      <c r="B13"/>
      <c r="D13">
        <v>1</v>
      </c>
      <c r="E13">
        <v>3</v>
      </c>
      <c r="H13">
        <v>1</v>
      </c>
      <c r="J13" t="s">
        <v>250</v>
      </c>
      <c r="K13" t="s">
        <v>251</v>
      </c>
    </row>
    <row r="14" spans="4:11" ht="15">
      <c r="D14">
        <v>2</v>
      </c>
      <c r="E14">
        <v>4</v>
      </c>
      <c r="H14">
        <v>2</v>
      </c>
      <c r="J14" t="s">
        <v>252</v>
      </c>
      <c r="K14" t="s">
        <v>253</v>
      </c>
    </row>
    <row r="15" spans="4:11" ht="15">
      <c r="D15">
        <v>3</v>
      </c>
      <c r="E15">
        <v>5</v>
      </c>
      <c r="H15">
        <v>3</v>
      </c>
      <c r="J15" t="s">
        <v>254</v>
      </c>
      <c r="K15" t="s">
        <v>255</v>
      </c>
    </row>
    <row r="16" spans="4:11" ht="15">
      <c r="D16">
        <v>4</v>
      </c>
      <c r="E16">
        <v>6</v>
      </c>
      <c r="H16">
        <v>4</v>
      </c>
      <c r="J16" t="s">
        <v>256</v>
      </c>
      <c r="K16" t="s">
        <v>257</v>
      </c>
    </row>
    <row r="17" spans="4:11" ht="15">
      <c r="D17">
        <v>5</v>
      </c>
      <c r="E17">
        <v>7</v>
      </c>
      <c r="H17">
        <v>5</v>
      </c>
      <c r="J17" t="s">
        <v>258</v>
      </c>
      <c r="K17" t="s">
        <v>259</v>
      </c>
    </row>
    <row r="18" spans="4:11" ht="15">
      <c r="D18">
        <v>6</v>
      </c>
      <c r="E18">
        <v>8</v>
      </c>
      <c r="H18">
        <v>6</v>
      </c>
      <c r="J18" t="s">
        <v>260</v>
      </c>
      <c r="K18" t="s">
        <v>261</v>
      </c>
    </row>
    <row r="19" spans="4:11" ht="15">
      <c r="D19">
        <v>7</v>
      </c>
      <c r="E19">
        <v>9</v>
      </c>
      <c r="H19">
        <v>7</v>
      </c>
      <c r="J19" t="s">
        <v>262</v>
      </c>
      <c r="K19" t="s">
        <v>263</v>
      </c>
    </row>
    <row r="20" spans="4:11" ht="15">
      <c r="D20">
        <v>8</v>
      </c>
      <c r="H20">
        <v>8</v>
      </c>
      <c r="J20" t="s">
        <v>264</v>
      </c>
      <c r="K20" t="s">
        <v>265</v>
      </c>
    </row>
    <row r="21" spans="4:11" ht="409.5">
      <c r="D21">
        <v>9</v>
      </c>
      <c r="H21">
        <v>9</v>
      </c>
      <c r="J21" t="s">
        <v>266</v>
      </c>
      <c r="K21" s="13" t="s">
        <v>267</v>
      </c>
    </row>
    <row r="22" spans="4:11" ht="409.5">
      <c r="D22">
        <v>10</v>
      </c>
      <c r="J22" t="s">
        <v>268</v>
      </c>
      <c r="K22" s="13" t="s">
        <v>269</v>
      </c>
    </row>
    <row r="23" spans="4:11" ht="409.5">
      <c r="D23">
        <v>11</v>
      </c>
      <c r="J23" t="s">
        <v>270</v>
      </c>
      <c r="K23" s="13" t="s">
        <v>285</v>
      </c>
    </row>
    <row r="24" spans="10:11" ht="409.5">
      <c r="J24" t="s">
        <v>271</v>
      </c>
      <c r="K24" s="13" t="s">
        <v>284</v>
      </c>
    </row>
    <row r="25" spans="10:11" ht="15">
      <c r="J25" t="s">
        <v>272</v>
      </c>
      <c r="K25" t="b">
        <v>0</v>
      </c>
    </row>
    <row r="26" spans="10:11" ht="15">
      <c r="J26" t="s">
        <v>282</v>
      </c>
      <c r="K26" t="s">
        <v>283</v>
      </c>
    </row>
  </sheetData>
  <printOptions/>
  <pageMargins left="0.7" right="0.7" top="0.75" bottom="0.75" header="0.3" footer="0.3"/>
  <pageSetup horizontalDpi="600" verticalDpi="600" orientation="portrait" r:id="rId4"/>
  <drawing r:id="rId3"/>
  <tableParts>
    <tablePart r:id="rId2"/>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7"/>
  <sheetViews>
    <sheetView tabSelected="1" workbookViewId="0" topLeftCell="A1"/>
  </sheetViews>
  <sheetFormatPr defaultColWidth="9.140625" defaultRowHeight="15"/>
  <cols>
    <col min="1" max="1" width="13.140625" style="0" customWidth="1"/>
    <col min="2" max="2" width="25.00390625" style="0" bestFit="1" customWidth="1"/>
  </cols>
  <sheetData>
    <row r="25" spans="1:2" ht="15">
      <c r="A25" s="84" t="s">
        <v>279</v>
      </c>
      <c r="B25" t="s">
        <v>278</v>
      </c>
    </row>
    <row r="26" spans="1:2" ht="15">
      <c r="A26" s="85" t="s">
        <v>280</v>
      </c>
      <c r="B26" s="3"/>
    </row>
    <row r="27" spans="1:2" ht="15">
      <c r="A27" s="85" t="s">
        <v>281</v>
      </c>
      <c r="B27" s="3"/>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85EBDE6A-BC92-4385-B6EB-E2613DC6676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2022-01-18T22:17:45Z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