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<sst xmlns="http://schemas.openxmlformats.org/spreadsheetml/2006/main" count="638" uniqueCount="339">
  <si>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</si>
  <si>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</si>
  <si>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</si>
  <si>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</si>
  <si>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</si>
  <si>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</si>
  <si>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</si>
  <si>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</si>
  <si>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</si>
  <si>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</si>
  <si>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</si>
  <si>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</si>
  <si>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</si>
  <si>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</si>
  <si>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</si>
  <si>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</si>
  <si>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</si>
  <si>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</si>
  <si>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</si>
  <si>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</si>
  <si>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</si>
  <si>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</si>
  <si>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</si>
  <si>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</si>
  <si>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</si>
  <si>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</si>
  <si>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</si>
  <si>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</si>
  <si>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</si>
  <si>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</si>
  <si>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</si>
  <si>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</si>
  <si>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</si>
  <si>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</si>
  <si>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</si>
  <si>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</si>
  <si>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</si>
  <si>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</si>
  <si>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</si>
  <si>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</si>
  <si>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</si>
  <si>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</si>
  <si>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</si>
  <si>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</si>
  <si>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</si>
  <si>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</si>
  <si>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</si>
  <si>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</si>
  <si>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</si>
  <si>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</si>
  <si>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</si>
  <si>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</si>
  <si>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</si>
  <si>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</si>
  <si>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</si>
  <si>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</si>
  <si>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</si>
  <si>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</si>
  <si>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</si>
  <si>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</si>
  <si>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</si>
  <si>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</si>
  <si>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</si>
  <si>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</si>
  <si>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</si>
  <si>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</si>
  <si>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</si>
  <si>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</si>
  <si>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</si>
  <si>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</si>
  <si>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</si>
  <si>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</si>
  <si>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</si>
  <si>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</si>
  <si>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</si>
  <si>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</si>
  <si>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</si>
  <si>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</si>
  <si>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</si>
  <si>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</si>
  <si>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</si>
  <si>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</si>
  <si>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</si>
  <si>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</si>
  <si>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</si>
  <si>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</si>
  <si>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</si>
  <si>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</si>
  <si>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</si>
  <si>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</si>
  <si>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</si>
  <si>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</si>
  <si>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</si>
  <si>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</si>
  <si>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</si>
  <si>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</si>
  <si>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</si>
  <si>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</si>
  <si>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</si>
  <si>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</si>
  <si>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</si>
  <si>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</si>
  <si>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</si>
  <si>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</si>
  <si>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</si>
  <si>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</si>
  <si>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</si>
  <si>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</si>
  <si>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</si>
  <si>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</si>
  <si>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</si>
  <si>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</si>
  <si>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</si>
  <si>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</si>
  <si>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</si>
  <si>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</si>
  <si>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</si>
  <si>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</si>
  <si>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</si>
  <si>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</si>
  <si>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</si>
  <si>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</si>
  <si>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</si>
  <si>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</si>
  <si>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</si>
  <si>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</si>
  <si>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</si>
  <si>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</si>
  <si>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</si>
  <si>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</si>
  <si>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</si>
  <si>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</si>
  <si>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</si>
  <si>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</si>
  <si>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</si>
  <si>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</si>
  <si>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</si>
  <si>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</si>
  <si>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</si>
  <si>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</si>
  <si>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</si>
  <si>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</si>
  <si>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</si>
  <si>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</si>
  <si>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</si>
  <si>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</si>
  <si>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</si>
  <si>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</si>
  <si>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</si>
  <si>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</si>
  <si>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</si>
  <si>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</si>
  <si>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</si>
  <si>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</si>
  <si>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</si>
  <si>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</si>
  <si>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</si>
  <si>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</si>
  <si>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</si>
  <si>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</si>
  <si>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</si>
  <si>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</si>
  <si>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</si>
  <si>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</si>
  <si>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</si>
  <si>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</si>
  <si>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</si>
  <si>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</si>
  <si>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</si>
  <si>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</si>
  <si>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</si>
  <si>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</si>
  <si>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</si>
  <si>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</si>
  <si>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</si>
  <si>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</si>
  <si>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</si>
  <si>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</si>
  <si>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</si>
  <si>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</si>
  <si>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</si>
  <si>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</si>
  <si>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</si>
  <si>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</si>
  <si>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</si>
  <si>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</si>
  <si>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</si>
  <si>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</si>
  <si>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</si>
  <si>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</si>
  <si>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</si>
  <si>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</si>
  <si>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</si>
  <si>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</si>
  <si>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</si>
  <si>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</si>
  <si>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</si>
  <si>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</si>
  <si>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</si>
  <si>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</si>
  <si>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</si>
  <si>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</si>
  <si>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</si>
  <si>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</si>
  <si>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</si>
  <si>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</si>
  <si>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</si>
  <si>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</si>
  <si>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</si>
  <si>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</si>
  <si>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</si>
  <si>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</si>
  <si>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</si>
  <si>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</si>
  <si>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justblazedro</t>
  </si>
  <si>
    <t>icewind2020</t>
  </si>
  <si>
    <t>alexis_tth</t>
  </si>
  <si>
    <t>wolfganglohmann</t>
  </si>
  <si>
    <t>Retweet</t>
  </si>
  <si>
    <t>MentionsInRetweet</t>
  </si>
  <si>
    <t>RT @icewind2020: Compact vertical-axis #windturbines: mount on towers for robust back up and cost-cutting. #greenenergy #sustainableindustr…</t>
  </si>
  <si>
    <t>Compact vertical-axis #windturbines: mount on towers for robust back up and cost-cutting. #greenenergy #sustainableindustry https://t.co/ayLRWefCjP</t>
  </si>
  <si>
    <t>#SustainableIndustry 4.0 + #IoT.
3 spannende Redner,
am 17.5. 18 Uhr. https://t.co/3JweX7qS1F</t>
  </si>
  <si>
    <t>linkedin.com</t>
  </si>
  <si>
    <t>windturbines greenenergy</t>
  </si>
  <si>
    <t>windturbines greenenergy sustainableindustry</t>
  </si>
  <si>
    <t>sustainableindustry iot</t>
  </si>
  <si>
    <t>00:08:52</t>
  </si>
  <si>
    <t>16:47:48</t>
  </si>
  <si>
    <t>00:41:43</t>
  </si>
  <si>
    <t>16:51:56</t>
  </si>
  <si>
    <t>1524179698254811139</t>
  </si>
  <si>
    <t>1352659238540087308</t>
  </si>
  <si>
    <t>1524187966284967942</t>
  </si>
  <si>
    <t>1524432125788831747</t>
  </si>
  <si>
    <t/>
  </si>
  <si>
    <t>en</t>
  </si>
  <si>
    <t>de</t>
  </si>
  <si>
    <t>Twitter Web App</t>
  </si>
  <si>
    <t>Twitter for iPhone</t>
  </si>
  <si>
    <t>Hello World 222222</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</si>
  <si>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</si>
  <si>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</si>
  <si>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</si>
  <si>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</si>
  <si>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</si>
  <si>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</si>
  <si>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</si>
  <si>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</si>
  <si>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</si>
  <si>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</si>
  <si>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</si>
  <si>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</si>
  <si>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</si>
  <si>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</si>
  <si>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</si>
  <si>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</si>
  <si>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</si>
  <si>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</si>
  <si>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</si>
  <si>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</si>
  <si>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</si>
  <si>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</si>
  <si>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</si>
  <si>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IceWind</t>
  </si>
  <si>
    <t>Alexis TTh</t>
  </si>
  <si>
    <t>Wolfgang Lohmann</t>
  </si>
  <si>
    <t>JustBlazeIT™ .Iota_xD83D__xDD78_✨</t>
  </si>
  <si>
    <t>1277299635225313285</t>
  </si>
  <si>
    <t>824548261637816321</t>
  </si>
  <si>
    <t>198070695</t>
  </si>
  <si>
    <t>392420981</t>
  </si>
  <si>
    <t>Robust vertical-axis micro wind turbines from Iceland. Now available for industrial + commercial applications #windpower #renewableenergy</t>
  </si>
  <si>
    <t>ComSci, ICT 4 Sustainability, Green IT/SW,
Blockchain, BitcoinSV, Cardano,
AI,
startup fan, ideation, critic
https://t.co/6wOFA95Xxv
$40ps
40ps@handcash.io</t>
  </si>
  <si>
    <t>Hide your weed in your lungs...#SouthernStoner, Keep Calm and Blaze on_xD83C__xDF12_,#Libra♎#Leo_xD83E__xDDDC__xD83C__xDFFC_‍♀️#Society2 #Vmware _xD83D__xDD78_11:11 _xD83D__xDD78_#Iota</t>
  </si>
  <si>
    <t>Iceland</t>
  </si>
  <si>
    <t>Stuttgart</t>
  </si>
  <si>
    <t>_xD83E__xDDDE__xD83E__xDDDA__xD83C__xDFFB_</t>
  </si>
  <si>
    <t>Open Twitter Page for This Person</t>
  </si>
  <si>
    <t>icewind2020
Compact vertical-axis #windturbines:
mount on towers for robust back
up and cost-cutting. #greenenergy
#sustainableindustry https://t.co/ayLRWefCjP</t>
  </si>
  <si>
    <t>alexis_tth
RT @icewind2020: Compact vertical-axis
#windturbines: mount on towers
for robust back up and cost-cutting.
#greenenergy #sustainableindustr…</t>
  </si>
  <si>
    <t>wolfganglohmann
#SustainableIndustry 4.0 + #IoT.
3 spannende Redner, am 17.5. 18
Uhr. https://t.co/3JweX7qS1F</t>
  </si>
  <si>
    <t>justblazedro
RT @icewind2020: Compact vertical-axis
#windturbines: mount on towers
for robust back up and cost-cutting.
#greenenergy #sustainableindustr…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</si>
  <si>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</si>
  <si>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</si>
  <si>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</si>
  <si>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</si>
  <si>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</si>
  <si>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</si>
  <si>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</si>
  <si>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</si>
  <si>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</si>
  <si>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</si>
  <si>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</si>
  <si>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</si>
  <si>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</si>
  <si>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</si>
  <si>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</si>
  <si>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</si>
  <si>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</si>
  <si>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</si>
  <si>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</si>
  <si>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</si>
  <si>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</si>
  <si>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</si>
  <si>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</si>
  <si>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</si>
  <si>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</si>
  <si>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</si>
  <si>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</si>
  <si>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</si>
  <si>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</si>
  <si>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</si>
  <si>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</si>
  <si>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</si>
  <si>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</si>
  <si>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</si>
  <si>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</si>
  <si>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</si>
  <si>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</si>
  <si>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</si>
  <si>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</si>
  <si>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</si>
  <si>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</si>
  <si>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</si>
  <si>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</si>
  <si>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</si>
  <si>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</si>
  <si>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</si>
  <si>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Top URLs in Tweet</t>
  </si>
  <si>
    <t>https://www.linkedin.com/feed/update/urn:li:share:6930197751422984192</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</si>
  <si>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</si>
  <si>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</si>
  <si>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</si>
  <si>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</si>
  <si>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</si>
  <si>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</si>
  <si>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24 May 2022 at 02:15 UTC.
The requested start date was Tuesday, 24 May 2022 at 00:01 UTC and the maximum number of days (going backward) was 14.
The maximum number of tweets collected was 7,500.
The tweets in the network were tweeted over the 0-minute period from Wednesday, 11 May 2022 at 16:51 UTC to Wednesday, 11 May 2022 at 16:51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</si>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</sst>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1/22/2021 16:47</c:v>
                </c:pt>
                <c:pt idx="1">
                  <c:v>5/11/2022 0:08</c:v>
                </c:pt>
                <c:pt idx="2">
                  <c:v>5/11/2022 0:41</c:v>
                </c:pt>
                <c:pt idx="3">
                  <c:v>5/11/2022 16:51</c:v>
                </c:pt>
              </c:strCache>
            </c:strRef>
          </c:cat>
          <c:val>
            <c:numRef>
              <c:f>'Time Series'!$B$26:$B$30</c:f>
              <c:numCache>
                <c:formatCode>General</c:formatCode>
                <c:ptCount val="4"/>
                <c:pt idx="0">
                  <c:v>1</c:v>
                </c:pt>
                <c:pt idx="1">
                  <c:v>2</c:v>
                </c:pt>
                <c:pt idx="2">
                  <c:v>2</c:v>
                </c:pt>
                <c:pt idx="3">
                  <c:v>1</c:v>
                </c:pt>
              </c:numCache>
            </c:numRef>
          </c:val>
        </c:ser>
        <c:axId val="6109256"/>
        <c:axId val="54983305"/>
      </c:barChart>
      <c:catAx>
        <c:axId val="6109256"/>
        <c:scaling>
          <c:orientation val="minMax"/>
        </c:scaling>
        <c:axPos val="b"/>
        <c:delete val="0"/>
        <c:numFmt formatCode="General" sourceLinked="1"/>
        <c:majorTickMark val="out"/>
        <c:minorTickMark val="none"/>
        <c:tickLblPos val="nextTo"/>
        <c:crossAx val="54983305"/>
        <c:crosses val="autoZero"/>
        <c:auto val="1"/>
        <c:lblOffset val="100"/>
        <c:noMultiLvlLbl val="0"/>
      </c:catAx>
      <c:valAx>
        <c:axId val="54983305"/>
        <c:scaling>
          <c:orientation val="minMax"/>
        </c:scaling>
        <c:axPos val="l"/>
        <c:majorGridlines/>
        <c:delete val="0"/>
        <c:numFmt formatCode="General" sourceLinked="1"/>
        <c:majorTickMark val="out"/>
        <c:minorTickMark val="none"/>
        <c:tickLblPos val="nextTo"/>
        <c:crossAx val="6109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024642"/>
        <c:axId val="20568595"/>
      </c:barChart>
      <c:catAx>
        <c:axId val="470246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568595"/>
        <c:crosses val="autoZero"/>
        <c:auto val="1"/>
        <c:lblOffset val="100"/>
        <c:noMultiLvlLbl val="0"/>
      </c:catAx>
      <c:valAx>
        <c:axId val="20568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24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899628"/>
        <c:axId val="55443469"/>
      </c:barChart>
      <c:catAx>
        <c:axId val="508996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43469"/>
        <c:crosses val="autoZero"/>
        <c:auto val="1"/>
        <c:lblOffset val="100"/>
        <c:noMultiLvlLbl val="0"/>
      </c:catAx>
      <c:valAx>
        <c:axId val="554434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99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229174"/>
        <c:axId val="61735975"/>
      </c:barChart>
      <c:catAx>
        <c:axId val="292291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735975"/>
        <c:crosses val="autoZero"/>
        <c:auto val="1"/>
        <c:lblOffset val="100"/>
        <c:noMultiLvlLbl val="0"/>
      </c:catAx>
      <c:valAx>
        <c:axId val="61735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91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752864"/>
        <c:axId val="34558049"/>
      </c:barChart>
      <c:catAx>
        <c:axId val="187528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558049"/>
        <c:crosses val="autoZero"/>
        <c:auto val="1"/>
        <c:lblOffset val="100"/>
        <c:noMultiLvlLbl val="0"/>
      </c:catAx>
      <c:valAx>
        <c:axId val="34558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52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586986"/>
        <c:axId val="47738555"/>
      </c:barChart>
      <c:catAx>
        <c:axId val="425869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38555"/>
        <c:crosses val="autoZero"/>
        <c:auto val="1"/>
        <c:lblOffset val="100"/>
        <c:noMultiLvlLbl val="0"/>
      </c:catAx>
      <c:valAx>
        <c:axId val="4773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86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993812"/>
        <c:axId val="41617717"/>
      </c:barChart>
      <c:catAx>
        <c:axId val="26993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17717"/>
        <c:crosses val="autoZero"/>
        <c:auto val="1"/>
        <c:lblOffset val="100"/>
        <c:noMultiLvlLbl val="0"/>
      </c:catAx>
      <c:valAx>
        <c:axId val="41617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3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015134"/>
        <c:axId val="15591887"/>
      </c:barChart>
      <c:catAx>
        <c:axId val="39015134"/>
        <c:scaling>
          <c:orientation val="minMax"/>
        </c:scaling>
        <c:axPos val="b"/>
        <c:delete val="1"/>
        <c:majorTickMark val="out"/>
        <c:minorTickMark val="none"/>
        <c:tickLblPos val="none"/>
        <c:crossAx val="15591887"/>
        <c:crosses val="autoZero"/>
        <c:auto val="1"/>
        <c:lblOffset val="100"/>
        <c:noMultiLvlLbl val="0"/>
      </c:catAx>
      <c:valAx>
        <c:axId val="15591887"/>
        <c:scaling>
          <c:orientation val="minMax"/>
        </c:scaling>
        <c:axPos val="l"/>
        <c:delete val="1"/>
        <c:majorTickMark val="out"/>
        <c:minorTickMark val="none"/>
        <c:tickLblPos val="none"/>
        <c:crossAx val="39015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windturbines greenenergy"/>
        <s v="windturbines greenenergy sustainableindustry"/>
        <s v="sustainableindustry io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5-11T00:08:52.000"/>
        <d v="2021-01-22T16:47:48.000"/>
        <d v="2022-05-11T00:41:43.000"/>
        <d v="2022-05-11T16:51: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justblazedro"/>
    <s v="icewind2020"/>
    <m/>
    <m/>
    <m/>
    <m/>
    <m/>
    <m/>
    <m/>
    <m/>
    <s v="No"/>
    <n v="3"/>
    <m/>
    <m/>
    <x v="0"/>
    <d v="2022-05-11T00:08:52.000"/>
    <s v="RT @icewind2020: Compact vertical-axis #windturbines: mount on towers for robust back up and cost-cutting. #greenenergy #sustainableindustr…"/>
    <m/>
    <m/>
    <x v="0"/>
    <m/>
    <s v="http://pbs.twimg.com/profile_images/1449501173145382918/zcOsxEAI_normal.jpg"/>
    <x v="0"/>
    <d v="2022-05-11T00:00:00.000"/>
    <s v="00:08:52"/>
    <s v="https://twitter.com/#!/justblazedro/status/1524179698254811139"/>
    <m/>
    <m/>
    <s v="1524179698254811139"/>
    <m/>
    <b v="0"/>
    <n v="0"/>
    <s v=""/>
    <b v="0"/>
    <s v="en"/>
    <m/>
    <s v=""/>
    <b v="0"/>
    <n v="2"/>
    <s v="1352659238540087308"/>
    <s v="Twitter Web App"/>
    <b v="0"/>
    <s v="1352659238540087308"/>
    <s v="Tweet"/>
    <n v="0"/>
    <n v="0"/>
    <m/>
    <m/>
    <m/>
    <m/>
    <m/>
    <m/>
    <m/>
    <m/>
    <n v="1"/>
    <s v="1"/>
    <s v="1"/>
  </r>
  <r>
    <s v="justblazedro"/>
    <s v="icewind2020"/>
    <m/>
    <m/>
    <m/>
    <m/>
    <m/>
    <m/>
    <m/>
    <m/>
    <s v="No"/>
    <n v="4"/>
    <m/>
    <m/>
    <x v="1"/>
    <d v="2022-05-11T00:08:52.000"/>
    <s v="RT @icewind2020: Compact vertical-axis #windturbines: mount on towers for robust back up and cost-cutting. #greenenergy #sustainableindustr…"/>
    <m/>
    <m/>
    <x v="0"/>
    <m/>
    <s v="http://pbs.twimg.com/profile_images/1449501173145382918/zcOsxEAI_normal.jpg"/>
    <x v="0"/>
    <d v="2022-05-11T00:00:00.000"/>
    <s v="00:08:52"/>
    <s v="https://twitter.com/#!/justblazedro/status/1524179698254811139"/>
    <m/>
    <m/>
    <s v="1524179698254811139"/>
    <m/>
    <b v="0"/>
    <n v="0"/>
    <s v=""/>
    <b v="0"/>
    <s v="en"/>
    <m/>
    <s v=""/>
    <b v="0"/>
    <n v="2"/>
    <s v="1352659238540087308"/>
    <s v="Twitter Web App"/>
    <b v="0"/>
    <s v="1352659238540087308"/>
    <s v="Tweet"/>
    <n v="0"/>
    <n v="0"/>
    <m/>
    <m/>
    <m/>
    <m/>
    <m/>
    <m/>
    <m/>
    <m/>
    <n v="1"/>
    <s v="1"/>
    <s v="1"/>
  </r>
  <r>
    <s v="icewind2020"/>
    <s v="icewind2020"/>
    <m/>
    <m/>
    <m/>
    <m/>
    <m/>
    <m/>
    <m/>
    <m/>
    <s v="No"/>
    <n v="5"/>
    <m/>
    <m/>
    <x v="2"/>
    <d v="2021-01-22T16:47:48.000"/>
    <s v="Compact vertical-axis #windturbines: mount on towers for robust back up and cost-cutting. #greenenergy #sustainableindustry https://t.co/ayLRWefCjP"/>
    <m/>
    <m/>
    <x v="1"/>
    <s v="https://pbs.twimg.com/media/EsWcaDMUYAA5ee1.jpg"/>
    <s v="https://pbs.twimg.com/media/EsWcaDMUYAA5ee1.jpg"/>
    <x v="1"/>
    <d v="2021-01-22T00:00:00.000"/>
    <s v="16:47:48"/>
    <s v="https://twitter.com/#!/icewind2020/status/1352659238540087308"/>
    <m/>
    <m/>
    <s v="1352659238540087308"/>
    <m/>
    <b v="0"/>
    <n v="9"/>
    <s v=""/>
    <b v="0"/>
    <s v="en"/>
    <m/>
    <s v=""/>
    <b v="0"/>
    <n v="2"/>
    <s v=""/>
    <s v="Twitter for iPhone"/>
    <b v="0"/>
    <s v="1352659238540087308"/>
    <s v="Retweet"/>
    <n v="0"/>
    <n v="0"/>
    <m/>
    <m/>
    <m/>
    <m/>
    <m/>
    <m/>
    <m/>
    <m/>
    <n v="1"/>
    <s v="1"/>
    <s v="1"/>
  </r>
  <r>
    <s v="alexis_tth"/>
    <s v="icewind2020"/>
    <m/>
    <m/>
    <m/>
    <m/>
    <m/>
    <m/>
    <m/>
    <m/>
    <s v="No"/>
    <n v="6"/>
    <m/>
    <m/>
    <x v="0"/>
    <d v="2022-05-11T00:41:43.000"/>
    <s v="RT @icewind2020: Compact vertical-axis #windturbines: mount on towers for robust back up and cost-cutting. #greenenergy #sustainableindustr…"/>
    <m/>
    <m/>
    <x v="0"/>
    <m/>
    <s v="http://abs.twimg.com/sticky/default_profile_images/default_profile_normal.png"/>
    <x v="2"/>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r>
  <r>
    <s v="alexis_tth"/>
    <s v="icewind2020"/>
    <m/>
    <m/>
    <m/>
    <m/>
    <m/>
    <m/>
    <m/>
    <m/>
    <s v="No"/>
    <n v="7"/>
    <m/>
    <m/>
    <x v="1"/>
    <d v="2022-05-11T00:41:43.000"/>
    <s v="RT @icewind2020: Compact vertical-axis #windturbines: mount on towers for robust back up and cost-cutting. #greenenergy #sustainableindustr…"/>
    <m/>
    <m/>
    <x v="0"/>
    <m/>
    <s v="http://abs.twimg.com/sticky/default_profile_images/default_profile_normal.png"/>
    <x v="2"/>
    <d v="2022-05-11T00:00:00.000"/>
    <s v="00:41:43"/>
    <s v="https://twitter.com/#!/alexis_tth/status/1524187966284967942"/>
    <m/>
    <m/>
    <s v="1524187966284967942"/>
    <m/>
    <b v="0"/>
    <n v="0"/>
    <s v=""/>
    <b v="0"/>
    <s v="en"/>
    <m/>
    <s v=""/>
    <b v="0"/>
    <n v="2"/>
    <s v="1352659238540087308"/>
    <s v="Hello World 222222"/>
    <b v="0"/>
    <s v="1352659238540087308"/>
    <s v="Tweet"/>
    <n v="0"/>
    <n v="0"/>
    <m/>
    <m/>
    <m/>
    <m/>
    <m/>
    <m/>
    <m/>
    <m/>
    <n v="1"/>
    <s v="1"/>
    <s v="1"/>
  </r>
  <r>
    <s v="wolfganglohmann"/>
    <s v="wolfganglohmann"/>
    <m/>
    <m/>
    <m/>
    <m/>
    <m/>
    <m/>
    <m/>
    <m/>
    <s v="No"/>
    <n v="8"/>
    <m/>
    <m/>
    <x v="2"/>
    <d v="2022-05-11T16:51:56.000"/>
    <s v="#SustainableIndustry 4.0 + #IoT._x000a_3 spannende Redner,_x000a_am 17.5. 18 Uhr. https://t.co/3JweX7qS1F"/>
    <s v="https://www.linkedin.com/feed/update/urn:li:share:6930197751422984192"/>
    <s v="linkedin.com"/>
    <x v="2"/>
    <m/>
    <s v="http://pbs.twimg.com/profile_images/621942417911099393/Dz1ifw3l_normal.jpg"/>
    <x v="3"/>
    <d v="2022-05-11T00:00:00.000"/>
    <s v="16:51:56"/>
    <s v="https://twitter.com/#!/wolfganglohmann/status/1524432125788831747"/>
    <m/>
    <m/>
    <s v="1524432125788831747"/>
    <m/>
    <b v="0"/>
    <n v="0"/>
    <s v=""/>
    <b v="0"/>
    <s v="de"/>
    <m/>
    <s v=""/>
    <b v="0"/>
    <n v="0"/>
    <s v=""/>
    <s v="LinkedIn"/>
    <b v="0"/>
    <s v="1524432125788831747"/>
    <s v="Tweet"/>
    <n v="0"/>
    <n v="0"/>
    <m/>
    <m/>
    <m/>
    <m/>
    <m/>
    <m/>
    <m/>
    <m/>
    <n v="1"/>
    <s v="2"/>
    <s v="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20" dataDxfId="219">
  <autoFilter ref="A2:BE8"/>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row>
    <row r="3" spans="1:57" ht="15" customHeight="1">
      <c r="A3" s="83" t="s">
        <v>214</v>
      </c>
      <c r="B3" s="83" t="s">
        <v>215</v>
      </c>
      <c r="C3" s="54" t="s">
        <v>334</v>
      </c>
      <c r="D3" s="55">
        <v>3</v>
      </c>
      <c r="E3" s="67" t="s">
        <v>132</v>
      </c>
      <c r="F3" s="56">
        <v>35</v>
      </c>
      <c r="G3" s="54"/>
      <c r="H3" s="58"/>
      <c r="I3" s="57"/>
      <c r="J3" s="57"/>
      <c r="K3" s="36" t="s">
        <v>65</v>
      </c>
      <c r="L3" s="63">
        <v>3</v>
      </c>
      <c r="M3" s="63"/>
      <c r="N3" s="64"/>
      <c r="O3" s="84" t="s">
        <v>219</v>
      </c>
      <c r="P3" s="86">
        <v>44692.006157407406</v>
      </c>
      <c r="Q3" s="84" t="s">
        <v>220</v>
      </c>
      <c r="R3" s="84"/>
      <c r="S3" s="84"/>
      <c r="T3" s="89" t="s">
        <v>224</v>
      </c>
      <c r="U3" s="84"/>
      <c r="V3" s="91" t="str">
        <f>HYPERLINK("http://pbs.twimg.com/profile_images/1449501173145382918/zcOsxEAI_normal.jpg")</f>
        <v>http://pbs.twimg.com/profile_images/1449501173145382918/zcOsxEAI_normal.jpg</v>
      </c>
      <c r="W3" s="86">
        <v>44692.006157407406</v>
      </c>
      <c r="X3" s="92">
        <v>44692</v>
      </c>
      <c r="Y3" s="89" t="s">
        <v>227</v>
      </c>
      <c r="Z3" s="91" t="str">
        <f>HYPERLINK("https://twitter.com/#!/justblazedro/status/1524179698254811139")</f>
        <v>https://twitter.com/#!/justblazedro/status/1524179698254811139</v>
      </c>
      <c r="AA3" s="84"/>
      <c r="AB3" s="84"/>
      <c r="AC3" s="89" t="s">
        <v>231</v>
      </c>
      <c r="AD3" s="84"/>
      <c r="AE3" s="84" t="b">
        <v>0</v>
      </c>
      <c r="AF3" s="84">
        <v>0</v>
      </c>
      <c r="AG3" s="89" t="s">
        <v>235</v>
      </c>
      <c r="AH3" s="84" t="b">
        <v>0</v>
      </c>
      <c r="AI3" s="84" t="s">
        <v>236</v>
      </c>
      <c r="AJ3" s="84"/>
      <c r="AK3" s="89" t="s">
        <v>235</v>
      </c>
      <c r="AL3" s="84" t="b">
        <v>0</v>
      </c>
      <c r="AM3" s="84">
        <v>2</v>
      </c>
      <c r="AN3" s="89" t="s">
        <v>232</v>
      </c>
      <c r="AO3" s="89" t="s">
        <v>238</v>
      </c>
      <c r="AP3" s="84" t="b">
        <v>0</v>
      </c>
      <c r="AQ3" s="89" t="s">
        <v>232</v>
      </c>
      <c r="AR3" s="84" t="s">
        <v>176</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row>
    <row r="4" spans="1:57" ht="15" customHeight="1">
      <c r="A4" s="83" t="s">
        <v>214</v>
      </c>
      <c r="B4" s="83" t="s">
        <v>215</v>
      </c>
      <c r="C4" s="54" t="s">
        <v>334</v>
      </c>
      <c r="D4" s="55">
        <v>3</v>
      </c>
      <c r="E4" s="67" t="s">
        <v>132</v>
      </c>
      <c r="F4" s="56">
        <v>35</v>
      </c>
      <c r="G4" s="54"/>
      <c r="H4" s="58"/>
      <c r="I4" s="57"/>
      <c r="J4" s="57"/>
      <c r="K4" s="36" t="s">
        <v>65</v>
      </c>
      <c r="L4" s="82">
        <v>4</v>
      </c>
      <c r="M4" s="82"/>
      <c r="N4" s="64"/>
      <c r="O4" s="85" t="s">
        <v>218</v>
      </c>
      <c r="P4" s="87">
        <v>44692.006157407406</v>
      </c>
      <c r="Q4" s="85" t="s">
        <v>220</v>
      </c>
      <c r="R4" s="85"/>
      <c r="S4" s="85"/>
      <c r="T4" s="90" t="s">
        <v>224</v>
      </c>
      <c r="U4" s="85"/>
      <c r="V4" s="88" t="str">
        <f>HYPERLINK("http://pbs.twimg.com/profile_images/1449501173145382918/zcOsxEAI_normal.jpg")</f>
        <v>http://pbs.twimg.com/profile_images/1449501173145382918/zcOsxEAI_normal.jpg</v>
      </c>
      <c r="W4" s="87">
        <v>44692.006157407406</v>
      </c>
      <c r="X4" s="93">
        <v>44692</v>
      </c>
      <c r="Y4" s="90" t="s">
        <v>227</v>
      </c>
      <c r="Z4" s="88" t="str">
        <f>HYPERLINK("https://twitter.com/#!/justblazedro/status/1524179698254811139")</f>
        <v>https://twitter.com/#!/justblazedro/status/1524179698254811139</v>
      </c>
      <c r="AA4" s="85"/>
      <c r="AB4" s="85"/>
      <c r="AC4" s="90" t="s">
        <v>231</v>
      </c>
      <c r="AD4" s="85"/>
      <c r="AE4" s="85" t="b">
        <v>0</v>
      </c>
      <c r="AF4" s="85">
        <v>0</v>
      </c>
      <c r="AG4" s="90" t="s">
        <v>235</v>
      </c>
      <c r="AH4" s="85" t="b">
        <v>0</v>
      </c>
      <c r="AI4" s="85" t="s">
        <v>236</v>
      </c>
      <c r="AJ4" s="85"/>
      <c r="AK4" s="90" t="s">
        <v>235</v>
      </c>
      <c r="AL4" s="85" t="b">
        <v>0</v>
      </c>
      <c r="AM4" s="85">
        <v>2</v>
      </c>
      <c r="AN4" s="90" t="s">
        <v>232</v>
      </c>
      <c r="AO4" s="90" t="s">
        <v>238</v>
      </c>
      <c r="AP4" s="85" t="b">
        <v>0</v>
      </c>
      <c r="AQ4" s="90" t="s">
        <v>232</v>
      </c>
      <c r="AR4" s="85" t="s">
        <v>176</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row>
    <row r="5" spans="1:57" ht="45">
      <c r="A5" s="83" t="s">
        <v>215</v>
      </c>
      <c r="B5" s="83" t="s">
        <v>215</v>
      </c>
      <c r="C5" s="54" t="s">
        <v>334</v>
      </c>
      <c r="D5" s="55">
        <v>3</v>
      </c>
      <c r="E5" s="67" t="s">
        <v>132</v>
      </c>
      <c r="F5" s="56">
        <v>35</v>
      </c>
      <c r="G5" s="54"/>
      <c r="H5" s="58"/>
      <c r="I5" s="57"/>
      <c r="J5" s="57"/>
      <c r="K5" s="36" t="s">
        <v>65</v>
      </c>
      <c r="L5" s="82">
        <v>5</v>
      </c>
      <c r="M5" s="82"/>
      <c r="N5" s="64"/>
      <c r="O5" s="85" t="s">
        <v>176</v>
      </c>
      <c r="P5" s="87">
        <v>44218.69986111111</v>
      </c>
      <c r="Q5" s="85" t="s">
        <v>221</v>
      </c>
      <c r="R5" s="85"/>
      <c r="S5" s="85"/>
      <c r="T5" s="90" t="s">
        <v>225</v>
      </c>
      <c r="U5" s="88" t="str">
        <f>HYPERLINK("https://pbs.twimg.com/media/EsWcaDMUYAA5ee1.jpg")</f>
        <v>https://pbs.twimg.com/media/EsWcaDMUYAA5ee1.jpg</v>
      </c>
      <c r="V5" s="88" t="str">
        <f>HYPERLINK("https://pbs.twimg.com/media/EsWcaDMUYAA5ee1.jpg")</f>
        <v>https://pbs.twimg.com/media/EsWcaDMUYAA5ee1.jpg</v>
      </c>
      <c r="W5" s="87">
        <v>44218.69986111111</v>
      </c>
      <c r="X5" s="93">
        <v>44218</v>
      </c>
      <c r="Y5" s="90" t="s">
        <v>228</v>
      </c>
      <c r="Z5" s="88" t="str">
        <f>HYPERLINK("https://twitter.com/#!/icewind2020/status/1352659238540087308")</f>
        <v>https://twitter.com/#!/icewind2020/status/1352659238540087308</v>
      </c>
      <c r="AA5" s="85"/>
      <c r="AB5" s="85"/>
      <c r="AC5" s="90" t="s">
        <v>232</v>
      </c>
      <c r="AD5" s="85"/>
      <c r="AE5" s="85" t="b">
        <v>0</v>
      </c>
      <c r="AF5" s="85">
        <v>9</v>
      </c>
      <c r="AG5" s="90" t="s">
        <v>235</v>
      </c>
      <c r="AH5" s="85" t="b">
        <v>0</v>
      </c>
      <c r="AI5" s="85" t="s">
        <v>236</v>
      </c>
      <c r="AJ5" s="85"/>
      <c r="AK5" s="90" t="s">
        <v>235</v>
      </c>
      <c r="AL5" s="85" t="b">
        <v>0</v>
      </c>
      <c r="AM5" s="85">
        <v>2</v>
      </c>
      <c r="AN5" s="90" t="s">
        <v>235</v>
      </c>
      <c r="AO5" s="90" t="s">
        <v>239</v>
      </c>
      <c r="AP5" s="85" t="b">
        <v>0</v>
      </c>
      <c r="AQ5" s="90" t="s">
        <v>232</v>
      </c>
      <c r="AR5" s="85" t="s">
        <v>218</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row>
    <row r="6" spans="1:57" ht="45">
      <c r="A6" s="83" t="s">
        <v>216</v>
      </c>
      <c r="B6" s="83" t="s">
        <v>215</v>
      </c>
      <c r="C6" s="54" t="s">
        <v>334</v>
      </c>
      <c r="D6" s="55">
        <v>3</v>
      </c>
      <c r="E6" s="67" t="s">
        <v>132</v>
      </c>
      <c r="F6" s="56">
        <v>35</v>
      </c>
      <c r="G6" s="54"/>
      <c r="H6" s="58"/>
      <c r="I6" s="57"/>
      <c r="J6" s="57"/>
      <c r="K6" s="36" t="s">
        <v>65</v>
      </c>
      <c r="L6" s="82">
        <v>6</v>
      </c>
      <c r="M6" s="82"/>
      <c r="N6" s="64"/>
      <c r="O6" s="85" t="s">
        <v>219</v>
      </c>
      <c r="P6" s="87">
        <v>44692.028969907406</v>
      </c>
      <c r="Q6" s="85" t="s">
        <v>220</v>
      </c>
      <c r="R6" s="85"/>
      <c r="S6" s="85"/>
      <c r="T6" s="90" t="s">
        <v>224</v>
      </c>
      <c r="U6" s="85"/>
      <c r="V6" s="88" t="str">
        <f>HYPERLINK("http://abs.twimg.com/sticky/default_profile_images/default_profile_normal.png")</f>
        <v>http://abs.twimg.com/sticky/default_profile_images/default_profile_normal.png</v>
      </c>
      <c r="W6" s="87">
        <v>44692.028969907406</v>
      </c>
      <c r="X6" s="93">
        <v>44692</v>
      </c>
      <c r="Y6" s="90" t="s">
        <v>229</v>
      </c>
      <c r="Z6" s="88" t="str">
        <f>HYPERLINK("https://twitter.com/#!/alexis_tth/status/1524187966284967942")</f>
        <v>https://twitter.com/#!/alexis_tth/status/1524187966284967942</v>
      </c>
      <c r="AA6" s="85"/>
      <c r="AB6" s="85"/>
      <c r="AC6" s="90" t="s">
        <v>233</v>
      </c>
      <c r="AD6" s="85"/>
      <c r="AE6" s="85" t="b">
        <v>0</v>
      </c>
      <c r="AF6" s="85">
        <v>0</v>
      </c>
      <c r="AG6" s="90" t="s">
        <v>235</v>
      </c>
      <c r="AH6" s="85" t="b">
        <v>0</v>
      </c>
      <c r="AI6" s="85" t="s">
        <v>236</v>
      </c>
      <c r="AJ6" s="85"/>
      <c r="AK6" s="90" t="s">
        <v>235</v>
      </c>
      <c r="AL6" s="85" t="b">
        <v>0</v>
      </c>
      <c r="AM6" s="85">
        <v>2</v>
      </c>
      <c r="AN6" s="90" t="s">
        <v>232</v>
      </c>
      <c r="AO6" s="90" t="s">
        <v>240</v>
      </c>
      <c r="AP6" s="85" t="b">
        <v>0</v>
      </c>
      <c r="AQ6" s="90" t="s">
        <v>232</v>
      </c>
      <c r="AR6" s="85" t="s">
        <v>176</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row>
    <row r="7" spans="1:57" ht="45">
      <c r="A7" s="83" t="s">
        <v>216</v>
      </c>
      <c r="B7" s="83" t="s">
        <v>215</v>
      </c>
      <c r="C7" s="54" t="s">
        <v>334</v>
      </c>
      <c r="D7" s="55">
        <v>3</v>
      </c>
      <c r="E7" s="67" t="s">
        <v>132</v>
      </c>
      <c r="F7" s="56">
        <v>35</v>
      </c>
      <c r="G7" s="54"/>
      <c r="H7" s="58"/>
      <c r="I7" s="57"/>
      <c r="J7" s="57"/>
      <c r="K7" s="36" t="s">
        <v>65</v>
      </c>
      <c r="L7" s="82">
        <v>7</v>
      </c>
      <c r="M7" s="82"/>
      <c r="N7" s="64"/>
      <c r="O7" s="85" t="s">
        <v>218</v>
      </c>
      <c r="P7" s="87">
        <v>44692.028969907406</v>
      </c>
      <c r="Q7" s="85" t="s">
        <v>220</v>
      </c>
      <c r="R7" s="85"/>
      <c r="S7" s="85"/>
      <c r="T7" s="90" t="s">
        <v>224</v>
      </c>
      <c r="U7" s="85"/>
      <c r="V7" s="88" t="str">
        <f>HYPERLINK("http://abs.twimg.com/sticky/default_profile_images/default_profile_normal.png")</f>
        <v>http://abs.twimg.com/sticky/default_profile_images/default_profile_normal.png</v>
      </c>
      <c r="W7" s="87">
        <v>44692.028969907406</v>
      </c>
      <c r="X7" s="93">
        <v>44692</v>
      </c>
      <c r="Y7" s="90" t="s">
        <v>229</v>
      </c>
      <c r="Z7" s="88" t="str">
        <f>HYPERLINK("https://twitter.com/#!/alexis_tth/status/1524187966284967942")</f>
        <v>https://twitter.com/#!/alexis_tth/status/1524187966284967942</v>
      </c>
      <c r="AA7" s="85"/>
      <c r="AB7" s="85"/>
      <c r="AC7" s="90" t="s">
        <v>233</v>
      </c>
      <c r="AD7" s="85"/>
      <c r="AE7" s="85" t="b">
        <v>0</v>
      </c>
      <c r="AF7" s="85">
        <v>0</v>
      </c>
      <c r="AG7" s="90" t="s">
        <v>235</v>
      </c>
      <c r="AH7" s="85" t="b">
        <v>0</v>
      </c>
      <c r="AI7" s="85" t="s">
        <v>236</v>
      </c>
      <c r="AJ7" s="85"/>
      <c r="AK7" s="90" t="s">
        <v>235</v>
      </c>
      <c r="AL7" s="85" t="b">
        <v>0</v>
      </c>
      <c r="AM7" s="85">
        <v>2</v>
      </c>
      <c r="AN7" s="90" t="s">
        <v>232</v>
      </c>
      <c r="AO7" s="90" t="s">
        <v>240</v>
      </c>
      <c r="AP7" s="85" t="b">
        <v>0</v>
      </c>
      <c r="AQ7" s="90" t="s">
        <v>232</v>
      </c>
      <c r="AR7" s="85" t="s">
        <v>176</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row>
    <row r="8" spans="1:57" ht="45">
      <c r="A8" s="83" t="s">
        <v>217</v>
      </c>
      <c r="B8" s="83" t="s">
        <v>217</v>
      </c>
      <c r="C8" s="54" t="s">
        <v>334</v>
      </c>
      <c r="D8" s="55">
        <v>3</v>
      </c>
      <c r="E8" s="67" t="s">
        <v>132</v>
      </c>
      <c r="F8" s="56">
        <v>35</v>
      </c>
      <c r="G8" s="54"/>
      <c r="H8" s="58"/>
      <c r="I8" s="57"/>
      <c r="J8" s="57"/>
      <c r="K8" s="36" t="s">
        <v>65</v>
      </c>
      <c r="L8" s="82">
        <v>8</v>
      </c>
      <c r="M8" s="82"/>
      <c r="N8" s="64"/>
      <c r="O8" s="85" t="s">
        <v>176</v>
      </c>
      <c r="P8" s="87">
        <v>44692.702731481484</v>
      </c>
      <c r="Q8" s="85" t="s">
        <v>222</v>
      </c>
      <c r="R8" s="88" t="str">
        <f>HYPERLINK("https://www.linkedin.com/feed/update/urn:li:share:6930197751422984192")</f>
        <v>https://www.linkedin.com/feed/update/urn:li:share:6930197751422984192</v>
      </c>
      <c r="S8" s="85" t="s">
        <v>223</v>
      </c>
      <c r="T8" s="90" t="s">
        <v>226</v>
      </c>
      <c r="U8" s="85"/>
      <c r="V8" s="88" t="str">
        <f>HYPERLINK("http://pbs.twimg.com/profile_images/621942417911099393/Dz1ifw3l_normal.jpg")</f>
        <v>http://pbs.twimg.com/profile_images/621942417911099393/Dz1ifw3l_normal.jpg</v>
      </c>
      <c r="W8" s="87">
        <v>44692.702731481484</v>
      </c>
      <c r="X8" s="93">
        <v>44692</v>
      </c>
      <c r="Y8" s="90" t="s">
        <v>230</v>
      </c>
      <c r="Z8" s="88" t="str">
        <f>HYPERLINK("https://twitter.com/#!/wolfganglohmann/status/1524432125788831747")</f>
        <v>https://twitter.com/#!/wolfganglohmann/status/1524432125788831747</v>
      </c>
      <c r="AA8" s="85"/>
      <c r="AB8" s="85"/>
      <c r="AC8" s="90" t="s">
        <v>234</v>
      </c>
      <c r="AD8" s="85"/>
      <c r="AE8" s="85" t="b">
        <v>0</v>
      </c>
      <c r="AF8" s="85">
        <v>0</v>
      </c>
      <c r="AG8" s="90" t="s">
        <v>235</v>
      </c>
      <c r="AH8" s="85" t="b">
        <v>0</v>
      </c>
      <c r="AI8" s="85" t="s">
        <v>237</v>
      </c>
      <c r="AJ8" s="85"/>
      <c r="AK8" s="90" t="s">
        <v>235</v>
      </c>
      <c r="AL8" s="85" t="b">
        <v>0</v>
      </c>
      <c r="AM8" s="85">
        <v>0</v>
      </c>
      <c r="AN8" s="90" t="s">
        <v>235</v>
      </c>
      <c r="AO8" s="90" t="s">
        <v>241</v>
      </c>
      <c r="AP8" s="85" t="b">
        <v>0</v>
      </c>
      <c r="AQ8" s="90" t="s">
        <v>234</v>
      </c>
      <c r="AR8" s="85" t="s">
        <v>176</v>
      </c>
      <c r="AS8" s="85">
        <v>0</v>
      </c>
      <c r="AT8" s="85">
        <v>0</v>
      </c>
      <c r="AU8" s="85"/>
      <c r="AV8" s="85"/>
      <c r="AW8" s="85"/>
      <c r="AX8" s="85"/>
      <c r="AY8" s="85"/>
      <c r="AZ8" s="85"/>
      <c r="BA8" s="85"/>
      <c r="BB8" s="85"/>
      <c r="BC8">
        <v>1</v>
      </c>
      <c r="BD8" s="84" t="str">
        <f>REPLACE(INDEX(GroupVertices[Group],MATCH(Edges[[#This Row],[Vertex 1]],GroupVertices[Vertex],0)),1,1,"")</f>
        <v>2</v>
      </c>
      <c r="BE8" s="84" t="str">
        <f>REPLACE(INDEX(GroupVertices[Group],MATCH(Edges[[#This Row],[Vertex 2]],GroupVertices[Vertex],0)),1,1,"")</f>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325</v>
      </c>
      <c r="BB2" s="3"/>
      <c r="BC2" s="3"/>
    </row>
    <row r="3" spans="1:55" ht="15" customHeight="1">
      <c r="A3" s="50" t="s">
        <v>214</v>
      </c>
      <c r="B3" s="54"/>
      <c r="C3" s="54"/>
      <c r="D3" s="55"/>
      <c r="E3" s="56"/>
      <c r="F3" s="115" t="str">
        <f>HYPERLINK("http://pbs.twimg.com/profile_images/1449501173145382918/zcOsxEAI_normal.jpg")</f>
        <v>http://pbs.twimg.com/profile_images/1449501173145382918/zcOsxEAI_normal.jpg</v>
      </c>
      <c r="G3" s="54"/>
      <c r="H3" s="58" t="s">
        <v>214</v>
      </c>
      <c r="I3" s="57"/>
      <c r="J3" s="57"/>
      <c r="K3" s="117" t="s">
        <v>282</v>
      </c>
      <c r="L3" s="60"/>
      <c r="M3" s="61">
        <v>115.86326599121094</v>
      </c>
      <c r="N3" s="61">
        <v>164.4572296142578</v>
      </c>
      <c r="O3" s="59"/>
      <c r="P3" s="62"/>
      <c r="Q3" s="62"/>
      <c r="R3" s="51"/>
      <c r="S3" s="51"/>
      <c r="T3" s="51"/>
      <c r="U3" s="51"/>
      <c r="V3" s="52"/>
      <c r="W3" s="52"/>
      <c r="X3" s="53"/>
      <c r="Y3" s="52"/>
      <c r="Z3" s="52"/>
      <c r="AA3" s="63">
        <v>3</v>
      </c>
      <c r="AB3" s="63"/>
      <c r="AC3" s="64"/>
      <c r="AD3" s="84" t="s">
        <v>267</v>
      </c>
      <c r="AE3" s="89" t="s">
        <v>271</v>
      </c>
      <c r="AF3" s="84">
        <v>2292</v>
      </c>
      <c r="AG3" s="84">
        <v>10902</v>
      </c>
      <c r="AH3" s="84">
        <v>73689</v>
      </c>
      <c r="AI3" s="84">
        <v>62415</v>
      </c>
      <c r="AJ3" s="84"/>
      <c r="AK3" s="84" t="s">
        <v>274</v>
      </c>
      <c r="AL3" s="84" t="s">
        <v>277</v>
      </c>
      <c r="AM3" s="84"/>
      <c r="AN3" s="84"/>
      <c r="AO3" s="86">
        <v>40833.03467592593</v>
      </c>
      <c r="AP3" s="91" t="str">
        <f>HYPERLINK("https://pbs.twimg.com/profile_banners/392420981/1622323697")</f>
        <v>https://pbs.twimg.com/profile_banners/392420981/1622323697</v>
      </c>
      <c r="AQ3" s="84" t="b">
        <v>0</v>
      </c>
      <c r="AR3" s="84" t="b">
        <v>0</v>
      </c>
      <c r="AS3" s="84" t="b">
        <v>0</v>
      </c>
      <c r="AT3" s="84"/>
      <c r="AU3" s="84">
        <v>27</v>
      </c>
      <c r="AV3" s="91" t="str">
        <f>HYPERLINK("http://abs.twimg.com/images/themes/theme9/bg.gif")</f>
        <v>http://abs.twimg.com/images/themes/theme9/bg.gif</v>
      </c>
      <c r="AW3" s="84" t="b">
        <v>0</v>
      </c>
      <c r="AX3" s="84" t="s">
        <v>278</v>
      </c>
      <c r="AY3" s="91" t="str">
        <f>HYPERLINK("https://twitter.com/justblazedro")</f>
        <v>https://twitter.com/justblazedro</v>
      </c>
      <c r="AZ3" s="84" t="s">
        <v>66</v>
      </c>
      <c r="BA3" s="84" t="str">
        <f>REPLACE(INDEX(GroupVertices[Group],MATCH(Vertices[[#This Row],[Vertex]],GroupVertices[Vertex],0)),1,1,"")</f>
        <v>1</v>
      </c>
      <c r="BB3" s="3"/>
      <c r="BC3" s="3"/>
    </row>
    <row r="4" spans="1:58" ht="15">
      <c r="A4" s="14" t="s">
        <v>215</v>
      </c>
      <c r="B4" s="15"/>
      <c r="C4" s="15"/>
      <c r="D4" s="94"/>
      <c r="E4" s="80"/>
      <c r="F4" s="115" t="str">
        <f>HYPERLINK("http://pbs.twimg.com/profile_images/1283283353827864576/2TsIiDaC_normal.jpg")</f>
        <v>http://pbs.twimg.com/profile_images/1283283353827864576/2TsIiDaC_normal.jpg</v>
      </c>
      <c r="G4" s="15"/>
      <c r="H4" s="16" t="s">
        <v>215</v>
      </c>
      <c r="I4" s="68"/>
      <c r="J4" s="68"/>
      <c r="K4" s="117" t="s">
        <v>279</v>
      </c>
      <c r="L4" s="95"/>
      <c r="M4" s="96">
        <v>3765.55615234375</v>
      </c>
      <c r="N4" s="96">
        <v>4999.4990234375</v>
      </c>
      <c r="O4" s="78"/>
      <c r="P4" s="97"/>
      <c r="Q4" s="97"/>
      <c r="R4" s="98"/>
      <c r="S4" s="98"/>
      <c r="T4" s="98"/>
      <c r="U4" s="98"/>
      <c r="V4" s="53"/>
      <c r="W4" s="53"/>
      <c r="X4" s="53"/>
      <c r="Y4" s="53"/>
      <c r="Z4" s="52"/>
      <c r="AA4" s="81">
        <v>4</v>
      </c>
      <c r="AB4" s="81"/>
      <c r="AC4" s="99"/>
      <c r="AD4" s="84" t="s">
        <v>264</v>
      </c>
      <c r="AE4" s="89" t="s">
        <v>268</v>
      </c>
      <c r="AF4" s="84">
        <v>1029</v>
      </c>
      <c r="AG4" s="84">
        <v>481</v>
      </c>
      <c r="AH4" s="84">
        <v>358</v>
      </c>
      <c r="AI4" s="84">
        <v>562</v>
      </c>
      <c r="AJ4" s="84"/>
      <c r="AK4" s="84" t="s">
        <v>272</v>
      </c>
      <c r="AL4" s="84" t="s">
        <v>275</v>
      </c>
      <c r="AM4" s="91" t="str">
        <f>HYPERLINK("https://t.co/yANw7ZV1Dk")</f>
        <v>https://t.co/yANw7ZV1Dk</v>
      </c>
      <c r="AN4" s="84"/>
      <c r="AO4" s="86">
        <v>44010.747152777774</v>
      </c>
      <c r="AP4" s="91" t="str">
        <f>HYPERLINK("https://pbs.twimg.com/profile_banners/1277299635225313285/1605324509")</f>
        <v>https://pbs.twimg.com/profile_banners/1277299635225313285/1605324509</v>
      </c>
      <c r="AQ4" s="84" t="b">
        <v>1</v>
      </c>
      <c r="AR4" s="84" t="b">
        <v>0</v>
      </c>
      <c r="AS4" s="84" t="b">
        <v>0</v>
      </c>
      <c r="AT4" s="84"/>
      <c r="AU4" s="84">
        <v>7</v>
      </c>
      <c r="AV4" s="84"/>
      <c r="AW4" s="84" t="b">
        <v>0</v>
      </c>
      <c r="AX4" s="84" t="s">
        <v>278</v>
      </c>
      <c r="AY4" s="91" t="str">
        <f>HYPERLINK("https://twitter.com/icewind2020")</f>
        <v>https://twitter.com/icewind2020</v>
      </c>
      <c r="AZ4" s="84" t="s">
        <v>66</v>
      </c>
      <c r="BA4" s="84" t="str">
        <f>REPLACE(INDEX(GroupVertices[Group],MATCH(Vertices[[#This Row],[Vertex]],GroupVertices[Vertex],0)),1,1,"")</f>
        <v>1</v>
      </c>
      <c r="BB4" s="2"/>
      <c r="BC4" s="3"/>
      <c r="BD4" s="3"/>
      <c r="BE4" s="3"/>
      <c r="BF4" s="3"/>
    </row>
    <row r="5" spans="1:58" ht="15">
      <c r="A5" s="14" t="s">
        <v>216</v>
      </c>
      <c r="B5" s="15"/>
      <c r="C5" s="15"/>
      <c r="D5" s="94"/>
      <c r="E5" s="80"/>
      <c r="F5" s="115" t="str">
        <f>HYPERLINK("http://abs.twimg.com/sticky/default_profile_images/default_profile_normal.png")</f>
        <v>http://abs.twimg.com/sticky/default_profile_images/default_profile_normal.png</v>
      </c>
      <c r="G5" s="15"/>
      <c r="H5" s="16" t="s">
        <v>216</v>
      </c>
      <c r="I5" s="68"/>
      <c r="J5" s="68"/>
      <c r="K5" s="117" t="s">
        <v>280</v>
      </c>
      <c r="L5" s="95"/>
      <c r="M5" s="96">
        <v>7415.2490234375</v>
      </c>
      <c r="N5" s="96">
        <v>9834.54296875</v>
      </c>
      <c r="O5" s="78"/>
      <c r="P5" s="97"/>
      <c r="Q5" s="97"/>
      <c r="R5" s="98"/>
      <c r="S5" s="98"/>
      <c r="T5" s="98"/>
      <c r="U5" s="98"/>
      <c r="V5" s="53"/>
      <c r="W5" s="53"/>
      <c r="X5" s="53"/>
      <c r="Y5" s="53"/>
      <c r="Z5" s="52"/>
      <c r="AA5" s="81">
        <v>5</v>
      </c>
      <c r="AB5" s="81"/>
      <c r="AC5" s="99"/>
      <c r="AD5" s="84" t="s">
        <v>265</v>
      </c>
      <c r="AE5" s="89" t="s">
        <v>269</v>
      </c>
      <c r="AF5" s="84">
        <v>24</v>
      </c>
      <c r="AG5" s="84">
        <v>672</v>
      </c>
      <c r="AH5" s="84">
        <v>58704</v>
      </c>
      <c r="AI5" s="84">
        <v>0</v>
      </c>
      <c r="AJ5" s="84"/>
      <c r="AK5" s="84"/>
      <c r="AL5" s="84"/>
      <c r="AM5" s="84"/>
      <c r="AN5" s="84"/>
      <c r="AO5" s="86">
        <v>42761.39119212963</v>
      </c>
      <c r="AP5" s="84"/>
      <c r="AQ5" s="84" t="b">
        <v>1</v>
      </c>
      <c r="AR5" s="84" t="b">
        <v>1</v>
      </c>
      <c r="AS5" s="84" t="b">
        <v>0</v>
      </c>
      <c r="AT5" s="84"/>
      <c r="AU5" s="84">
        <v>41</v>
      </c>
      <c r="AV5" s="84"/>
      <c r="AW5" s="84" t="b">
        <v>0</v>
      </c>
      <c r="AX5" s="84" t="s">
        <v>278</v>
      </c>
      <c r="AY5" s="91" t="str">
        <f>HYPERLINK("https://twitter.com/alexis_tth")</f>
        <v>https://twitter.com/alexis_tth</v>
      </c>
      <c r="AZ5" s="84" t="s">
        <v>66</v>
      </c>
      <c r="BA5" s="84" t="str">
        <f>REPLACE(INDEX(GroupVertices[Group],MATCH(Vertices[[#This Row],[Vertex]],GroupVertices[Vertex],0)),1,1,"")</f>
        <v>1</v>
      </c>
      <c r="BB5" s="2"/>
      <c r="BC5" s="3"/>
      <c r="BD5" s="3"/>
      <c r="BE5" s="3"/>
      <c r="BF5" s="3"/>
    </row>
    <row r="6" spans="1:58" ht="15">
      <c r="A6" s="100" t="s">
        <v>217</v>
      </c>
      <c r="B6" s="101"/>
      <c r="C6" s="101"/>
      <c r="D6" s="102"/>
      <c r="E6" s="103"/>
      <c r="F6" s="116" t="str">
        <f>HYPERLINK("http://pbs.twimg.com/profile_images/621942417911099393/Dz1ifw3l_normal.jpg")</f>
        <v>http://pbs.twimg.com/profile_images/621942417911099393/Dz1ifw3l_normal.jpg</v>
      </c>
      <c r="G6" s="101"/>
      <c r="H6" s="104" t="s">
        <v>217</v>
      </c>
      <c r="I6" s="105"/>
      <c r="J6" s="105"/>
      <c r="K6" s="118" t="s">
        <v>281</v>
      </c>
      <c r="L6" s="106"/>
      <c r="M6" s="107">
        <v>8707.125</v>
      </c>
      <c r="N6" s="107">
        <v>4999.5</v>
      </c>
      <c r="O6" s="108"/>
      <c r="P6" s="109"/>
      <c r="Q6" s="109"/>
      <c r="R6" s="110"/>
      <c r="S6" s="110"/>
      <c r="T6" s="110"/>
      <c r="U6" s="110"/>
      <c r="V6" s="111"/>
      <c r="W6" s="111"/>
      <c r="X6" s="111"/>
      <c r="Y6" s="111"/>
      <c r="Z6" s="112"/>
      <c r="AA6" s="113">
        <v>6</v>
      </c>
      <c r="AB6" s="113"/>
      <c r="AC6" s="114"/>
      <c r="AD6" s="84" t="s">
        <v>266</v>
      </c>
      <c r="AE6" s="89" t="s">
        <v>270</v>
      </c>
      <c r="AF6" s="84">
        <v>533</v>
      </c>
      <c r="AG6" s="84">
        <v>283</v>
      </c>
      <c r="AH6" s="84">
        <v>1631</v>
      </c>
      <c r="AI6" s="84">
        <v>592</v>
      </c>
      <c r="AJ6" s="84"/>
      <c r="AK6" s="84" t="s">
        <v>273</v>
      </c>
      <c r="AL6" s="84" t="s">
        <v>276</v>
      </c>
      <c r="AM6" s="91" t="str">
        <f>HYPERLINK("https://t.co/RBjCDbZZ3r")</f>
        <v>https://t.co/RBjCDbZZ3r</v>
      </c>
      <c r="AN6" s="84"/>
      <c r="AO6" s="86">
        <v>40454.33315972222</v>
      </c>
      <c r="AP6" s="91" t="str">
        <f>HYPERLINK("https://pbs.twimg.com/profile_banners/198070695/1515580907")</f>
        <v>https://pbs.twimg.com/profile_banners/198070695/1515580907</v>
      </c>
      <c r="AQ6" s="84" t="b">
        <v>0</v>
      </c>
      <c r="AR6" s="84" t="b">
        <v>0</v>
      </c>
      <c r="AS6" s="84" t="b">
        <v>0</v>
      </c>
      <c r="AT6" s="84"/>
      <c r="AU6" s="84">
        <v>13</v>
      </c>
      <c r="AV6" s="91" t="str">
        <f>HYPERLINK("http://abs.twimg.com/images/themes/theme1/bg.png")</f>
        <v>http://abs.twimg.com/images/themes/theme1/bg.png</v>
      </c>
      <c r="AW6" s="84" t="b">
        <v>0</v>
      </c>
      <c r="AX6" s="84" t="s">
        <v>278</v>
      </c>
      <c r="AY6" s="91" t="str">
        <f>HYPERLINK("https://twitter.com/wolfganglohmann")</f>
        <v>https://twitter.com/wolfganglohmann</v>
      </c>
      <c r="AZ6" s="84" t="s">
        <v>66</v>
      </c>
      <c r="BA6" s="84" t="str">
        <f>REPLACE(INDEX(GroupVertices[Group],MATCH(Vertices[[#This Row],[Vertex]],GroupVertices[Vertex],0)),1,1,"")</f>
        <v>2</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329</v>
      </c>
    </row>
    <row r="3" spans="1:25" ht="15">
      <c r="A3" s="83" t="s">
        <v>321</v>
      </c>
      <c r="B3" s="121" t="s">
        <v>323</v>
      </c>
      <c r="C3" s="121" t="s">
        <v>56</v>
      </c>
      <c r="D3" s="119"/>
      <c r="E3" s="15"/>
      <c r="F3" s="16" t="s">
        <v>321</v>
      </c>
      <c r="G3" s="78"/>
      <c r="H3" s="78"/>
      <c r="I3" s="120">
        <v>3</v>
      </c>
      <c r="J3" s="65"/>
      <c r="K3" s="51">
        <v>3</v>
      </c>
      <c r="L3" s="51">
        <v>1</v>
      </c>
      <c r="M3" s="51">
        <v>4</v>
      </c>
      <c r="N3" s="51">
        <v>5</v>
      </c>
      <c r="O3" s="51">
        <v>1</v>
      </c>
      <c r="P3" s="52">
        <v>0</v>
      </c>
      <c r="Q3" s="52">
        <v>0</v>
      </c>
      <c r="R3" s="51">
        <v>1</v>
      </c>
      <c r="S3" s="51">
        <v>0</v>
      </c>
      <c r="T3" s="51">
        <v>3</v>
      </c>
      <c r="U3" s="51">
        <v>5</v>
      </c>
      <c r="V3" s="51">
        <v>2</v>
      </c>
      <c r="W3" s="52">
        <v>0.888889</v>
      </c>
      <c r="X3" s="52">
        <v>0.3333333333333333</v>
      </c>
      <c r="Y3" s="84"/>
    </row>
    <row r="4" spans="1:25" ht="15">
      <c r="A4" s="83" t="s">
        <v>322</v>
      </c>
      <c r="B4" s="121" t="s">
        <v>324</v>
      </c>
      <c r="C4" s="121" t="s">
        <v>56</v>
      </c>
      <c r="D4" s="119"/>
      <c r="E4" s="15"/>
      <c r="F4" s="16" t="s">
        <v>322</v>
      </c>
      <c r="G4" s="78"/>
      <c r="H4" s="78"/>
      <c r="I4" s="120">
        <v>4</v>
      </c>
      <c r="J4" s="81"/>
      <c r="K4" s="51">
        <v>1</v>
      </c>
      <c r="L4" s="51">
        <v>1</v>
      </c>
      <c r="M4" s="51">
        <v>0</v>
      </c>
      <c r="N4" s="51">
        <v>1</v>
      </c>
      <c r="O4" s="51">
        <v>1</v>
      </c>
      <c r="P4" s="52" t="s">
        <v>328</v>
      </c>
      <c r="Q4" s="52" t="s">
        <v>328</v>
      </c>
      <c r="R4" s="51">
        <v>1</v>
      </c>
      <c r="S4" s="51">
        <v>1</v>
      </c>
      <c r="T4" s="51">
        <v>1</v>
      </c>
      <c r="U4" s="51">
        <v>1</v>
      </c>
      <c r="V4" s="51">
        <v>0</v>
      </c>
      <c r="W4" s="52">
        <v>0</v>
      </c>
      <c r="X4" s="52" t="s">
        <v>328</v>
      </c>
      <c r="Y4" s="84" t="s">
        <v>330</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321</v>
      </c>
      <c r="B2" s="89" t="s">
        <v>216</v>
      </c>
      <c r="C2" s="84">
        <f>VLOOKUP(GroupVertices[[#This Row],[Vertex]],Vertices[],MATCH("ID",Vertices[[#Headers],[Vertex]:[Vertex Group]],0),FALSE)</f>
        <v>5</v>
      </c>
    </row>
    <row r="3" spans="1:3" ht="15">
      <c r="A3" s="85" t="s">
        <v>321</v>
      </c>
      <c r="B3" s="89" t="s">
        <v>215</v>
      </c>
      <c r="C3" s="84">
        <f>VLOOKUP(GroupVertices[[#This Row],[Vertex]],Vertices[],MATCH("ID",Vertices[[#Headers],[Vertex]:[Vertex Group]],0),FALSE)</f>
        <v>4</v>
      </c>
    </row>
    <row r="4" spans="1:3" ht="15">
      <c r="A4" s="85" t="s">
        <v>321</v>
      </c>
      <c r="B4" s="89" t="s">
        <v>214</v>
      </c>
      <c r="C4" s="84">
        <f>VLOOKUP(GroupVertices[[#This Row],[Vertex]],Vertices[],MATCH("ID",Vertices[[#Headers],[Vertex]:[Vertex Group]],0),FALSE)</f>
        <v>3</v>
      </c>
    </row>
    <row r="5" spans="1:3" ht="15">
      <c r="A5" s="85" t="s">
        <v>322</v>
      </c>
      <c r="B5" s="89" t="s">
        <v>217</v>
      </c>
      <c r="C5" s="84">
        <f>VLOOKUP(GroupVertices[[#This Row],[Vertex]],Vertices[],MATCH("ID",Vertices[[#Headers],[Vertex]:[Vertex Group]],0),FALSE)</f>
        <v>6</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36"/>
      <c r="B3" s="36"/>
      <c r="D3" s="34">
        <f aca="true" t="shared" si="1" ref="D3:D35">D2+($D$36-$D$2)/BinDivisor</f>
        <v>0</v>
      </c>
      <c r="E3" s="3">
        <f>COUNTIF(Vertices[Degree],"&gt;= "&amp;D3)-COUNTIF(Vertices[Degree],"&gt;="&amp;D4)</f>
        <v>0</v>
      </c>
      <c r="F3" s="41">
        <f aca="true" t="shared" si="2" ref="F3:F35">F2+($F$36-$F$2)/BinDivisor</f>
        <v>0</v>
      </c>
      <c r="G3" s="42">
        <f>COUNTIF(Vertices[In-Degree],"&gt;= "&amp;F3)-COUNTIF(Vertices[In-Degree],"&gt;="&amp;F4)</f>
        <v>0</v>
      </c>
      <c r="H3" s="41">
        <f aca="true" t="shared" si="3" ref="H3:H35">H2+($H$36-$H$2)/BinDivisor</f>
        <v>0</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v>
      </c>
      <c r="M3" s="42">
        <f>COUNTIF(Vertices[Closeness Centrality],"&gt;= "&amp;L3)-COUNTIF(Vertices[Closeness Centrality],"&gt;="&amp;L4)</f>
        <v>0</v>
      </c>
      <c r="N3" s="41">
        <f aca="true" t="shared" si="6" ref="N3:N35">N2+($N$36-$N$2)/BinDivisor</f>
        <v>0</v>
      </c>
      <c r="O3" s="42">
        <f>COUNTIF(Vertices[Eigenvector Centrality],"&gt;= "&amp;N3)-COUNTIF(Vertices[Eigenvector Centrality],"&gt;="&amp;N4)</f>
        <v>0</v>
      </c>
      <c r="P3" s="41">
        <f aca="true" t="shared" si="7" ref="P3:P35">P2+($P$36-$P$2)/BinDivisor</f>
        <v>0</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"&amp;D26)-COUNTIF(Vertices[Degree],"&gt;="&amp;D27)</f>
        <v>0</v>
      </c>
      <c r="F26" s="39">
        <f t="shared" si="2"/>
        <v>0</v>
      </c>
      <c r="G26" s="40">
        <f>COUNTIF(Vertices[In-Degree],"&gt;= "&amp;F26)-COUNTIF(Vertices[In-Degree],"&gt;="&amp;F27)</f>
        <v>0</v>
      </c>
      <c r="H26" s="39">
        <f t="shared" si="3"/>
        <v>0</v>
      </c>
      <c r="I26" s="40">
        <f>COUNTIF(Vertices[Out-Degree],"&gt;= "&amp;H26)-COUNTIF(Vertices[Out-Degree],"&gt;="&amp;H27)</f>
        <v>0</v>
      </c>
      <c r="J26" s="39">
        <f t="shared" si="4"/>
        <v>0</v>
      </c>
      <c r="K26" s="40">
        <f>COUNTIF(Vertices[Betweenness Centrality],"&gt;= "&amp;J26)-COUNTIF(Vertices[Betweenness Centrality],"&gt;="&amp;J27)</f>
        <v>0</v>
      </c>
      <c r="L26" s="39">
        <f t="shared" si="5"/>
        <v>0</v>
      </c>
      <c r="M26" s="40">
        <f>COUNTIF(Vertices[Closeness Centrality],"&gt;= "&amp;L26)-COUNTIF(Vertices[Closeness Centrality],"&gt;="&amp;L27)</f>
        <v>0</v>
      </c>
      <c r="N26" s="39">
        <f t="shared" si="6"/>
        <v>0</v>
      </c>
      <c r="O26" s="40">
        <f>COUNTIF(Vertices[Eigenvector Centrality],"&gt;= "&amp;N26)-COUNTIF(Vertices[Eigenvector Centrality],"&gt;="&amp;N27)</f>
        <v>0</v>
      </c>
      <c r="P26" s="39">
        <f t="shared" si="7"/>
        <v>0</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79"/>
      <c r="B27" s="79"/>
      <c r="D27" s="34">
        <f t="shared" si="1"/>
        <v>0</v>
      </c>
      <c r="E27" s="3">
        <f>COUNTIF(Vertices[Degree],"&gt;= "&amp;D27)-COUNTIF(Vertices[Degree],"&gt;="&amp;D28)</f>
        <v>0</v>
      </c>
      <c r="F27" s="41">
        <f t="shared" si="2"/>
        <v>0</v>
      </c>
      <c r="G27" s="42">
        <f>COUNTIF(Vertices[In-Degree],"&gt;= "&amp;F27)-COUNTIF(Vertices[In-Degree],"&gt;="&amp;F28)</f>
        <v>0</v>
      </c>
      <c r="H27" s="41">
        <f t="shared" si="3"/>
        <v>0</v>
      </c>
      <c r="I27" s="42">
        <f>COUNTIF(Vertices[Out-Degree],"&gt;= "&amp;H27)-COUNTIF(Vertices[Out-Degree],"&gt;="&amp;H28)</f>
        <v>0</v>
      </c>
      <c r="J27" s="41">
        <f t="shared" si="4"/>
        <v>0</v>
      </c>
      <c r="K27" s="42">
        <f>COUNTIF(Vertices[Betweenness Centrality],"&gt;= "&amp;J27)-COUNTIF(Vertices[Betweenness Centrality],"&gt;="&amp;J28)</f>
        <v>0</v>
      </c>
      <c r="L27" s="41">
        <f t="shared" si="5"/>
        <v>0</v>
      </c>
      <c r="M27" s="42">
        <f>COUNTIF(Vertices[Closeness Centrality],"&gt;= "&amp;L27)-COUNTIF(Vertices[Closeness Centrality],"&gt;="&amp;L28)</f>
        <v>0</v>
      </c>
      <c r="N27" s="41">
        <f t="shared" si="6"/>
        <v>0</v>
      </c>
      <c r="O27" s="42">
        <f>COUNTIF(Vertices[Eigenvector Centrality],"&gt;= "&amp;N27)-COUNTIF(Vertices[Eigenvector Centrality],"&gt;="&amp;N28)</f>
        <v>0</v>
      </c>
      <c r="P27" s="41">
        <f t="shared" si="7"/>
        <v>0</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c r="B28" s="36"/>
      <c r="D28" s="34">
        <f t="shared" si="1"/>
        <v>0</v>
      </c>
      <c r="E28" s="3">
        <f>COUNTIF(Vertices[Degree],"&gt;= "&amp;D28)-COUNTIF(Vertices[Degree],"&gt;="&amp;D29)</f>
        <v>0</v>
      </c>
      <c r="F28" s="39">
        <f t="shared" si="2"/>
        <v>0</v>
      </c>
      <c r="G28" s="40">
        <f>COUNTIF(Vertices[In-Degree],"&gt;= "&amp;F28)-COUNTIF(Vertices[In-Degree],"&gt;="&amp;F29)</f>
        <v>0</v>
      </c>
      <c r="H28" s="39">
        <f t="shared" si="3"/>
        <v>0</v>
      </c>
      <c r="I28" s="40">
        <f>COUNTIF(Vertices[Out-Degree],"&gt;= "&amp;H28)-COUNTIF(Vertices[Out-Degree],"&gt;="&amp;H29)</f>
        <v>0</v>
      </c>
      <c r="J28" s="39">
        <f t="shared" si="4"/>
        <v>0</v>
      </c>
      <c r="K28" s="40">
        <f>COUNTIF(Vertices[Betweenness Centrality],"&gt;= "&amp;J28)-COUNTIF(Vertices[Betweenness Centrality],"&gt;="&amp;J29)</f>
        <v>0</v>
      </c>
      <c r="L28" s="39">
        <f t="shared" si="5"/>
        <v>0</v>
      </c>
      <c r="M28" s="40">
        <f>COUNTIF(Vertices[Closeness Centrality],"&gt;= "&amp;L28)-COUNTIF(Vertices[Closeness Centrality],"&gt;="&amp;L29)</f>
        <v>0</v>
      </c>
      <c r="N28" s="39">
        <f t="shared" si="6"/>
        <v>0</v>
      </c>
      <c r="O28" s="40">
        <f>COUNTIF(Vertices[Eigenvector Centrality],"&gt;= "&amp;N28)-COUNTIF(Vertices[Eigenvector Centrality],"&gt;="&amp;N29)</f>
        <v>0</v>
      </c>
      <c r="P28" s="39">
        <f t="shared" si="7"/>
        <v>0</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c r="B29" s="36"/>
      <c r="D29" s="34">
        <f t="shared" si="1"/>
        <v>0</v>
      </c>
      <c r="E29" s="3">
        <f>COUNTIF(Vertices[Degree],"&gt;= "&amp;D29)-COUNTIF(Vertices[Degree],"&gt;="&amp;D30)</f>
        <v>0</v>
      </c>
      <c r="F29" s="41">
        <f t="shared" si="2"/>
        <v>0</v>
      </c>
      <c r="G29" s="42">
        <f>COUNTIF(Vertices[In-Degree],"&gt;= "&amp;F29)-COUNTIF(Vertices[In-Degree],"&gt;="&amp;F30)</f>
        <v>0</v>
      </c>
      <c r="H29" s="41">
        <f t="shared" si="3"/>
        <v>0</v>
      </c>
      <c r="I29" s="42">
        <f>COUNTIF(Vertices[Out-Degree],"&gt;= "&amp;H29)-COUNTIF(Vertices[Out-Degree],"&gt;="&amp;H30)</f>
        <v>0</v>
      </c>
      <c r="J29" s="41">
        <f t="shared" si="4"/>
        <v>0</v>
      </c>
      <c r="K29" s="42">
        <f>COUNTIF(Vertices[Betweenness Centrality],"&gt;= "&amp;J29)-COUNTIF(Vertices[Betweenness Centrality],"&gt;="&amp;J30)</f>
        <v>0</v>
      </c>
      <c r="L29" s="41">
        <f t="shared" si="5"/>
        <v>0</v>
      </c>
      <c r="M29" s="42">
        <f>COUNTIF(Vertices[Closeness Centrality],"&gt;= "&amp;L29)-COUNTIF(Vertices[Closeness Centrality],"&gt;="&amp;L30)</f>
        <v>0</v>
      </c>
      <c r="N29" s="41">
        <f t="shared" si="6"/>
        <v>0</v>
      </c>
      <c r="O29" s="42">
        <f>COUNTIF(Vertices[Eigenvector Centrality],"&gt;= "&amp;N29)-COUNTIF(Vertices[Eigenvector Centrality],"&gt;="&amp;N30)</f>
        <v>0</v>
      </c>
      <c r="P29" s="41">
        <f t="shared" si="7"/>
        <v>0</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c r="B30" s="36"/>
      <c r="D30" s="34">
        <f t="shared" si="1"/>
        <v>0</v>
      </c>
      <c r="E30" s="3">
        <f>COUNTIF(Vertices[Degree],"&gt;= "&amp;D30)-COUNTIF(Vertices[Degree],"&gt;="&amp;D31)</f>
        <v>0</v>
      </c>
      <c r="F30" s="39">
        <f t="shared" si="2"/>
        <v>0</v>
      </c>
      <c r="G30" s="40">
        <f>COUNTIF(Vertices[In-Degree],"&gt;= "&amp;F30)-COUNTIF(Vertices[In-Degree],"&gt;="&amp;F31)</f>
        <v>0</v>
      </c>
      <c r="H30" s="39">
        <f t="shared" si="3"/>
        <v>0</v>
      </c>
      <c r="I30" s="40">
        <f>COUNTIF(Vertices[Out-Degree],"&gt;= "&amp;H30)-COUNTIF(Vertices[Out-Degree],"&gt;="&amp;H31)</f>
        <v>0</v>
      </c>
      <c r="J30" s="39">
        <f t="shared" si="4"/>
        <v>0</v>
      </c>
      <c r="K30" s="40">
        <f>COUNTIF(Vertices[Betweenness Centrality],"&gt;= "&amp;J30)-COUNTIF(Vertices[Betweenness Centrality],"&gt;="&amp;J31)</f>
        <v>0</v>
      </c>
      <c r="L30" s="39">
        <f t="shared" si="5"/>
        <v>0</v>
      </c>
      <c r="M30" s="40">
        <f>COUNTIF(Vertices[Closeness Centrality],"&gt;= "&amp;L30)-COUNTIF(Vertices[Closeness Centrality],"&gt;="&amp;L31)</f>
        <v>0</v>
      </c>
      <c r="N30" s="39">
        <f t="shared" si="6"/>
        <v>0</v>
      </c>
      <c r="O30" s="40">
        <f>COUNTIF(Vertices[Eigenvector Centrality],"&gt;= "&amp;N30)-COUNTIF(Vertices[Eigenvector Centrality],"&gt;="&amp;N31)</f>
        <v>0</v>
      </c>
      <c r="P30" s="39">
        <f t="shared" si="7"/>
        <v>0</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c r="B31" s="36"/>
      <c r="D31" s="34">
        <f t="shared" si="1"/>
        <v>0</v>
      </c>
      <c r="E31" s="3">
        <f>COUNTIF(Vertices[Degree],"&gt;= "&amp;D31)-COUNTIF(Vertices[Degree],"&gt;="&amp;D32)</f>
        <v>0</v>
      </c>
      <c r="F31" s="41">
        <f t="shared" si="2"/>
        <v>0</v>
      </c>
      <c r="G31" s="42">
        <f>COUNTIF(Vertices[In-Degree],"&gt;= "&amp;F31)-COUNTIF(Vertices[In-Degree],"&gt;="&amp;F32)</f>
        <v>0</v>
      </c>
      <c r="H31" s="41">
        <f t="shared" si="3"/>
        <v>0</v>
      </c>
      <c r="I31" s="42">
        <f>COUNTIF(Vertices[Out-Degree],"&gt;= "&amp;H31)-COUNTIF(Vertices[Out-Degree],"&gt;="&amp;H32)</f>
        <v>0</v>
      </c>
      <c r="J31" s="41">
        <f t="shared" si="4"/>
        <v>0</v>
      </c>
      <c r="K31" s="42">
        <f>COUNTIF(Vertices[Betweenness Centrality],"&gt;= "&amp;J31)-COUNTIF(Vertices[Betweenness Centrality],"&gt;="&amp;J32)</f>
        <v>0</v>
      </c>
      <c r="L31" s="41">
        <f t="shared" si="5"/>
        <v>0</v>
      </c>
      <c r="M31" s="42">
        <f>COUNTIF(Vertices[Closeness Centrality],"&gt;= "&amp;L31)-COUNTIF(Vertices[Closeness Centrality],"&gt;="&amp;L32)</f>
        <v>0</v>
      </c>
      <c r="N31" s="41">
        <f t="shared" si="6"/>
        <v>0</v>
      </c>
      <c r="O31" s="42">
        <f>COUNTIF(Vertices[Eigenvector Centrality],"&gt;= "&amp;N31)-COUNTIF(Vertices[Eigenvector Centrality],"&gt;="&amp;N32)</f>
        <v>0</v>
      </c>
      <c r="P31" s="41">
        <f t="shared" si="7"/>
        <v>0</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c r="B32" s="36"/>
      <c r="D32" s="34">
        <f t="shared" si="1"/>
        <v>0</v>
      </c>
      <c r="E32" s="3">
        <f>COUNTIF(Vertices[Degree],"&gt;= "&amp;D32)-COUNTIF(Vertices[Degree],"&gt;="&amp;D33)</f>
        <v>0</v>
      </c>
      <c r="F32" s="39">
        <f t="shared" si="2"/>
        <v>0</v>
      </c>
      <c r="G32" s="40">
        <f>COUNTIF(Vertices[In-Degree],"&gt;= "&amp;F32)-COUNTIF(Vertices[In-Degree],"&gt;="&amp;F33)</f>
        <v>0</v>
      </c>
      <c r="H32" s="39">
        <f t="shared" si="3"/>
        <v>0</v>
      </c>
      <c r="I32" s="40">
        <f>COUNTIF(Vertices[Out-Degree],"&gt;= "&amp;H32)-COUNTIF(Vertices[Out-Degree],"&gt;="&amp;H33)</f>
        <v>0</v>
      </c>
      <c r="J32" s="39">
        <f t="shared" si="4"/>
        <v>0</v>
      </c>
      <c r="K32" s="40">
        <f>COUNTIF(Vertices[Betweenness Centrality],"&gt;= "&amp;J32)-COUNTIF(Vertices[Betweenness Centrality],"&gt;="&amp;J33)</f>
        <v>0</v>
      </c>
      <c r="L32" s="39">
        <f t="shared" si="5"/>
        <v>0</v>
      </c>
      <c r="M32" s="40">
        <f>COUNTIF(Vertices[Closeness Centrality],"&gt;= "&amp;L32)-COUNTIF(Vertices[Closeness Centrality],"&gt;="&amp;L33)</f>
        <v>0</v>
      </c>
      <c r="N32" s="39">
        <f t="shared" si="6"/>
        <v>0</v>
      </c>
      <c r="O32" s="40">
        <f>COUNTIF(Vertices[Eigenvector Centrality],"&gt;= "&amp;N32)-COUNTIF(Vertices[Eigenvector Centrality],"&gt;="&amp;N33)</f>
        <v>0</v>
      </c>
      <c r="P32" s="39">
        <f t="shared" si="7"/>
        <v>0</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79"/>
      <c r="B33" s="79"/>
      <c r="D33" s="34">
        <f t="shared" si="1"/>
        <v>0</v>
      </c>
      <c r="E33" s="3">
        <f>COUNTIF(Vertices[Degree],"&gt;= "&amp;D33)-COUNTIF(Vertices[Degree],"&gt;="&amp;D34)</f>
        <v>0</v>
      </c>
      <c r="F33" s="41">
        <f t="shared" si="2"/>
        <v>0</v>
      </c>
      <c r="G33" s="42">
        <f>COUNTIF(Vertices[In-Degree],"&gt;= "&amp;F33)-COUNTIF(Vertices[In-Degree],"&gt;="&amp;F34)</f>
        <v>0</v>
      </c>
      <c r="H33" s="41">
        <f t="shared" si="3"/>
        <v>0</v>
      </c>
      <c r="I33" s="42">
        <f>COUNTIF(Vertices[Out-Degree],"&gt;= "&amp;H33)-COUNTIF(Vertices[Out-Degree],"&gt;="&amp;H34)</f>
        <v>0</v>
      </c>
      <c r="J33" s="41">
        <f t="shared" si="4"/>
        <v>0</v>
      </c>
      <c r="K33" s="42">
        <f>COUNTIF(Vertices[Betweenness Centrality],"&gt;= "&amp;J33)-COUNTIF(Vertices[Betweenness Centrality],"&gt;="&amp;J34)</f>
        <v>0</v>
      </c>
      <c r="L33" s="41">
        <f t="shared" si="5"/>
        <v>0</v>
      </c>
      <c r="M33" s="42">
        <f>COUNTIF(Vertices[Closeness Centrality],"&gt;= "&amp;L33)-COUNTIF(Vertices[Closeness Centrality],"&gt;="&amp;L34)</f>
        <v>0</v>
      </c>
      <c r="N33" s="41">
        <f t="shared" si="6"/>
        <v>0</v>
      </c>
      <c r="O33" s="42">
        <f>COUNTIF(Vertices[Eigenvector Centrality],"&gt;= "&amp;N33)-COUNTIF(Vertices[Eigenvector Centrality],"&gt;="&amp;N34)</f>
        <v>0</v>
      </c>
      <c r="P33" s="41">
        <f t="shared" si="7"/>
        <v>0</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c r="B34" s="36"/>
      <c r="D34" s="34">
        <f t="shared" si="1"/>
        <v>0</v>
      </c>
      <c r="E34" s="3">
        <f>COUNTIF(Vertices[Degree],"&gt;= "&amp;D34)-COUNTIF(Vertices[Degree],"&gt;="&amp;D35)</f>
        <v>0</v>
      </c>
      <c r="F34" s="39">
        <f t="shared" si="2"/>
        <v>0</v>
      </c>
      <c r="G34" s="40">
        <f>COUNTIF(Vertices[In-Degree],"&gt;= "&amp;F34)-COUNTIF(Vertices[In-Degree],"&gt;="&amp;F35)</f>
        <v>0</v>
      </c>
      <c r="H34" s="39">
        <f t="shared" si="3"/>
        <v>0</v>
      </c>
      <c r="I34" s="40">
        <f>COUNTIF(Vertices[Out-Degree],"&gt;= "&amp;H34)-COUNTIF(Vertices[Out-Degree],"&gt;="&amp;H35)</f>
        <v>0</v>
      </c>
      <c r="J34" s="39">
        <f t="shared" si="4"/>
        <v>0</v>
      </c>
      <c r="K34" s="40">
        <f>COUNTIF(Vertices[Betweenness Centrality],"&gt;= "&amp;J34)-COUNTIF(Vertices[Betweenness Centrality],"&gt;="&amp;J35)</f>
        <v>0</v>
      </c>
      <c r="L34" s="39">
        <f t="shared" si="5"/>
        <v>0</v>
      </c>
      <c r="M34" s="40">
        <f>COUNTIF(Vertices[Closeness Centrality],"&gt;= "&amp;L34)-COUNTIF(Vertices[Closeness Centrality],"&gt;="&amp;L35)</f>
        <v>0</v>
      </c>
      <c r="N34" s="39">
        <f t="shared" si="6"/>
        <v>0</v>
      </c>
      <c r="O34" s="40">
        <f>COUNTIF(Vertices[Eigenvector Centrality],"&gt;= "&amp;N34)-COUNTIF(Vertices[Eigenvector Centrality],"&gt;="&amp;N35)</f>
        <v>0</v>
      </c>
      <c r="P34" s="39">
        <f t="shared" si="7"/>
        <v>0</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c r="B35" s="36"/>
      <c r="D35" s="34">
        <f t="shared" si="1"/>
        <v>0</v>
      </c>
      <c r="E35" s="3">
        <f>COUNTIF(Vertices[Degree],"&gt;= "&amp;D35)-COUNTIF(Vertices[Degree],"&gt;="&amp;D36)</f>
        <v>0</v>
      </c>
      <c r="F35" s="41">
        <f t="shared" si="2"/>
        <v>0</v>
      </c>
      <c r="G35" s="42">
        <f>COUNTIF(Vertices[In-Degree],"&gt;= "&amp;F35)-COUNTIF(Vertices[In-Degree],"&gt;="&amp;F36)</f>
        <v>0</v>
      </c>
      <c r="H35" s="41">
        <f t="shared" si="3"/>
        <v>0</v>
      </c>
      <c r="I35" s="42">
        <f>COUNTIF(Vertices[Out-Degree],"&gt;= "&amp;H35)-COUNTIF(Vertices[Out-Degree],"&gt;="&amp;H36)</f>
        <v>0</v>
      </c>
      <c r="J35" s="41">
        <f t="shared" si="4"/>
        <v>0</v>
      </c>
      <c r="K35" s="42">
        <f>COUNTIF(Vertices[Betweenness Centrality],"&gt;= "&amp;J35)-COUNTIF(Vertices[Betweenness Centrality],"&gt;="&amp;J36)</f>
        <v>0</v>
      </c>
      <c r="L35" s="41">
        <f t="shared" si="5"/>
        <v>0</v>
      </c>
      <c r="M35" s="42">
        <f>COUNTIF(Vertices[Closeness Centrality],"&gt;= "&amp;L35)-COUNTIF(Vertices[Closeness Centrality],"&gt;="&amp;L36)</f>
        <v>0</v>
      </c>
      <c r="N35" s="41">
        <f t="shared" si="6"/>
        <v>0</v>
      </c>
      <c r="O35" s="42">
        <f>COUNTIF(Vertices[Eigenvector Centrality],"&gt;= "&amp;N35)-COUNTIF(Vertices[Eigenvector Centrality],"&gt;="&amp;N36)</f>
        <v>0</v>
      </c>
      <c r="P35" s="41">
        <f t="shared" si="7"/>
        <v>0</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c r="B36" s="36"/>
      <c r="D36" s="34">
        <f>MAX(Vertices[Degree])</f>
        <v>0</v>
      </c>
      <c r="E36" s="3">
        <f>COUNTIF(Vertices[Degree],"&gt;= "&amp;D36)-COUNTIF(Vertices[Degree],"&gt;="&amp;#REF!)</f>
        <v>0</v>
      </c>
      <c r="F36" s="43">
        <f>MAX(Vertices[In-Degree])</f>
        <v>0</v>
      </c>
      <c r="G36" s="44">
        <f>COUNTIF(Vertices[In-Degree],"&gt;= "&amp;F36)-COUNTIF(Vertices[In-Degree],"&gt;="&amp;#REF!)</f>
        <v>0</v>
      </c>
      <c r="H36" s="43">
        <f>MAX(Vertices[Out-Degree])</f>
        <v>0</v>
      </c>
      <c r="I36" s="44">
        <f>COUNTIF(Vertices[Out-Degree],"&gt;= "&amp;H36)-COUNTIF(Vertices[Out-Degree],"&gt;="&amp;#REF!)</f>
        <v>0</v>
      </c>
      <c r="J36" s="43">
        <f>MAX(Vertices[Betweenness Centrality])</f>
        <v>0</v>
      </c>
      <c r="K36" s="44">
        <f>COUNTIF(Vertices[Betweenness Centrality],"&gt;= "&amp;J36)-COUNTIF(Vertices[Betweenness Centrality],"&gt;="&amp;#REF!)</f>
        <v>0</v>
      </c>
      <c r="L36" s="43">
        <f>MAX(Vertices[Closeness Centrality])</f>
        <v>0</v>
      </c>
      <c r="M36" s="44">
        <f>COUNTIF(Vertices[Closeness Centrality],"&gt;= "&amp;L36)-COUNTIF(Vertices[Closeness Centrality],"&gt;="&amp;#REF!)</f>
        <v>0</v>
      </c>
      <c r="N36" s="43">
        <f>MAX(Vertices[Eigenvector Centrality])</f>
        <v>0</v>
      </c>
      <c r="O36" s="44">
        <f>COUNTIF(Vertices[Eigenvector Centrality],"&gt;= "&amp;N36)-COUNTIF(Vertices[Eigenvector Centrality],"&gt;="&amp;#REF!)</f>
        <v>0</v>
      </c>
      <c r="P36" s="43">
        <f>MAX(Vertices[PageRank])</f>
        <v>0</v>
      </c>
      <c r="Q36" s="44">
        <f>COUNTIF(Vertices[PageRank],"&gt;= "&amp;P36)-COUNTIF(Vertices[PageRank],"&gt;="&amp;#REF!)</f>
        <v>0</v>
      </c>
      <c r="R36" s="43">
        <f>MAX(Vertices[Clustering Coefficient])</f>
        <v>0</v>
      </c>
      <c r="S36" s="47">
        <f>COUNTIF(Vertices[Clustering Coefficient],"&gt;= "&amp;R36)-COUNTIF(Vertices[Clustering Coefficient],"&gt;="&amp;#REF!)</f>
        <v>0</v>
      </c>
      <c r="T36" s="43" t="e">
        <f ca="1">MAX(INDIRECT(DynamicFilterSourceColumnRange))</f>
        <v>#REF!</v>
      </c>
      <c r="U36" s="44" t="e">
        <f ca="1">COUNTIF(INDIRECT(DynamicFilterSourceColumnRange),"&gt;= "&amp;T36)-COUNTIF(INDIRECT(DynamicFilterSourceColumnRange),"&gt;="&amp;#REF!)</f>
        <v>#REF!</v>
      </c>
    </row>
    <row r="37" spans="1:2" ht="15">
      <c r="A37" s="79"/>
      <c r="B37" s="79"/>
    </row>
    <row r="38" spans="1:2" ht="15">
      <c r="A38" s="79"/>
      <c r="B38" s="79"/>
    </row>
    <row r="39" spans="1:2" ht="15">
      <c r="A39" s="79"/>
      <c r="B39" s="79"/>
    </row>
    <row r="40" spans="1:2" ht="15">
      <c r="A40" s="79"/>
      <c r="B40" s="79"/>
    </row>
    <row r="41" spans="1:2" ht="15">
      <c r="A41" s="79"/>
      <c r="B41" s="79"/>
    </row>
    <row r="42" spans="1:2" ht="15">
      <c r="A42" s="36"/>
      <c r="B42" s="36"/>
    </row>
    <row r="43" spans="1:2" ht="15">
      <c r="A43" s="36"/>
      <c r="B43" s="36"/>
    </row>
    <row r="44" spans="1:2" ht="15">
      <c r="A44" s="36"/>
      <c r="B44" s="36"/>
    </row>
    <row r="45" spans="1:2" ht="15">
      <c r="A45" s="36"/>
      <c r="B45" s="36"/>
    </row>
    <row r="46" spans="1:2" ht="15">
      <c r="A46" s="36"/>
      <c r="B46" s="36"/>
    </row>
    <row r="47" spans="1:2" ht="15">
      <c r="A47" s="36"/>
      <c r="B47" s="36"/>
    </row>
    <row r="48" spans="1:2" ht="15">
      <c r="A48" s="36"/>
      <c r="B48" s="36"/>
    </row>
    <row r="49" spans="1:2" ht="15">
      <c r="A49" s="36"/>
      <c r="B49" s="36"/>
    </row>
    <row r="50" spans="1:2" ht="15">
      <c r="A50" s="79"/>
      <c r="B50" s="79"/>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t="str">
        <f>IF(COUNT(Vertices[In-Degree])&gt;0,F2,NoMetricMessage)</f>
        <v>Not Available</v>
      </c>
    </row>
    <row r="82" spans="1:2" ht="15">
      <c r="A82" s="35" t="s">
        <v>89</v>
      </c>
      <c r="B82" s="48" t="str">
        <f>IF(COUNT(Vertices[In-Degree])&gt;0,F36,NoMetricMessage)</f>
        <v>Not Available</v>
      </c>
    </row>
    <row r="83" spans="1:2" ht="15">
      <c r="A83" s="35" t="s">
        <v>90</v>
      </c>
      <c r="B83" s="49" t="str">
        <f>_xlfn.IFERROR(AVERAGE(Vertices[In-Degree]),NoMetricMessage)</f>
        <v>Not Available</v>
      </c>
    </row>
    <row r="84" spans="1:2" ht="15">
      <c r="A84" s="35" t="s">
        <v>91</v>
      </c>
      <c r="B84" s="49" t="str">
        <f>_xlfn.IFERROR(MEDIAN(Vertices[In-Degree]),NoMetricMessage)</f>
        <v>Not Available</v>
      </c>
    </row>
    <row r="95" spans="1:2" ht="15">
      <c r="A95" s="35" t="s">
        <v>94</v>
      </c>
      <c r="B95" s="48" t="str">
        <f>IF(COUNT(Vertices[Out-Degree])&gt;0,H2,NoMetricMessage)</f>
        <v>Not Available</v>
      </c>
    </row>
    <row r="96" spans="1:2" ht="15">
      <c r="A96" s="35" t="s">
        <v>95</v>
      </c>
      <c r="B96" s="48" t="str">
        <f>IF(COUNT(Vertices[Out-Degree])&gt;0,H36,NoMetricMessage)</f>
        <v>Not Available</v>
      </c>
    </row>
    <row r="97" spans="1:2" ht="15">
      <c r="A97" s="35" t="s">
        <v>96</v>
      </c>
      <c r="B97" s="49" t="str">
        <f>_xlfn.IFERROR(AVERAGE(Vertices[Out-Degree]),NoMetricMessage)</f>
        <v>Not Available</v>
      </c>
    </row>
    <row r="98" spans="1:2" ht="15">
      <c r="A98" s="35" t="s">
        <v>97</v>
      </c>
      <c r="B98" s="49" t="str">
        <f>_xlfn.IFERROR(MEDIAN(Vertices[Out-Degree]),NoMetricMessage)</f>
        <v>Not Available</v>
      </c>
    </row>
    <row r="109" spans="1:2" ht="15">
      <c r="A109" s="35" t="s">
        <v>100</v>
      </c>
      <c r="B109" s="49" t="str">
        <f>IF(COUNT(Vertices[Betweenness Centrality])&gt;0,J2,NoMetricMessage)</f>
        <v>Not Available</v>
      </c>
    </row>
    <row r="110" spans="1:2" ht="15">
      <c r="A110" s="35" t="s">
        <v>101</v>
      </c>
      <c r="B110" s="49" t="str">
        <f>IF(COUNT(Vertices[Betweenness Centrality])&gt;0,J36,NoMetricMessage)</f>
        <v>Not Available</v>
      </c>
    </row>
    <row r="111" spans="1:2" ht="15">
      <c r="A111" s="35" t="s">
        <v>102</v>
      </c>
      <c r="B111" s="49" t="str">
        <f>_xlfn.IFERROR(AVERAGE(Vertices[Betweenness Centrality]),NoMetricMessage)</f>
        <v>Not Available</v>
      </c>
    </row>
    <row r="112" spans="1:2" ht="15">
      <c r="A112" s="35" t="s">
        <v>103</v>
      </c>
      <c r="B112" s="49" t="str">
        <f>_xlfn.IFERROR(MEDIAN(Vertices[Betweenness Centrality]),NoMetricMessage)</f>
        <v>Not Available</v>
      </c>
    </row>
    <row r="123" spans="1:2" ht="15">
      <c r="A123" s="35" t="s">
        <v>106</v>
      </c>
      <c r="B123" s="49" t="str">
        <f>IF(COUNT(Vertices[Closeness Centrality])&gt;0,L2,NoMetricMessage)</f>
        <v>Not Available</v>
      </c>
    </row>
    <row r="124" spans="1:2" ht="15">
      <c r="A124" s="35" t="s">
        <v>107</v>
      </c>
      <c r="B124" s="49" t="str">
        <f>IF(COUNT(Vertices[Closeness Centrality])&gt;0,L36,NoMetricMessage)</f>
        <v>Not Available</v>
      </c>
    </row>
    <row r="125" spans="1:2" ht="15">
      <c r="A125" s="35" t="s">
        <v>108</v>
      </c>
      <c r="B125" s="49" t="str">
        <f>_xlfn.IFERROR(AVERAGE(Vertices[Closeness Centrality]),NoMetricMessage)</f>
        <v>Not Available</v>
      </c>
    </row>
    <row r="126" spans="1:2" ht="15">
      <c r="A126" s="35" t="s">
        <v>109</v>
      </c>
      <c r="B126" s="49" t="str">
        <f>_xlfn.IFERROR(MEDIAN(Vertices[Closeness Centrality]),NoMetricMessage)</f>
        <v>Not Available</v>
      </c>
    </row>
    <row r="137" spans="1:2" ht="15">
      <c r="A137" s="35" t="s">
        <v>112</v>
      </c>
      <c r="B137" s="49" t="str">
        <f>IF(COUNT(Vertices[Eigenvector Centrality])&gt;0,N2,NoMetricMessage)</f>
        <v>Not Available</v>
      </c>
    </row>
    <row r="138" spans="1:2" ht="15">
      <c r="A138" s="35" t="s">
        <v>113</v>
      </c>
      <c r="B138" s="49" t="str">
        <f>IF(COUNT(Vertices[Eigenvector Centrality])&gt;0,N36,NoMetricMessage)</f>
        <v>Not Available</v>
      </c>
    </row>
    <row r="139" spans="1:2" ht="15">
      <c r="A139" s="35" t="s">
        <v>114</v>
      </c>
      <c r="B139" s="49" t="str">
        <f>_xlfn.IFERROR(AVERAGE(Vertices[Eigenvector Centrality]),NoMetricMessage)</f>
        <v>Not Available</v>
      </c>
    </row>
    <row r="140" spans="1:2" ht="15">
      <c r="A140" s="35" t="s">
        <v>115</v>
      </c>
      <c r="B140" s="49" t="str">
        <f>_xlfn.IFERROR(MEDIAN(Vertices[Eigenvector Centrality]),NoMetricMessage)</f>
        <v>Not Available</v>
      </c>
    </row>
    <row r="151" spans="1:2" ht="15">
      <c r="A151" s="35" t="s">
        <v>140</v>
      </c>
      <c r="B151" s="49" t="str">
        <f>IF(COUNT(Vertices[PageRank])&gt;0,P2,NoMetricMessage)</f>
        <v>Not Available</v>
      </c>
    </row>
    <row r="152" spans="1:2" ht="15">
      <c r="A152" s="35" t="s">
        <v>141</v>
      </c>
      <c r="B152" s="49" t="str">
        <f>IF(COUNT(Vertices[PageRank])&gt;0,P36,NoMetricMessage)</f>
        <v>Not Available</v>
      </c>
    </row>
    <row r="153" spans="1:2" ht="15">
      <c r="A153" s="35" t="s">
        <v>142</v>
      </c>
      <c r="B153" s="49" t="str">
        <f>_xlfn.IFERROR(AVERAGE(Vertices[PageRank]),NoMetricMessage)</f>
        <v>Not Available</v>
      </c>
    </row>
    <row r="154" spans="1:2" ht="15">
      <c r="A154" s="35" t="s">
        <v>143</v>
      </c>
      <c r="B154" s="49" t="str">
        <f>_xlfn.IFERROR(MEDIAN(Vertices[PageRank]),NoMetricMessage)</f>
        <v>Not Available</v>
      </c>
    </row>
    <row r="165" spans="1:2" ht="15">
      <c r="A165" s="35" t="s">
        <v>118</v>
      </c>
      <c r="B165" s="49" t="str">
        <f>IF(COUNT(Vertices[Clustering Coefficient])&gt;0,R2,NoMetricMessage)</f>
        <v>Not Available</v>
      </c>
    </row>
    <row r="166" spans="1:2" ht="15">
      <c r="A166" s="35" t="s">
        <v>119</v>
      </c>
      <c r="B166" s="49" t="str">
        <f>IF(COUNT(Vertices[Clustering Coefficient])&gt;0,R36,NoMetricMessage)</f>
        <v>Not Available</v>
      </c>
    </row>
    <row r="167" spans="1:2" ht="15">
      <c r="A167" s="35" t="s">
        <v>120</v>
      </c>
      <c r="B167" s="49" t="str">
        <f>_xlfn.IFERROR(AVERAGE(Vertices[Clustering Coefficient]),NoMetricMessage)</f>
        <v>Not Available</v>
      </c>
    </row>
    <row r="168" spans="1:2" ht="15">
      <c r="A168" s="35" t="s">
        <v>121</v>
      </c>
      <c r="B168"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326</v>
      </c>
      <c r="BE2" s="13" t="s">
        <v>327</v>
      </c>
    </row>
    <row r="3" spans="1:57" ht="15" customHeight="1">
      <c r="A3" s="83" t="s">
        <v>214</v>
      </c>
      <c r="B3" s="83" t="s">
        <v>215</v>
      </c>
      <c r="C3" s="54"/>
      <c r="D3" s="55"/>
      <c r="E3" s="67"/>
      <c r="F3" s="56"/>
      <c r="G3" s="54"/>
      <c r="H3" s="58"/>
      <c r="I3" s="57"/>
      <c r="J3" s="57"/>
      <c r="K3" s="36" t="s">
        <v>65</v>
      </c>
      <c r="L3" s="63">
        <v>3</v>
      </c>
      <c r="M3" s="63"/>
      <c r="N3" s="64"/>
      <c r="O3" s="84" t="s">
        <v>219</v>
      </c>
      <c r="P3" s="86">
        <v>44692.006157407406</v>
      </c>
      <c r="Q3" s="84" t="s">
        <v>220</v>
      </c>
      <c r="R3" s="84"/>
      <c r="S3" s="84"/>
      <c r="T3" s="89" t="s">
        <v>224</v>
      </c>
      <c r="U3" s="84"/>
      <c r="V3" s="91" t="str">
        <f>HYPERLINK("http://pbs.twimg.com/profile_images/1449501173145382918/zcOsxEAI_normal.jpg")</f>
        <v>http://pbs.twimg.com/profile_images/1449501173145382918/zcOsxEAI_normal.jpg</v>
      </c>
      <c r="W3" s="86">
        <v>44692.006157407406</v>
      </c>
      <c r="X3" s="92">
        <v>44692</v>
      </c>
      <c r="Y3" s="89" t="s">
        <v>227</v>
      </c>
      <c r="Z3" s="91" t="str">
        <f>HYPERLINK("https://twitter.com/#!/justblazedro/status/1524179698254811139")</f>
        <v>https://twitter.com/#!/justblazedro/status/1524179698254811139</v>
      </c>
      <c r="AA3" s="84"/>
      <c r="AB3" s="84"/>
      <c r="AC3" s="89" t="s">
        <v>231</v>
      </c>
      <c r="AD3" s="84"/>
      <c r="AE3" s="84" t="b">
        <v>0</v>
      </c>
      <c r="AF3" s="84">
        <v>0</v>
      </c>
      <c r="AG3" s="89" t="s">
        <v>235</v>
      </c>
      <c r="AH3" s="84" t="b">
        <v>0</v>
      </c>
      <c r="AI3" s="84" t="s">
        <v>236</v>
      </c>
      <c r="AJ3" s="84"/>
      <c r="AK3" s="89" t="s">
        <v>235</v>
      </c>
      <c r="AL3" s="84" t="b">
        <v>0</v>
      </c>
      <c r="AM3" s="84">
        <v>2</v>
      </c>
      <c r="AN3" s="89" t="s">
        <v>232</v>
      </c>
      <c r="AO3" s="89" t="s">
        <v>238</v>
      </c>
      <c r="AP3" s="84" t="b">
        <v>0</v>
      </c>
      <c r="AQ3" s="89" t="s">
        <v>232</v>
      </c>
      <c r="AR3" s="84" t="s">
        <v>176</v>
      </c>
      <c r="AS3" s="84">
        <v>0</v>
      </c>
      <c r="AT3" s="84">
        <v>0</v>
      </c>
      <c r="AU3" s="84"/>
      <c r="AV3" s="84"/>
      <c r="AW3" s="84"/>
      <c r="AX3" s="84"/>
      <c r="AY3" s="84"/>
      <c r="AZ3" s="84"/>
      <c r="BA3" s="84"/>
      <c r="BB3" s="84"/>
      <c r="BC3">
        <v>1</v>
      </c>
      <c r="BD3" s="84" t="str">
        <f>REPLACE(INDEX(GroupVertices[Group],MATCH(Edges11[[#This Row],[Vertex 1]],GroupVertices[Vertex],0)),1,1,"")</f>
        <v>1</v>
      </c>
      <c r="BE3" s="84" t="str">
        <f>REPLACE(INDEX(GroupVertices[Group],MATCH(Edges11[[#This Row],[Vertex 2]],GroupVertices[Vertex],0)),1,1,"")</f>
        <v>1</v>
      </c>
    </row>
    <row r="4" spans="1:57" ht="15" customHeight="1">
      <c r="A4" s="83" t="s">
        <v>214</v>
      </c>
      <c r="B4" s="83" t="s">
        <v>215</v>
      </c>
      <c r="C4" s="54"/>
      <c r="D4" s="55"/>
      <c r="E4" s="67"/>
      <c r="F4" s="56"/>
      <c r="G4" s="54"/>
      <c r="H4" s="58"/>
      <c r="I4" s="57"/>
      <c r="J4" s="57"/>
      <c r="K4" s="36" t="s">
        <v>65</v>
      </c>
      <c r="L4" s="82">
        <v>4</v>
      </c>
      <c r="M4" s="82"/>
      <c r="N4" s="64"/>
      <c r="O4" s="85" t="s">
        <v>218</v>
      </c>
      <c r="P4" s="87">
        <v>44692.006157407406</v>
      </c>
      <c r="Q4" s="85" t="s">
        <v>220</v>
      </c>
      <c r="R4" s="85"/>
      <c r="S4" s="85"/>
      <c r="T4" s="90" t="s">
        <v>224</v>
      </c>
      <c r="U4" s="85"/>
      <c r="V4" s="88" t="str">
        <f>HYPERLINK("http://pbs.twimg.com/profile_images/1449501173145382918/zcOsxEAI_normal.jpg")</f>
        <v>http://pbs.twimg.com/profile_images/1449501173145382918/zcOsxEAI_normal.jpg</v>
      </c>
      <c r="W4" s="87">
        <v>44692.006157407406</v>
      </c>
      <c r="X4" s="93">
        <v>44692</v>
      </c>
      <c r="Y4" s="90" t="s">
        <v>227</v>
      </c>
      <c r="Z4" s="88" t="str">
        <f>HYPERLINK("https://twitter.com/#!/justblazedro/status/1524179698254811139")</f>
        <v>https://twitter.com/#!/justblazedro/status/1524179698254811139</v>
      </c>
      <c r="AA4" s="85"/>
      <c r="AB4" s="85"/>
      <c r="AC4" s="90" t="s">
        <v>231</v>
      </c>
      <c r="AD4" s="85"/>
      <c r="AE4" s="85" t="b">
        <v>0</v>
      </c>
      <c r="AF4" s="85">
        <v>0</v>
      </c>
      <c r="AG4" s="90" t="s">
        <v>235</v>
      </c>
      <c r="AH4" s="85" t="b">
        <v>0</v>
      </c>
      <c r="AI4" s="85" t="s">
        <v>236</v>
      </c>
      <c r="AJ4" s="85"/>
      <c r="AK4" s="90" t="s">
        <v>235</v>
      </c>
      <c r="AL4" s="85" t="b">
        <v>0</v>
      </c>
      <c r="AM4" s="85">
        <v>2</v>
      </c>
      <c r="AN4" s="90" t="s">
        <v>232</v>
      </c>
      <c r="AO4" s="90" t="s">
        <v>238</v>
      </c>
      <c r="AP4" s="85" t="b">
        <v>0</v>
      </c>
      <c r="AQ4" s="90" t="s">
        <v>232</v>
      </c>
      <c r="AR4" s="85" t="s">
        <v>176</v>
      </c>
      <c r="AS4" s="85">
        <v>0</v>
      </c>
      <c r="AT4" s="85">
        <v>0</v>
      </c>
      <c r="AU4" s="85"/>
      <c r="AV4" s="85"/>
      <c r="AW4" s="85"/>
      <c r="AX4" s="85"/>
      <c r="AY4" s="85"/>
      <c r="AZ4" s="85"/>
      <c r="BA4" s="85"/>
      <c r="BB4" s="85"/>
      <c r="BC4">
        <v>1</v>
      </c>
      <c r="BD4" s="84" t="str">
        <f>REPLACE(INDEX(GroupVertices[Group],MATCH(Edges11[[#This Row],[Vertex 1]],GroupVertices[Vertex],0)),1,1,"")</f>
        <v>1</v>
      </c>
      <c r="BE4" s="84" t="str">
        <f>REPLACE(INDEX(GroupVertices[Group],MATCH(Edges11[[#This Row],[Vertex 2]],GroupVertices[Vertex],0)),1,1,"")</f>
        <v>1</v>
      </c>
    </row>
    <row r="5" spans="1:57" ht="15">
      <c r="A5" s="83" t="s">
        <v>215</v>
      </c>
      <c r="B5" s="83" t="s">
        <v>215</v>
      </c>
      <c r="C5" s="54"/>
      <c r="D5" s="55"/>
      <c r="E5" s="67"/>
      <c r="F5" s="56"/>
      <c r="G5" s="54"/>
      <c r="H5" s="58"/>
      <c r="I5" s="57"/>
      <c r="J5" s="57"/>
      <c r="K5" s="36" t="s">
        <v>65</v>
      </c>
      <c r="L5" s="82">
        <v>5</v>
      </c>
      <c r="M5" s="82"/>
      <c r="N5" s="64"/>
      <c r="O5" s="85" t="s">
        <v>176</v>
      </c>
      <c r="P5" s="87">
        <v>44218.69986111111</v>
      </c>
      <c r="Q5" s="85" t="s">
        <v>221</v>
      </c>
      <c r="R5" s="85"/>
      <c r="S5" s="85"/>
      <c r="T5" s="90" t="s">
        <v>225</v>
      </c>
      <c r="U5" s="88" t="str">
        <f>HYPERLINK("https://pbs.twimg.com/media/EsWcaDMUYAA5ee1.jpg")</f>
        <v>https://pbs.twimg.com/media/EsWcaDMUYAA5ee1.jpg</v>
      </c>
      <c r="V5" s="88" t="str">
        <f>HYPERLINK("https://pbs.twimg.com/media/EsWcaDMUYAA5ee1.jpg")</f>
        <v>https://pbs.twimg.com/media/EsWcaDMUYAA5ee1.jpg</v>
      </c>
      <c r="W5" s="87">
        <v>44218.69986111111</v>
      </c>
      <c r="X5" s="93">
        <v>44218</v>
      </c>
      <c r="Y5" s="90" t="s">
        <v>228</v>
      </c>
      <c r="Z5" s="88" t="str">
        <f>HYPERLINK("https://twitter.com/#!/icewind2020/status/1352659238540087308")</f>
        <v>https://twitter.com/#!/icewind2020/status/1352659238540087308</v>
      </c>
      <c r="AA5" s="85"/>
      <c r="AB5" s="85"/>
      <c r="AC5" s="90" t="s">
        <v>232</v>
      </c>
      <c r="AD5" s="85"/>
      <c r="AE5" s="85" t="b">
        <v>0</v>
      </c>
      <c r="AF5" s="85">
        <v>9</v>
      </c>
      <c r="AG5" s="90" t="s">
        <v>235</v>
      </c>
      <c r="AH5" s="85" t="b">
        <v>0</v>
      </c>
      <c r="AI5" s="85" t="s">
        <v>236</v>
      </c>
      <c r="AJ5" s="85"/>
      <c r="AK5" s="90" t="s">
        <v>235</v>
      </c>
      <c r="AL5" s="85" t="b">
        <v>0</v>
      </c>
      <c r="AM5" s="85">
        <v>2</v>
      </c>
      <c r="AN5" s="90" t="s">
        <v>235</v>
      </c>
      <c r="AO5" s="90" t="s">
        <v>239</v>
      </c>
      <c r="AP5" s="85" t="b">
        <v>0</v>
      </c>
      <c r="AQ5" s="90" t="s">
        <v>232</v>
      </c>
      <c r="AR5" s="85" t="s">
        <v>218</v>
      </c>
      <c r="AS5" s="85">
        <v>0</v>
      </c>
      <c r="AT5" s="85">
        <v>0</v>
      </c>
      <c r="AU5" s="85"/>
      <c r="AV5" s="85"/>
      <c r="AW5" s="85"/>
      <c r="AX5" s="85"/>
      <c r="AY5" s="85"/>
      <c r="AZ5" s="85"/>
      <c r="BA5" s="85"/>
      <c r="BB5" s="85"/>
      <c r="BC5">
        <v>1</v>
      </c>
      <c r="BD5" s="84" t="str">
        <f>REPLACE(INDEX(GroupVertices[Group],MATCH(Edges11[[#This Row],[Vertex 1]],GroupVertices[Vertex],0)),1,1,"")</f>
        <v>1</v>
      </c>
      <c r="BE5" s="84" t="str">
        <f>REPLACE(INDEX(GroupVertices[Group],MATCH(Edges11[[#This Row],[Vertex 2]],GroupVertices[Vertex],0)),1,1,"")</f>
        <v>1</v>
      </c>
    </row>
    <row r="6" spans="1:57" ht="15">
      <c r="A6" s="83" t="s">
        <v>216</v>
      </c>
      <c r="B6" s="83" t="s">
        <v>215</v>
      </c>
      <c r="C6" s="54"/>
      <c r="D6" s="55"/>
      <c r="E6" s="67"/>
      <c r="F6" s="56"/>
      <c r="G6" s="54"/>
      <c r="H6" s="58"/>
      <c r="I6" s="57"/>
      <c r="J6" s="57"/>
      <c r="K6" s="36" t="s">
        <v>65</v>
      </c>
      <c r="L6" s="82">
        <v>6</v>
      </c>
      <c r="M6" s="82"/>
      <c r="N6" s="64"/>
      <c r="O6" s="85" t="s">
        <v>219</v>
      </c>
      <c r="P6" s="87">
        <v>44692.028969907406</v>
      </c>
      <c r="Q6" s="85" t="s">
        <v>220</v>
      </c>
      <c r="R6" s="85"/>
      <c r="S6" s="85"/>
      <c r="T6" s="90" t="s">
        <v>224</v>
      </c>
      <c r="U6" s="85"/>
      <c r="V6" s="88" t="str">
        <f>HYPERLINK("http://abs.twimg.com/sticky/default_profile_images/default_profile_normal.png")</f>
        <v>http://abs.twimg.com/sticky/default_profile_images/default_profile_normal.png</v>
      </c>
      <c r="W6" s="87">
        <v>44692.028969907406</v>
      </c>
      <c r="X6" s="93">
        <v>44692</v>
      </c>
      <c r="Y6" s="90" t="s">
        <v>229</v>
      </c>
      <c r="Z6" s="88" t="str">
        <f>HYPERLINK("https://twitter.com/#!/alexis_tth/status/1524187966284967942")</f>
        <v>https://twitter.com/#!/alexis_tth/status/1524187966284967942</v>
      </c>
      <c r="AA6" s="85"/>
      <c r="AB6" s="85"/>
      <c r="AC6" s="90" t="s">
        <v>233</v>
      </c>
      <c r="AD6" s="85"/>
      <c r="AE6" s="85" t="b">
        <v>0</v>
      </c>
      <c r="AF6" s="85">
        <v>0</v>
      </c>
      <c r="AG6" s="90" t="s">
        <v>235</v>
      </c>
      <c r="AH6" s="85" t="b">
        <v>0</v>
      </c>
      <c r="AI6" s="85" t="s">
        <v>236</v>
      </c>
      <c r="AJ6" s="85"/>
      <c r="AK6" s="90" t="s">
        <v>235</v>
      </c>
      <c r="AL6" s="85" t="b">
        <v>0</v>
      </c>
      <c r="AM6" s="85">
        <v>2</v>
      </c>
      <c r="AN6" s="90" t="s">
        <v>232</v>
      </c>
      <c r="AO6" s="90" t="s">
        <v>240</v>
      </c>
      <c r="AP6" s="85" t="b">
        <v>0</v>
      </c>
      <c r="AQ6" s="90" t="s">
        <v>232</v>
      </c>
      <c r="AR6" s="85" t="s">
        <v>176</v>
      </c>
      <c r="AS6" s="85">
        <v>0</v>
      </c>
      <c r="AT6" s="85">
        <v>0</v>
      </c>
      <c r="AU6" s="85"/>
      <c r="AV6" s="85"/>
      <c r="AW6" s="85"/>
      <c r="AX6" s="85"/>
      <c r="AY6" s="85"/>
      <c r="AZ6" s="85"/>
      <c r="BA6" s="85"/>
      <c r="BB6" s="85"/>
      <c r="BC6">
        <v>1</v>
      </c>
      <c r="BD6" s="84" t="str">
        <f>REPLACE(INDEX(GroupVertices[Group],MATCH(Edges11[[#This Row],[Vertex 1]],GroupVertices[Vertex],0)),1,1,"")</f>
        <v>1</v>
      </c>
      <c r="BE6" s="84" t="str">
        <f>REPLACE(INDEX(GroupVertices[Group],MATCH(Edges11[[#This Row],[Vertex 2]],GroupVertices[Vertex],0)),1,1,"")</f>
        <v>1</v>
      </c>
    </row>
    <row r="7" spans="1:57" ht="15">
      <c r="A7" s="83" t="s">
        <v>216</v>
      </c>
      <c r="B7" s="83" t="s">
        <v>215</v>
      </c>
      <c r="C7" s="54"/>
      <c r="D7" s="55"/>
      <c r="E7" s="67"/>
      <c r="F7" s="56"/>
      <c r="G7" s="54"/>
      <c r="H7" s="58"/>
      <c r="I7" s="57"/>
      <c r="J7" s="57"/>
      <c r="K7" s="36" t="s">
        <v>65</v>
      </c>
      <c r="L7" s="82">
        <v>7</v>
      </c>
      <c r="M7" s="82"/>
      <c r="N7" s="64"/>
      <c r="O7" s="85" t="s">
        <v>218</v>
      </c>
      <c r="P7" s="87">
        <v>44692.028969907406</v>
      </c>
      <c r="Q7" s="85" t="s">
        <v>220</v>
      </c>
      <c r="R7" s="85"/>
      <c r="S7" s="85"/>
      <c r="T7" s="90" t="s">
        <v>224</v>
      </c>
      <c r="U7" s="85"/>
      <c r="V7" s="88" t="str">
        <f>HYPERLINK("http://abs.twimg.com/sticky/default_profile_images/default_profile_normal.png")</f>
        <v>http://abs.twimg.com/sticky/default_profile_images/default_profile_normal.png</v>
      </c>
      <c r="W7" s="87">
        <v>44692.028969907406</v>
      </c>
      <c r="X7" s="93">
        <v>44692</v>
      </c>
      <c r="Y7" s="90" t="s">
        <v>229</v>
      </c>
      <c r="Z7" s="88" t="str">
        <f>HYPERLINK("https://twitter.com/#!/alexis_tth/status/1524187966284967942")</f>
        <v>https://twitter.com/#!/alexis_tth/status/1524187966284967942</v>
      </c>
      <c r="AA7" s="85"/>
      <c r="AB7" s="85"/>
      <c r="AC7" s="90" t="s">
        <v>233</v>
      </c>
      <c r="AD7" s="85"/>
      <c r="AE7" s="85" t="b">
        <v>0</v>
      </c>
      <c r="AF7" s="85">
        <v>0</v>
      </c>
      <c r="AG7" s="90" t="s">
        <v>235</v>
      </c>
      <c r="AH7" s="85" t="b">
        <v>0</v>
      </c>
      <c r="AI7" s="85" t="s">
        <v>236</v>
      </c>
      <c r="AJ7" s="85"/>
      <c r="AK7" s="90" t="s">
        <v>235</v>
      </c>
      <c r="AL7" s="85" t="b">
        <v>0</v>
      </c>
      <c r="AM7" s="85">
        <v>2</v>
      </c>
      <c r="AN7" s="90" t="s">
        <v>232</v>
      </c>
      <c r="AO7" s="90" t="s">
        <v>240</v>
      </c>
      <c r="AP7" s="85" t="b">
        <v>0</v>
      </c>
      <c r="AQ7" s="90" t="s">
        <v>232</v>
      </c>
      <c r="AR7" s="85" t="s">
        <v>176</v>
      </c>
      <c r="AS7" s="85">
        <v>0</v>
      </c>
      <c r="AT7" s="85">
        <v>0</v>
      </c>
      <c r="AU7" s="85"/>
      <c r="AV7" s="85"/>
      <c r="AW7" s="85"/>
      <c r="AX7" s="85"/>
      <c r="AY7" s="85"/>
      <c r="AZ7" s="85"/>
      <c r="BA7" s="85"/>
      <c r="BB7" s="85"/>
      <c r="BC7">
        <v>1</v>
      </c>
      <c r="BD7" s="84" t="str">
        <f>REPLACE(INDEX(GroupVertices[Group],MATCH(Edges11[[#This Row],[Vertex 1]],GroupVertices[Vertex],0)),1,1,"")</f>
        <v>1</v>
      </c>
      <c r="BE7" s="84" t="str">
        <f>REPLACE(INDEX(GroupVertices[Group],MATCH(Edges11[[#This Row],[Vertex 2]],GroupVertices[Vertex],0)),1,1,"")</f>
        <v>1</v>
      </c>
    </row>
    <row r="8" spans="1:57" ht="15">
      <c r="A8" s="83" t="s">
        <v>217</v>
      </c>
      <c r="B8" s="83" t="s">
        <v>217</v>
      </c>
      <c r="C8" s="54"/>
      <c r="D8" s="55"/>
      <c r="E8" s="67"/>
      <c r="F8" s="56"/>
      <c r="G8" s="54"/>
      <c r="H8" s="58"/>
      <c r="I8" s="57"/>
      <c r="J8" s="57"/>
      <c r="K8" s="36" t="s">
        <v>65</v>
      </c>
      <c r="L8" s="82">
        <v>8</v>
      </c>
      <c r="M8" s="82"/>
      <c r="N8" s="64"/>
      <c r="O8" s="85" t="s">
        <v>176</v>
      </c>
      <c r="P8" s="87">
        <v>44692.702731481484</v>
      </c>
      <c r="Q8" s="85" t="s">
        <v>222</v>
      </c>
      <c r="R8" s="88" t="str">
        <f>HYPERLINK("https://www.linkedin.com/feed/update/urn:li:share:6930197751422984192")</f>
        <v>https://www.linkedin.com/feed/update/urn:li:share:6930197751422984192</v>
      </c>
      <c r="S8" s="85" t="s">
        <v>223</v>
      </c>
      <c r="T8" s="90" t="s">
        <v>226</v>
      </c>
      <c r="U8" s="85"/>
      <c r="V8" s="88" t="str">
        <f>HYPERLINK("http://pbs.twimg.com/profile_images/621942417911099393/Dz1ifw3l_normal.jpg")</f>
        <v>http://pbs.twimg.com/profile_images/621942417911099393/Dz1ifw3l_normal.jpg</v>
      </c>
      <c r="W8" s="87">
        <v>44692.702731481484</v>
      </c>
      <c r="X8" s="93">
        <v>44692</v>
      </c>
      <c r="Y8" s="90" t="s">
        <v>230</v>
      </c>
      <c r="Z8" s="88" t="str">
        <f>HYPERLINK("https://twitter.com/#!/wolfganglohmann/status/1524432125788831747")</f>
        <v>https://twitter.com/#!/wolfganglohmann/status/1524432125788831747</v>
      </c>
      <c r="AA8" s="85"/>
      <c r="AB8" s="85"/>
      <c r="AC8" s="90" t="s">
        <v>234</v>
      </c>
      <c r="AD8" s="85"/>
      <c r="AE8" s="85" t="b">
        <v>0</v>
      </c>
      <c r="AF8" s="85">
        <v>0</v>
      </c>
      <c r="AG8" s="90" t="s">
        <v>235</v>
      </c>
      <c r="AH8" s="85" t="b">
        <v>0</v>
      </c>
      <c r="AI8" s="85" t="s">
        <v>237</v>
      </c>
      <c r="AJ8" s="85"/>
      <c r="AK8" s="90" t="s">
        <v>235</v>
      </c>
      <c r="AL8" s="85" t="b">
        <v>0</v>
      </c>
      <c r="AM8" s="85">
        <v>0</v>
      </c>
      <c r="AN8" s="90" t="s">
        <v>235</v>
      </c>
      <c r="AO8" s="90" t="s">
        <v>241</v>
      </c>
      <c r="AP8" s="85" t="b">
        <v>0</v>
      </c>
      <c r="AQ8" s="90" t="s">
        <v>234</v>
      </c>
      <c r="AR8" s="85" t="s">
        <v>176</v>
      </c>
      <c r="AS8" s="85">
        <v>0</v>
      </c>
      <c r="AT8" s="85">
        <v>0</v>
      </c>
      <c r="AU8" s="85"/>
      <c r="AV8" s="85"/>
      <c r="AW8" s="85"/>
      <c r="AX8" s="85"/>
      <c r="AY8" s="85"/>
      <c r="AZ8" s="85"/>
      <c r="BA8" s="85"/>
      <c r="BB8" s="85"/>
      <c r="BC8">
        <v>1</v>
      </c>
      <c r="BD8" s="84" t="str">
        <f>REPLACE(INDEX(GroupVertices[Group],MATCH(Edges11[[#This Row],[Vertex 1]],GroupVertices[Vertex],0)),1,1,"")</f>
        <v>2</v>
      </c>
      <c r="BE8" s="84" t="str">
        <f>REPLACE(INDEX(GroupVertices[Group],MATCH(Edges11[[#This Row],[Vertex 2]],GroupVertices[Vertex],0)),1,1,"")</f>
        <v>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v>
      </c>
      <c r="K7" s="13" t="s">
        <v>286</v>
      </c>
    </row>
    <row r="8" spans="1:11" ht="409.5">
      <c r="A8"/>
      <c r="B8">
        <v>2</v>
      </c>
      <c r="C8">
        <v>2</v>
      </c>
      <c r="D8" t="s">
        <v>61</v>
      </c>
      <c r="E8" t="s">
        <v>61</v>
      </c>
      <c r="H8" t="s">
        <v>73</v>
      </c>
      <c r="J8" t="s">
        <v>287</v>
      </c>
      <c r="K8" s="13" t="s">
        <v>288</v>
      </c>
    </row>
    <row r="9" spans="1:11" ht="409.5">
      <c r="A9"/>
      <c r="B9">
        <v>3</v>
      </c>
      <c r="C9">
        <v>4</v>
      </c>
      <c r="D9" t="s">
        <v>62</v>
      </c>
      <c r="E9" t="s">
        <v>62</v>
      </c>
      <c r="H9" t="s">
        <v>74</v>
      </c>
      <c r="J9" t="s">
        <v>289</v>
      </c>
      <c r="K9" s="13" t="s">
        <v>290</v>
      </c>
    </row>
    <row r="10" spans="1:11" ht="409.5">
      <c r="A10"/>
      <c r="B10">
        <v>4</v>
      </c>
      <c r="D10" t="s">
        <v>63</v>
      </c>
      <c r="E10" t="s">
        <v>63</v>
      </c>
      <c r="H10" t="s">
        <v>75</v>
      </c>
      <c r="J10" t="s">
        <v>291</v>
      </c>
      <c r="K10" s="13" t="s">
        <v>292</v>
      </c>
    </row>
    <row r="11" spans="1:11" ht="15">
      <c r="A11"/>
      <c r="B11">
        <v>5</v>
      </c>
      <c r="D11" t="s">
        <v>46</v>
      </c>
      <c r="E11">
        <v>1</v>
      </c>
      <c r="H11" t="s">
        <v>76</v>
      </c>
      <c r="J11" t="s">
        <v>293</v>
      </c>
      <c r="K11" t="s">
        <v>294</v>
      </c>
    </row>
    <row r="12" spans="1:11" ht="15">
      <c r="A12"/>
      <c r="B12"/>
      <c r="D12" t="s">
        <v>64</v>
      </c>
      <c r="E12">
        <v>2</v>
      </c>
      <c r="H12">
        <v>0</v>
      </c>
      <c r="J12" t="s">
        <v>295</v>
      </c>
      <c r="K12" t="s">
        <v>296</v>
      </c>
    </row>
    <row r="13" spans="1:11" ht="15">
      <c r="A13"/>
      <c r="B13"/>
      <c r="D13">
        <v>1</v>
      </c>
      <c r="E13">
        <v>3</v>
      </c>
      <c r="H13">
        <v>1</v>
      </c>
      <c r="J13" t="s">
        <v>297</v>
      </c>
      <c r="K13" t="s">
        <v>298</v>
      </c>
    </row>
    <row r="14" spans="4:11" ht="15">
      <c r="D14">
        <v>2</v>
      </c>
      <c r="E14">
        <v>4</v>
      </c>
      <c r="H14">
        <v>2</v>
      </c>
      <c r="J14" t="s">
        <v>299</v>
      </c>
      <c r="K14" t="s">
        <v>300</v>
      </c>
    </row>
    <row r="15" spans="4:11" ht="15">
      <c r="D15">
        <v>3</v>
      </c>
      <c r="E15">
        <v>5</v>
      </c>
      <c r="H15">
        <v>3</v>
      </c>
      <c r="J15" t="s">
        <v>301</v>
      </c>
      <c r="K15" t="s">
        <v>302</v>
      </c>
    </row>
    <row r="16" spans="4:11" ht="15">
      <c r="D16">
        <v>4</v>
      </c>
      <c r="E16">
        <v>6</v>
      </c>
      <c r="H16">
        <v>4</v>
      </c>
      <c r="J16" t="s">
        <v>303</v>
      </c>
      <c r="K16" t="s">
        <v>304</v>
      </c>
    </row>
    <row r="17" spans="4:11" ht="15">
      <c r="D17">
        <v>5</v>
      </c>
      <c r="E17">
        <v>7</v>
      </c>
      <c r="H17">
        <v>5</v>
      </c>
      <c r="J17" t="s">
        <v>305</v>
      </c>
      <c r="K17" t="s">
        <v>306</v>
      </c>
    </row>
    <row r="18" spans="4:11" ht="15">
      <c r="D18">
        <v>6</v>
      </c>
      <c r="E18">
        <v>8</v>
      </c>
      <c r="H18">
        <v>6</v>
      </c>
      <c r="J18" t="s">
        <v>307</v>
      </c>
      <c r="K18" t="s">
        <v>308</v>
      </c>
    </row>
    <row r="19" spans="4:11" ht="15">
      <c r="D19">
        <v>7</v>
      </c>
      <c r="E19">
        <v>9</v>
      </c>
      <c r="H19">
        <v>7</v>
      </c>
      <c r="J19" t="s">
        <v>309</v>
      </c>
      <c r="K19" t="s">
        <v>310</v>
      </c>
    </row>
    <row r="20" spans="4:11" ht="15">
      <c r="D20">
        <v>8</v>
      </c>
      <c r="H20">
        <v>8</v>
      </c>
      <c r="J20" t="s">
        <v>311</v>
      </c>
      <c r="K20" t="s">
        <v>312</v>
      </c>
    </row>
    <row r="21" spans="4:11" ht="409.5">
      <c r="D21">
        <v>9</v>
      </c>
      <c r="H21">
        <v>9</v>
      </c>
      <c r="J21" t="s">
        <v>313</v>
      </c>
      <c r="K21" s="13" t="s">
        <v>314</v>
      </c>
    </row>
    <row r="22" spans="4:11" ht="409.5">
      <c r="D22">
        <v>10</v>
      </c>
      <c r="J22" t="s">
        <v>315</v>
      </c>
      <c r="K22" s="13" t="s">
        <v>316</v>
      </c>
    </row>
    <row r="23" spans="4:11" ht="409.5">
      <c r="D23">
        <v>11</v>
      </c>
      <c r="J23" t="s">
        <v>317</v>
      </c>
      <c r="K23" s="13" t="s">
        <v>338</v>
      </c>
    </row>
    <row r="24" spans="10:11" ht="409.5">
      <c r="J24" t="s">
        <v>318</v>
      </c>
      <c r="K24" s="13" t="s">
        <v>337</v>
      </c>
    </row>
    <row r="25" spans="10:11" ht="15">
      <c r="J25" t="s">
        <v>319</v>
      </c>
      <c r="K25" t="b">
        <v>0</v>
      </c>
    </row>
    <row r="26" spans="10:11" ht="15">
      <c r="J26" t="s">
        <v>335</v>
      </c>
      <c r="K26" t="s">
        <v>336</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2" t="s">
        <v>332</v>
      </c>
      <c r="B25" t="s">
        <v>331</v>
      </c>
    </row>
    <row r="26" spans="1:2" ht="15">
      <c r="A26" s="123">
        <v>44218.69986111111</v>
      </c>
      <c r="B26" s="3">
        <v>1</v>
      </c>
    </row>
    <row r="27" spans="1:2" ht="15">
      <c r="A27" s="123">
        <v>44692.006157407406</v>
      </c>
      <c r="B27" s="3">
        <v>2</v>
      </c>
    </row>
    <row r="28" spans="1:2" ht="15">
      <c r="A28" s="123">
        <v>44692.028969907406</v>
      </c>
      <c r="B28" s="3">
        <v>2</v>
      </c>
    </row>
    <row r="29" spans="1:2" ht="15">
      <c r="A29" s="123">
        <v>44692.702731481484</v>
      </c>
      <c r="B29" s="3">
        <v>1</v>
      </c>
    </row>
    <row r="30" spans="1:2" ht="15">
      <c r="A30" s="123" t="s">
        <v>333</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2022-05-24T02:18:54Z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